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PLN BATAM\COMM\PROFIL RISIKO\"/>
    </mc:Choice>
  </mc:AlternateContent>
  <xr:revisionPtr revIDLastSave="0" documentId="8_{77016DCD-2F18-4F9B-9F5F-5592E8478C7B}" xr6:coauthVersionLast="47" xr6:coauthVersionMax="47" xr10:uidLastSave="{00000000-0000-0000-0000-000000000000}"/>
  <bookViews>
    <workbookView xWindow="-98" yWindow="-98" windowWidth="21795" windowHeight="12975" tabRatio="944" firstSheet="1" activeTab="4" xr2:uid="{0C11EC7E-E89E-0040-8848-D4A5367A5219}"/>
  </bookViews>
  <sheets>
    <sheet name="Halaman Judul" sheetId="49" r:id="rId1"/>
    <sheet name="Daftar Isi" sheetId="42" r:id="rId2"/>
    <sheet name="Metrik Strategi Risiko" sheetId="24" state="hidden" r:id="rId3"/>
    <sheet name="Pilihan Sasaran&amp;Strategi Bisnis" sheetId="41" state="hidden" r:id="rId4"/>
    <sheet name="SUMMARY" sheetId="56" r:id="rId5"/>
    <sheet name="Justifikasi Risk Assessment" sheetId="65" r:id="rId6"/>
    <sheet name="Contoh Justifikasi Risk Assess" sheetId="59" r:id="rId7"/>
    <sheet name="Source" sheetId="58" r:id="rId8"/>
    <sheet name="Taksonomi Risiko PLN" sheetId="60" r:id="rId9"/>
    <sheet name="Perhitungan Heatmap" sheetId="57" r:id="rId10"/>
    <sheet name="Profil Risiko" sheetId="1" state="hidden" r:id="rId11"/>
    <sheet name="Rencana Perlakuan Risiko" sheetId="10" state="hidden" r:id="rId12"/>
    <sheet name="Risiko Inheren Kuantitatif" sheetId="11" state="hidden" r:id="rId13"/>
    <sheet name="Risiko Inheren Kualitatif" sheetId="16" state="hidden" r:id="rId14"/>
    <sheet name="Risiko Residual Kuantitatif" sheetId="12" state="hidden" r:id="rId15"/>
    <sheet name="Risiko Residual Kualitatif" sheetId="33" state="hidden" r:id="rId16"/>
    <sheet name="Heatmap" sheetId="36" r:id="rId17"/>
    <sheet name="LAP REAL III.A" sheetId="63" r:id="rId18"/>
    <sheet name="LAP REAL III.B" sheetId="64" r:id="rId19"/>
    <sheet name="RAS" sheetId="62" r:id="rId20"/>
    <sheet name="Kriteria Dampak &amp; Prob." sheetId="50" r:id="rId21"/>
    <sheet name="Definisi Taksonomi Risiko" sheetId="54" r:id="rId22"/>
    <sheet name="Data Perencanaan Keuangan" sheetId="51" r:id="rId23"/>
    <sheet name="Ilustrasi" sheetId="52" r:id="rId24"/>
    <sheet name="Sheet1" sheetId="55" r:id="rId25"/>
    <sheet name="Master" sheetId="43"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6" hidden="1">[1]data!#REF!</definedName>
    <definedName name="_xlnm._FilterDatabase" localSheetId="5" hidden="1">[1]data!#REF!</definedName>
    <definedName name="_xlnm._FilterDatabase" localSheetId="2" hidden="1">'Metrik Strategi Risiko'!$A$10:$K$14</definedName>
    <definedName name="_xlnm._FilterDatabase" localSheetId="19" hidden="1">[1]data!#REF!</definedName>
    <definedName name="_xlnm._FilterDatabase" localSheetId="4" hidden="1">SUMMARY!$A$6:$CV$22</definedName>
    <definedName name="_xlnm._FilterDatabase" localSheetId="8" hidden="1">[1]data!#REF!</definedName>
    <definedName name="_xlnm._FilterDatabase" hidden="1">[1]data!#REF!</definedName>
    <definedName name="High" localSheetId="5">[2]Source!$P$42:$P$43</definedName>
    <definedName name="High">Source!$P$42:$P$43</definedName>
    <definedName name="Low" localSheetId="5">[2]Source!$L$42</definedName>
    <definedName name="Low">Source!$L$42</definedName>
    <definedName name="Low_To_Moderate">[3]Source!$M$42:$M$43</definedName>
    <definedName name="LowToModerate">Source!$M$42:$M$43</definedName>
    <definedName name="Moderate" localSheetId="5">[2]Source!$N$42</definedName>
    <definedName name="Moderate">Source!$N$42</definedName>
    <definedName name="Moderate_To_High">[3]Source!$O$42:$O$43</definedName>
    <definedName name="ModerateToHigh">Source!$O$42:$O$43</definedName>
    <definedName name="Z_BF3024F3_270D_48C4_88A6_C15A57EEB7C7_.wvu.FilterData" localSheetId="6" hidden="1">#REF!</definedName>
    <definedName name="Z_BF3024F3_270D_48C4_88A6_C15A57EEB7C7_.wvu.FilterData" localSheetId="19" hidden="1">#REF!</definedName>
    <definedName name="Z_BF3024F3_270D_48C4_88A6_C15A57EEB7C7_.wvu.FilterData" localSheetId="4" hidden="1">#REF!</definedName>
    <definedName name="Z_BF3024F3_270D_48C4_88A6_C15A57EEB7C7_.wvu.FilterData" localSheetId="8" hidden="1">#REF!</definedName>
    <definedName name="Z_BF3024F3_270D_48C4_88A6_C15A57EEB7C7_.wvu.FilterData" hidden="1">#REF!</definedName>
    <definedName name="Z_BF3024F3_270D_48C4_88A6_C15A57EEB7C7_.wvu.PrintArea" localSheetId="6" hidden="1">#REF!</definedName>
    <definedName name="Z_BF3024F3_270D_48C4_88A6_C15A57EEB7C7_.wvu.PrintArea" localSheetId="19" hidden="1">#REF!</definedName>
    <definedName name="Z_BF3024F3_270D_48C4_88A6_C15A57EEB7C7_.wvu.PrintArea" localSheetId="4" hidden="1">#REF!</definedName>
    <definedName name="Z_BF3024F3_270D_48C4_88A6_C15A57EEB7C7_.wvu.PrintArea" localSheetId="8" hidden="1">#REF!</definedName>
    <definedName name="Z_BF3024F3_270D_48C4_88A6_C15A57EEB7C7_.wvu.PrintArea" hidden="1">#REF!</definedName>
    <definedName name="ZXCZ" localSheetId="6" hidden="1">{#N/A,#N/A,FALSE,"M.31"}</definedName>
    <definedName name="ZXCZ" localSheetId="5" hidden="1">{#N/A,#N/A,FALSE,"M.31"}</definedName>
    <definedName name="ZXCZ" localSheetId="19" hidden="1">{#N/A,#N/A,FALSE,"M.31"}</definedName>
    <definedName name="ZXCZ" localSheetId="7" hidden="1">{#N/A,#N/A,FALSE,"M.31"}</definedName>
    <definedName name="ZXCZ" localSheetId="8" hidden="1">{#N/A,#N/A,FALSE,"M.31"}</definedName>
    <definedName name="ZXCZ" hidden="1">{#N/A,#N/A,FALSE,"M.31"}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24" i="56" l="1"/>
  <c r="CF25" i="56" s="1"/>
  <c r="CF27" i="56"/>
  <c r="D213" i="65"/>
  <c r="L215" i="65"/>
  <c r="L216" i="65" s="1"/>
  <c r="L214" i="65"/>
  <c r="D186" i="65" l="1"/>
  <c r="D182" i="65"/>
  <c r="AG15" i="56" l="1"/>
  <c r="F146" i="65"/>
  <c r="R131" i="65"/>
  <c r="Q131" i="65"/>
  <c r="E133" i="65"/>
  <c r="F133" i="65"/>
  <c r="G133" i="65"/>
  <c r="H133" i="65"/>
  <c r="I133" i="65"/>
  <c r="L133" i="65"/>
  <c r="F132" i="65"/>
  <c r="G132" i="65"/>
  <c r="H132" i="65"/>
  <c r="I132" i="65"/>
  <c r="D132" i="65"/>
  <c r="O133" i="65"/>
  <c r="N133" i="65"/>
  <c r="M133" i="65"/>
  <c r="L132" i="65"/>
  <c r="K133" i="65"/>
  <c r="J133" i="65"/>
  <c r="E132" i="65"/>
  <c r="T133" i="65" l="1"/>
  <c r="G134" i="65"/>
  <c r="E134" i="65"/>
  <c r="I134" i="65"/>
  <c r="H134" i="65"/>
  <c r="F134" i="65"/>
  <c r="L134" i="65"/>
  <c r="S133" i="65"/>
  <c r="R132" i="65"/>
  <c r="R133" i="65"/>
  <c r="O132" i="65"/>
  <c r="O134" i="65" s="1"/>
  <c r="N132" i="65"/>
  <c r="N134" i="65" s="1"/>
  <c r="K132" i="65"/>
  <c r="K134" i="65" s="1"/>
  <c r="P131" i="65"/>
  <c r="D133" i="65"/>
  <c r="D134" i="65" s="1"/>
  <c r="J132" i="65"/>
  <c r="S132" i="65" s="1"/>
  <c r="S131" i="65"/>
  <c r="T131" i="65"/>
  <c r="Q132" i="65"/>
  <c r="M132" i="65"/>
  <c r="R134" i="65" l="1"/>
  <c r="D135" i="65"/>
  <c r="E135" i="65" s="1"/>
  <c r="F135" i="65" s="1"/>
  <c r="G135" i="65" s="1"/>
  <c r="H135" i="65" s="1"/>
  <c r="I135" i="65" s="1"/>
  <c r="Q134" i="65"/>
  <c r="Q135" i="65" s="1"/>
  <c r="R135" i="65" s="1"/>
  <c r="T132" i="65"/>
  <c r="M134" i="65"/>
  <c r="T134" i="65" s="1"/>
  <c r="J134" i="65"/>
  <c r="S134" i="65" s="1"/>
  <c r="P133" i="65"/>
  <c r="Q133" i="65"/>
  <c r="P132" i="65"/>
  <c r="S135" i="65" l="1"/>
  <c r="T135" i="65" s="1"/>
  <c r="Q136" i="65" s="1"/>
  <c r="J135" i="65"/>
  <c r="K135" i="65" s="1"/>
  <c r="L135" i="65" s="1"/>
  <c r="M135" i="65" s="1"/>
  <c r="N135" i="65" s="1"/>
  <c r="O135" i="65" s="1"/>
  <c r="AE15" i="56" s="1"/>
  <c r="P134" i="65"/>
  <c r="S136" i="65" l="1"/>
  <c r="AQ15" i="56" s="1"/>
  <c r="AO15" i="56"/>
  <c r="T136" i="65"/>
  <c r="AR15" i="56" s="1"/>
  <c r="R136" i="65"/>
  <c r="AP15" i="56" s="1"/>
  <c r="D124" i="65" l="1"/>
  <c r="AG14" i="56" s="1"/>
  <c r="M110" i="65" l="1"/>
  <c r="N110" i="65"/>
  <c r="O110" i="65"/>
  <c r="L110" i="65"/>
  <c r="Q110" i="65"/>
  <c r="R110" i="65" l="1"/>
  <c r="R112" i="65" s="1"/>
  <c r="E112" i="65"/>
  <c r="S110" i="65"/>
  <c r="S112" i="65" s="1"/>
  <c r="M112" i="65"/>
  <c r="N112" i="65"/>
  <c r="H112" i="65"/>
  <c r="O112" i="65"/>
  <c r="I112" i="65"/>
  <c r="K112" i="65"/>
  <c r="L112" i="65"/>
  <c r="Q112" i="65"/>
  <c r="Q113" i="65" s="1"/>
  <c r="D112" i="65"/>
  <c r="D113" i="65" s="1"/>
  <c r="T110" i="65"/>
  <c r="P110" i="65"/>
  <c r="F112" i="65"/>
  <c r="G112" i="65"/>
  <c r="J112" i="65"/>
  <c r="E113" i="65" l="1"/>
  <c r="F113" i="65" s="1"/>
  <c r="G113" i="65" s="1"/>
  <c r="H113" i="65" s="1"/>
  <c r="I113" i="65" s="1"/>
  <c r="J113" i="65" s="1"/>
  <c r="K113" i="65" s="1"/>
  <c r="L113" i="65" s="1"/>
  <c r="M113" i="65" s="1"/>
  <c r="N113" i="65" s="1"/>
  <c r="O113" i="65" s="1"/>
  <c r="T112" i="65"/>
  <c r="P112" i="65"/>
  <c r="AE14" i="56" s="1"/>
  <c r="R113" i="65"/>
  <c r="S113" i="65" s="1"/>
  <c r="T113" i="65" l="1"/>
  <c r="Q114" i="65" l="1"/>
  <c r="R114" i="65" l="1"/>
  <c r="AP14" i="56" s="1"/>
  <c r="S114" i="65"/>
  <c r="AQ14" i="56" s="1"/>
  <c r="T114" i="65"/>
  <c r="AR14" i="56" s="1"/>
  <c r="AO14" i="56"/>
  <c r="E38" i="65" l="1"/>
  <c r="F38" i="65"/>
  <c r="G38" i="65"/>
  <c r="H38" i="65"/>
  <c r="I38" i="65"/>
  <c r="J38" i="65"/>
  <c r="K38" i="65"/>
  <c r="L38" i="65"/>
  <c r="M38" i="65"/>
  <c r="N38" i="65"/>
  <c r="O38" i="65"/>
  <c r="D38" i="65"/>
  <c r="G37" i="65"/>
  <c r="H37" i="65"/>
  <c r="I37" i="65"/>
  <c r="J37" i="65"/>
  <c r="K37" i="65"/>
  <c r="L37" i="65"/>
  <c r="M37" i="65"/>
  <c r="N37" i="65"/>
  <c r="O37" i="65"/>
  <c r="F37" i="65"/>
  <c r="G36" i="65"/>
  <c r="H36" i="65"/>
  <c r="I36" i="65"/>
  <c r="J36" i="65"/>
  <c r="K36" i="65"/>
  <c r="L36" i="65"/>
  <c r="M36" i="65"/>
  <c r="N36" i="65"/>
  <c r="O36" i="65"/>
  <c r="F36" i="65"/>
  <c r="E35" i="65"/>
  <c r="F35" i="65"/>
  <c r="G35" i="65"/>
  <c r="H35" i="65"/>
  <c r="I35" i="65"/>
  <c r="J35" i="65"/>
  <c r="K35" i="65"/>
  <c r="L35" i="65"/>
  <c r="M35" i="65"/>
  <c r="N35" i="65"/>
  <c r="O35" i="65"/>
  <c r="D35" i="65"/>
  <c r="E34" i="65"/>
  <c r="F34" i="65"/>
  <c r="G34" i="65"/>
  <c r="H34" i="65"/>
  <c r="I34" i="65"/>
  <c r="J34" i="65"/>
  <c r="K34" i="65"/>
  <c r="L34" i="65"/>
  <c r="M34" i="65"/>
  <c r="N34" i="65"/>
  <c r="O34" i="65"/>
  <c r="D34" i="65"/>
  <c r="J61" i="65" l="1"/>
  <c r="J60" i="65"/>
  <c r="J65" i="65" s="1"/>
  <c r="AD14" i="56"/>
  <c r="AD15" i="56"/>
  <c r="D52" i="65"/>
  <c r="AG11" i="56" s="1"/>
  <c r="T38" i="65"/>
  <c r="S37" i="65"/>
  <c r="R37" i="65"/>
  <c r="Q37" i="65"/>
  <c r="T36" i="65"/>
  <c r="S36" i="65"/>
  <c r="Q36" i="65"/>
  <c r="T35" i="65"/>
  <c r="J40" i="65"/>
  <c r="I40" i="65"/>
  <c r="D16" i="65"/>
  <c r="D15" i="65"/>
  <c r="D14" i="65"/>
  <c r="D13" i="65"/>
  <c r="D12" i="65"/>
  <c r="Q35" i="65" l="1"/>
  <c r="S38" i="65"/>
  <c r="Q34" i="65"/>
  <c r="L40" i="65"/>
  <c r="R35" i="65"/>
  <c r="E40" i="65"/>
  <c r="M40" i="65"/>
  <c r="F40" i="65"/>
  <c r="N40" i="65"/>
  <c r="R38" i="65"/>
  <c r="P38" i="65"/>
  <c r="R34" i="65"/>
  <c r="O40" i="65"/>
  <c r="R36" i="65"/>
  <c r="H40" i="65"/>
  <c r="T34" i="65"/>
  <c r="K40" i="65"/>
  <c r="T37" i="65"/>
  <c r="S35" i="65"/>
  <c r="D40" i="65"/>
  <c r="D41" i="65" s="1"/>
  <c r="P37" i="65"/>
  <c r="P34" i="65"/>
  <c r="G40" i="65"/>
  <c r="S34" i="65"/>
  <c r="P36" i="65"/>
  <c r="P35" i="65"/>
  <c r="Q38" i="65"/>
  <c r="E41" i="65" l="1"/>
  <c r="F41" i="65" s="1"/>
  <c r="G41" i="65" s="1"/>
  <c r="H41" i="65" s="1"/>
  <c r="I41" i="65" s="1"/>
  <c r="J41" i="65" s="1"/>
  <c r="K41" i="65" s="1"/>
  <c r="L41" i="65" s="1"/>
  <c r="M41" i="65" s="1"/>
  <c r="N41" i="65" s="1"/>
  <c r="O41" i="65" s="1"/>
  <c r="Q40" i="65"/>
  <c r="Q41" i="65" s="1"/>
  <c r="T40" i="65"/>
  <c r="R40" i="65"/>
  <c r="P40" i="65"/>
  <c r="AE11" i="56" s="1"/>
  <c r="S40" i="65"/>
  <c r="R41" i="65" l="1"/>
  <c r="S41" i="65" s="1"/>
  <c r="T41" i="65" l="1"/>
  <c r="Q42" i="65" s="1"/>
  <c r="R42" i="65" s="1"/>
  <c r="S42" i="65" l="1"/>
  <c r="T42" i="65"/>
  <c r="H90" i="65"/>
  <c r="F88" i="65"/>
  <c r="G88" i="65" s="1"/>
  <c r="F87" i="65"/>
  <c r="G87" i="65" s="1"/>
  <c r="F86" i="65"/>
  <c r="G86" i="65" s="1"/>
  <c r="G83" i="65" l="1"/>
  <c r="G84" i="65"/>
  <c r="G85" i="65"/>
  <c r="AI17" i="56"/>
  <c r="AG23" i="56"/>
  <c r="AG22" i="56"/>
  <c r="F232" i="65"/>
  <c r="F231" i="65"/>
  <c r="F230" i="65"/>
  <c r="F229" i="65"/>
  <c r="F228" i="65"/>
  <c r="AG17" i="56"/>
  <c r="AD17" i="56"/>
  <c r="BL17" i="56" l="1"/>
  <c r="BP17" i="56" s="1"/>
  <c r="BK17" i="56"/>
  <c r="BO17" i="56" s="1"/>
  <c r="BJ17" i="56"/>
  <c r="BN17" i="56" s="1"/>
  <c r="BI17" i="56"/>
  <c r="BM17" i="56" s="1"/>
  <c r="AJ17" i="56"/>
  <c r="AK17" i="56" s="1"/>
  <c r="BE17" i="56"/>
  <c r="BF17" i="56" s="1"/>
  <c r="BG17" i="56" s="1"/>
  <c r="BH17" i="56" s="1"/>
  <c r="P17" i="56"/>
  <c r="BO23" i="56" l="1"/>
  <c r="BN23" i="56"/>
  <c r="BM23" i="56"/>
  <c r="BL23" i="56"/>
  <c r="BP23" i="56" s="1"/>
  <c r="AJ23" i="56"/>
  <c r="AK23" i="56" s="1"/>
  <c r="AW23" i="56"/>
  <c r="AX23" i="56" s="1"/>
  <c r="AY23" i="56" s="1"/>
  <c r="AZ23" i="56" s="1"/>
  <c r="AE23" i="56"/>
  <c r="AO23" i="56" s="1"/>
  <c r="AD23" i="56"/>
  <c r="P23" i="56"/>
  <c r="BO22" i="56"/>
  <c r="BN22" i="56"/>
  <c r="BM22" i="56"/>
  <c r="BL22" i="56"/>
  <c r="BP22" i="56" s="1"/>
  <c r="AJ22" i="56"/>
  <c r="AK22" i="56" s="1"/>
  <c r="AE22" i="56"/>
  <c r="AO22" i="56" s="1"/>
  <c r="AD22" i="56"/>
  <c r="P22" i="56"/>
  <c r="AI22" i="56" l="1"/>
  <c r="BE23" i="56"/>
  <c r="AR23" i="56"/>
  <c r="BH23" i="56" s="1"/>
  <c r="AQ23" i="56"/>
  <c r="BG23" i="56" s="1"/>
  <c r="AP23" i="56"/>
  <c r="BF23" i="56" s="1"/>
  <c r="AI23" i="56"/>
  <c r="AR22" i="56"/>
  <c r="AQ22" i="56"/>
  <c r="AP22" i="56"/>
  <c r="AW22" i="56"/>
  <c r="AX22" i="56" s="1"/>
  <c r="AY22" i="56" s="1"/>
  <c r="AZ22" i="56" s="1"/>
  <c r="BF22" i="56" l="1"/>
  <c r="BH22" i="56"/>
  <c r="BG22" i="56"/>
  <c r="BE22" i="56"/>
  <c r="BI19" i="56" l="1"/>
  <c r="BJ19" i="56"/>
  <c r="BK19" i="56"/>
  <c r="BL19" i="56"/>
  <c r="D188" i="65"/>
  <c r="D187" i="65"/>
  <c r="D180" i="65"/>
  <c r="D189" i="65" l="1"/>
  <c r="AE19" i="56" l="1"/>
  <c r="AR19" i="56"/>
  <c r="AG21" i="56"/>
  <c r="E214" i="65"/>
  <c r="D214" i="65"/>
  <c r="F214" i="65" l="1"/>
  <c r="AE21" i="56" s="1"/>
  <c r="G219" i="65"/>
  <c r="BL20" i="56"/>
  <c r="BP20" i="56" s="1"/>
  <c r="BK20" i="56"/>
  <c r="BO20" i="56" s="1"/>
  <c r="BJ20" i="56"/>
  <c r="BN20" i="56" s="1"/>
  <c r="BI20" i="56"/>
  <c r="BM20" i="56" s="1"/>
  <c r="AP20" i="56"/>
  <c r="BF20" i="56" s="1"/>
  <c r="AO20" i="56"/>
  <c r="BE20" i="56" s="1"/>
  <c r="AJ20" i="56"/>
  <c r="AK20" i="56" s="1"/>
  <c r="AG20" i="56"/>
  <c r="AY20" i="56" s="1"/>
  <c r="AZ20" i="56" s="1"/>
  <c r="AD20" i="56"/>
  <c r="AG19" i="56"/>
  <c r="AW19" i="56" s="1"/>
  <c r="AX19" i="56" s="1"/>
  <c r="BL18" i="56" l="1"/>
  <c r="BP18" i="56" s="1"/>
  <c r="BK18" i="56"/>
  <c r="BO18" i="56" s="1"/>
  <c r="BJ18" i="56"/>
  <c r="BN18" i="56" s="1"/>
  <c r="BI18" i="56"/>
  <c r="BM18" i="56" s="1"/>
  <c r="AJ18" i="56"/>
  <c r="AK18" i="56" s="1"/>
  <c r="AI18" i="56"/>
  <c r="BE18" i="56" s="1"/>
  <c r="BF18" i="56" s="1"/>
  <c r="BG18" i="56" s="1"/>
  <c r="BH18" i="56" s="1"/>
  <c r="AD18" i="56"/>
  <c r="BP15" i="56"/>
  <c r="BO15" i="56"/>
  <c r="BN15" i="56"/>
  <c r="BM15" i="56"/>
  <c r="AJ15" i="56"/>
  <c r="AK15" i="56" s="1"/>
  <c r="AW15" i="56"/>
  <c r="AG18" i="56" l="1"/>
  <c r="AW18" i="56" s="1"/>
  <c r="AX18" i="56" s="1"/>
  <c r="AY18" i="56" s="1"/>
  <c r="AZ18" i="56" s="1"/>
  <c r="AZ15" i="56"/>
  <c r="AX15" i="56"/>
  <c r="AY15" i="56"/>
  <c r="BG15" i="56" l="1"/>
  <c r="BH15" i="56"/>
  <c r="BE15" i="56"/>
  <c r="BF15" i="56"/>
  <c r="BL21" i="56" l="1"/>
  <c r="BP21" i="56" s="1"/>
  <c r="BO21" i="56"/>
  <c r="BN21" i="56"/>
  <c r="BM21" i="56"/>
  <c r="AJ21" i="56"/>
  <c r="AK21" i="56" s="1"/>
  <c r="AW21" i="56"/>
  <c r="AX21" i="56" s="1"/>
  <c r="AY21" i="56" s="1"/>
  <c r="AZ21" i="56" s="1"/>
  <c r="AO21" i="56"/>
  <c r="AD21" i="56"/>
  <c r="P21" i="56"/>
  <c r="P20" i="56"/>
  <c r="P18" i="56"/>
  <c r="P15" i="56"/>
  <c r="BE21" i="56" l="1"/>
  <c r="AR21" i="56"/>
  <c r="BH21" i="56" s="1"/>
  <c r="AQ21" i="56"/>
  <c r="BG21" i="56" s="1"/>
  <c r="AP21" i="56"/>
  <c r="BF21" i="56" s="1"/>
  <c r="AI21" i="56"/>
  <c r="P14" i="56" l="1"/>
  <c r="J4" i="50" l="1"/>
  <c r="H15" i="50"/>
  <c r="J15" i="50" s="1"/>
  <c r="AO11" i="56" l="1"/>
  <c r="BL11" i="56"/>
  <c r="BP11" i="56" s="1"/>
  <c r="BK11" i="56"/>
  <c r="BO11" i="56" s="1"/>
  <c r="BJ11" i="56"/>
  <c r="BN11" i="56" s="1"/>
  <c r="BI11" i="56"/>
  <c r="BM11" i="56" s="1"/>
  <c r="AJ11" i="56"/>
  <c r="AK11" i="56" s="1"/>
  <c r="AD11" i="56"/>
  <c r="P11" i="56"/>
  <c r="AI11" i="56" l="1"/>
  <c r="AW11" i="56"/>
  <c r="AX11" i="56" s="1"/>
  <c r="AY11" i="56" s="1"/>
  <c r="AZ11" i="56" s="1"/>
  <c r="BE11" i="56" l="1"/>
  <c r="R201" i="65" l="1"/>
  <c r="J201" i="65"/>
  <c r="K201" i="65"/>
  <c r="L201" i="65"/>
  <c r="S201" i="65" s="1"/>
  <c r="AG13" i="56"/>
  <c r="T78" i="65"/>
  <c r="T79" i="65"/>
  <c r="T80" i="65"/>
  <c r="T81" i="65"/>
  <c r="T82" i="65"/>
  <c r="T83" i="65"/>
  <c r="T84" i="65"/>
  <c r="T85" i="65"/>
  <c r="T86" i="65"/>
  <c r="T87" i="65"/>
  <c r="T88" i="65"/>
  <c r="N78" i="65"/>
  <c r="N79" i="65"/>
  <c r="N80" i="65"/>
  <c r="N81" i="65"/>
  <c r="N82" i="65"/>
  <c r="N83" i="65"/>
  <c r="N84" i="65"/>
  <c r="N85" i="65"/>
  <c r="N86" i="65"/>
  <c r="N87" i="65"/>
  <c r="N88" i="65"/>
  <c r="N77" i="65"/>
  <c r="G78" i="65"/>
  <c r="G79" i="65"/>
  <c r="G80" i="65"/>
  <c r="G81" i="65"/>
  <c r="G82" i="65"/>
  <c r="G77" i="65"/>
  <c r="AG12" i="56"/>
  <c r="AW12" i="56" s="1"/>
  <c r="AX12" i="56" s="1"/>
  <c r="AY12" i="56" s="1"/>
  <c r="AZ12" i="56" s="1"/>
  <c r="F89" i="65" l="1"/>
  <c r="E89" i="65"/>
  <c r="H88" i="65"/>
  <c r="H87" i="65"/>
  <c r="H86" i="65"/>
  <c r="H85" i="65"/>
  <c r="H84" i="65"/>
  <c r="H83" i="65"/>
  <c r="H82" i="65"/>
  <c r="H81" i="65"/>
  <c r="H80" i="65"/>
  <c r="D79" i="65"/>
  <c r="D89" i="65" s="1"/>
  <c r="H78" i="65"/>
  <c r="H77" i="65"/>
  <c r="H79" i="65" l="1"/>
  <c r="P267" i="65"/>
  <c r="H89" i="65" l="1"/>
  <c r="AE13" i="56" s="1"/>
  <c r="K288" i="65"/>
  <c r="L288" i="65"/>
  <c r="M288" i="65"/>
  <c r="N288" i="65"/>
  <c r="O288" i="65"/>
  <c r="E288" i="65"/>
  <c r="F288" i="65"/>
  <c r="G288" i="65"/>
  <c r="H288" i="65"/>
  <c r="I288" i="65"/>
  <c r="J288" i="65"/>
  <c r="D288" i="65"/>
  <c r="AF9" i="56" l="1"/>
  <c r="AO13" i="56"/>
  <c r="AP13" i="56" s="1"/>
  <c r="H7" i="50"/>
  <c r="J7" i="50" s="1"/>
  <c r="AO9" i="56" l="1"/>
  <c r="AQ13" i="56"/>
  <c r="AP9" i="56"/>
  <c r="AR13" i="56" l="1"/>
  <c r="AR9" i="56" s="1"/>
  <c r="AQ9" i="56"/>
  <c r="T77" i="65"/>
  <c r="AY19" i="56" l="1"/>
  <c r="AZ19" i="56" s="1"/>
  <c r="P200" i="65"/>
  <c r="AI16" i="56" l="1"/>
  <c r="BE16" i="56" s="1"/>
  <c r="BF16" i="56" s="1"/>
  <c r="BG16" i="56" s="1"/>
  <c r="BH16" i="56" s="1"/>
  <c r="D152" i="65"/>
  <c r="AG16" i="56" s="1"/>
  <c r="F150" i="65"/>
  <c r="F149" i="65"/>
  <c r="F148" i="65"/>
  <c r="F147" i="65"/>
  <c r="N201" i="65"/>
  <c r="O201" i="65"/>
  <c r="M201" i="65"/>
  <c r="Q201" i="65"/>
  <c r="P201" i="65" l="1"/>
  <c r="BL13" i="56"/>
  <c r="T201" i="65" l="1"/>
  <c r="S202" i="65" s="1"/>
  <c r="AQ20" i="56" s="1"/>
  <c r="BG20" i="56" s="1"/>
  <c r="AE20" i="56"/>
  <c r="AI20" i="56" s="1"/>
  <c r="T202" i="65" l="1"/>
  <c r="AW13" i="56"/>
  <c r="S89" i="65"/>
  <c r="R89" i="65"/>
  <c r="Q89" i="65"/>
  <c r="M89" i="65"/>
  <c r="L89" i="65"/>
  <c r="K89" i="65"/>
  <c r="R278" i="65"/>
  <c r="O285" i="65"/>
  <c r="N285" i="65"/>
  <c r="M285" i="65"/>
  <c r="L285" i="65"/>
  <c r="K285" i="65"/>
  <c r="J285" i="65"/>
  <c r="I285" i="65"/>
  <c r="H285" i="65"/>
  <c r="G285" i="65"/>
  <c r="F285" i="65"/>
  <c r="E285" i="65"/>
  <c r="D285" i="65"/>
  <c r="O282" i="65"/>
  <c r="N282" i="65"/>
  <c r="M282" i="65"/>
  <c r="L282" i="65"/>
  <c r="K282" i="65"/>
  <c r="J282" i="65"/>
  <c r="I282" i="65"/>
  <c r="H282" i="65"/>
  <c r="G282" i="65"/>
  <c r="F282" i="65"/>
  <c r="E282" i="65"/>
  <c r="D282" i="65"/>
  <c r="O279" i="65"/>
  <c r="N279" i="65"/>
  <c r="M279" i="65"/>
  <c r="L279" i="65"/>
  <c r="K279" i="65"/>
  <c r="J279" i="65"/>
  <c r="I279" i="65"/>
  <c r="H279" i="65"/>
  <c r="G279" i="65"/>
  <c r="F279" i="65"/>
  <c r="E279" i="65"/>
  <c r="D279" i="65"/>
  <c r="T270" i="65"/>
  <c r="S270" i="65"/>
  <c r="R270" i="65"/>
  <c r="Q270" i="65"/>
  <c r="P270" i="65"/>
  <c r="O269" i="65"/>
  <c r="O271" i="65" s="1"/>
  <c r="N269" i="65"/>
  <c r="N271" i="65" s="1"/>
  <c r="M269" i="65"/>
  <c r="M271" i="65" s="1"/>
  <c r="L269" i="65"/>
  <c r="L271" i="65" s="1"/>
  <c r="K269" i="65"/>
  <c r="K271" i="65" s="1"/>
  <c r="J269" i="65"/>
  <c r="J271" i="65" s="1"/>
  <c r="I269" i="65"/>
  <c r="I271" i="65" s="1"/>
  <c r="H269" i="65"/>
  <c r="H271" i="65" s="1"/>
  <c r="G269" i="65"/>
  <c r="G271" i="65" s="1"/>
  <c r="F269" i="65"/>
  <c r="F271" i="65" s="1"/>
  <c r="E269" i="65"/>
  <c r="E271" i="65" s="1"/>
  <c r="D269" i="65"/>
  <c r="D271" i="65" s="1"/>
  <c r="T268" i="65"/>
  <c r="S268" i="65"/>
  <c r="R268" i="65"/>
  <c r="Q268" i="65"/>
  <c r="P268" i="65"/>
  <c r="Q267" i="65"/>
  <c r="E64" i="65"/>
  <c r="E63" i="65"/>
  <c r="G61" i="65"/>
  <c r="BL14" i="56"/>
  <c r="BP14" i="56" s="1"/>
  <c r="BK14" i="56"/>
  <c r="BO14" i="56" s="1"/>
  <c r="BJ14" i="56"/>
  <c r="BN14" i="56" s="1"/>
  <c r="BI14" i="56"/>
  <c r="BM14" i="56" s="1"/>
  <c r="AW14" i="56"/>
  <c r="G65" i="65" l="1"/>
  <c r="AR20" i="56"/>
  <c r="BH20" i="56" s="1"/>
  <c r="P269" i="65"/>
  <c r="Q269" i="65"/>
  <c r="Q271" i="65" s="1"/>
  <c r="AZ14" i="56"/>
  <c r="AY14" i="56"/>
  <c r="AX14" i="56"/>
  <c r="P271" i="65"/>
  <c r="D272" i="65"/>
  <c r="E272" i="65" s="1"/>
  <c r="F272" i="65" s="1"/>
  <c r="R267" i="65"/>
  <c r="AI15" i="56" l="1"/>
  <c r="AE12" i="56"/>
  <c r="BE13" i="56"/>
  <c r="S267" i="65"/>
  <c r="R269" i="65"/>
  <c r="R271" i="65" s="1"/>
  <c r="G272" i="65"/>
  <c r="Q272" i="65"/>
  <c r="AO12" i="56" l="1"/>
  <c r="AI12" i="56"/>
  <c r="T267" i="65"/>
  <c r="T269" i="65" s="1"/>
  <c r="T271" i="65" s="1"/>
  <c r="S269" i="65"/>
  <c r="S271" i="65" s="1"/>
  <c r="H272" i="65"/>
  <c r="AP12" i="56" l="1"/>
  <c r="AQ12" i="56"/>
  <c r="AR12" i="56"/>
  <c r="BH12" i="56" s="1"/>
  <c r="I272" i="65"/>
  <c r="J272" i="65" l="1"/>
  <c r="R272" i="65"/>
  <c r="K272" i="65" l="1"/>
  <c r="L272" i="65" l="1"/>
  <c r="S272" i="65" l="1"/>
  <c r="M272" i="65"/>
  <c r="N272" i="65" l="1"/>
  <c r="O272" i="65" l="1"/>
  <c r="T272" i="65" l="1"/>
  <c r="P272" i="65"/>
  <c r="BG14" i="56" l="1"/>
  <c r="Q273" i="65"/>
  <c r="BE14" i="56"/>
  <c r="AI14" i="56"/>
  <c r="BF14" i="56" l="1"/>
  <c r="BH14" i="56"/>
  <c r="AP11" i="56"/>
  <c r="BF11" i="56" s="1"/>
  <c r="AQ11" i="56"/>
  <c r="BG11" i="56" s="1"/>
  <c r="AR11" i="56"/>
  <c r="BH11" i="56" s="1"/>
  <c r="S273" i="65"/>
  <c r="T273" i="65"/>
  <c r="R273" i="65"/>
  <c r="AJ14" i="56"/>
  <c r="AK14" i="56" s="1"/>
  <c r="AX13" i="56" l="1"/>
  <c r="AY13" i="56" l="1"/>
  <c r="BF13" i="56"/>
  <c r="AZ13" i="56" l="1"/>
  <c r="BH13" i="56" s="1"/>
  <c r="BG13" i="56"/>
  <c r="BF12" i="56" l="1"/>
  <c r="BE12" i="56"/>
  <c r="AJ12" i="56"/>
  <c r="BG12" i="56" l="1"/>
  <c r="BH19" i="56" l="1"/>
  <c r="BE19" i="56"/>
  <c r="BF19" i="56" l="1"/>
  <c r="BG19" i="56"/>
  <c r="BI13" i="56"/>
  <c r="BP13" i="56" l="1"/>
  <c r="BK13" i="56"/>
  <c r="BO13" i="56" s="1"/>
  <c r="BJ13" i="56"/>
  <c r="BN13" i="56" s="1"/>
  <c r="BM13" i="56"/>
  <c r="AJ13" i="56"/>
  <c r="AK13" i="56" s="1"/>
  <c r="AD13" i="56"/>
  <c r="P13" i="56"/>
  <c r="E140" i="59" l="1"/>
  <c r="AI13" i="56" l="1"/>
  <c r="AI19" i="56"/>
  <c r="AI10" i="56"/>
  <c r="AA27" i="60" l="1"/>
  <c r="AA67" i="60"/>
  <c r="AA66" i="60"/>
  <c r="AA65" i="60"/>
  <c r="AA64" i="60"/>
  <c r="AA63" i="60"/>
  <c r="AA62" i="60"/>
  <c r="AA61" i="60"/>
  <c r="AA60" i="60"/>
  <c r="AA59" i="60"/>
  <c r="AA58" i="60"/>
  <c r="AA57" i="60"/>
  <c r="AA56" i="60"/>
  <c r="AA55" i="60"/>
  <c r="AA54" i="60"/>
  <c r="AA53" i="60"/>
  <c r="AA51" i="60"/>
  <c r="AA50" i="60"/>
  <c r="AA49" i="60"/>
  <c r="AA48" i="60"/>
  <c r="AA47" i="60"/>
  <c r="AA46" i="60"/>
  <c r="AA45" i="60"/>
  <c r="AA44" i="60"/>
  <c r="AA43" i="60"/>
  <c r="AA42" i="60"/>
  <c r="AA41" i="60"/>
  <c r="AA40" i="60"/>
  <c r="AA39" i="60"/>
  <c r="AA38" i="60"/>
  <c r="AA37" i="60"/>
  <c r="AA36" i="60"/>
  <c r="AA35" i="60"/>
  <c r="AA34" i="60"/>
  <c r="AA33" i="60"/>
  <c r="AA31" i="60"/>
  <c r="AA30" i="60"/>
  <c r="AA29" i="60"/>
  <c r="AA28" i="60"/>
  <c r="AA26" i="60"/>
  <c r="AA25" i="60"/>
  <c r="AA24" i="60"/>
  <c r="AA23" i="60"/>
  <c r="AA22" i="60"/>
  <c r="AA21" i="60"/>
  <c r="AA20" i="60"/>
  <c r="AA19" i="60"/>
  <c r="AA18" i="60"/>
  <c r="AA17" i="60"/>
  <c r="AA16" i="60"/>
  <c r="AA14" i="60"/>
  <c r="AA13" i="60"/>
  <c r="AA12" i="60"/>
  <c r="AA11" i="60"/>
  <c r="AA10" i="60"/>
  <c r="AA9" i="60"/>
  <c r="AA8" i="60"/>
  <c r="AA7" i="60"/>
  <c r="AA6" i="60"/>
  <c r="AA5" i="60"/>
  <c r="AA4" i="60"/>
  <c r="B12" i="63" l="1"/>
  <c r="Z17" i="63" l="1"/>
  <c r="AD17" i="63" s="1"/>
  <c r="Y17" i="63"/>
  <c r="AC17" i="63" s="1"/>
  <c r="X17" i="63"/>
  <c r="AB17" i="63" s="1"/>
  <c r="W17" i="63"/>
  <c r="AA17" i="63" s="1"/>
  <c r="Z16" i="63"/>
  <c r="AD16" i="63" s="1"/>
  <c r="Y16" i="63"/>
  <c r="AC16" i="63" s="1"/>
  <c r="X16" i="63"/>
  <c r="AB16" i="63" s="1"/>
  <c r="W16" i="63"/>
  <c r="AA16" i="63" s="1"/>
  <c r="Z15" i="63"/>
  <c r="AD15" i="63" s="1"/>
  <c r="Y15" i="63"/>
  <c r="AC15" i="63" s="1"/>
  <c r="X15" i="63"/>
  <c r="AB15" i="63" s="1"/>
  <c r="W15" i="63"/>
  <c r="AA15" i="63" s="1"/>
  <c r="Z14" i="63"/>
  <c r="AD14" i="63" s="1"/>
  <c r="Y14" i="63"/>
  <c r="AC14" i="63" s="1"/>
  <c r="X14" i="63"/>
  <c r="AB14" i="63" s="1"/>
  <c r="W14" i="63"/>
  <c r="AA14" i="63" s="1"/>
  <c r="Z13" i="63"/>
  <c r="AD13" i="63" s="1"/>
  <c r="Y13" i="63"/>
  <c r="AC13" i="63" s="1"/>
  <c r="X13" i="63"/>
  <c r="AB13" i="63" s="1"/>
  <c r="W13" i="63"/>
  <c r="AA13" i="63" s="1"/>
  <c r="Z12" i="63"/>
  <c r="AD12" i="63" s="1"/>
  <c r="Y12" i="63"/>
  <c r="AC12" i="63" s="1"/>
  <c r="X12" i="63"/>
  <c r="AB12" i="63" s="1"/>
  <c r="W12" i="63"/>
  <c r="AA12" i="63" s="1"/>
  <c r="Z11" i="63"/>
  <c r="AD11" i="63" s="1"/>
  <c r="Y11" i="63"/>
  <c r="AC11" i="63" s="1"/>
  <c r="X11" i="63"/>
  <c r="AB11" i="63" s="1"/>
  <c r="W11" i="63"/>
  <c r="AA11" i="63" s="1"/>
  <c r="V16" i="63" l="1"/>
  <c r="U16" i="63"/>
  <c r="T16" i="63"/>
  <c r="S16" i="63"/>
  <c r="V15" i="63"/>
  <c r="U15" i="63"/>
  <c r="T15" i="63"/>
  <c r="S15" i="63"/>
  <c r="V14" i="63"/>
  <c r="U14" i="63"/>
  <c r="T14" i="63"/>
  <c r="S14" i="63"/>
  <c r="V13" i="63"/>
  <c r="U13" i="63"/>
  <c r="T13" i="63"/>
  <c r="S13" i="63"/>
  <c r="V12" i="63"/>
  <c r="U12" i="63"/>
  <c r="T12" i="63"/>
  <c r="S12" i="63"/>
  <c r="V11" i="63"/>
  <c r="U11" i="63"/>
  <c r="T11" i="63"/>
  <c r="S11" i="63"/>
  <c r="H6" i="64"/>
  <c r="I6" i="64" s="1"/>
  <c r="J6" i="64" s="1"/>
  <c r="K6" i="64" s="1"/>
  <c r="L6" i="64" s="1"/>
  <c r="M6" i="64" s="1"/>
  <c r="N6" i="64" s="1"/>
  <c r="O6" i="64" s="1"/>
  <c r="P6" i="64" s="1"/>
  <c r="Q6" i="64" s="1"/>
  <c r="R6" i="64" s="1"/>
  <c r="V17" i="63"/>
  <c r="U17" i="63"/>
  <c r="T17" i="63"/>
  <c r="S17" i="63"/>
  <c r="G1284" i="59" l="1"/>
  <c r="G1215" i="59"/>
  <c r="H1204" i="59"/>
  <c r="H1203" i="59"/>
  <c r="H1202" i="59"/>
  <c r="H1205" i="59" s="1"/>
  <c r="H1176" i="59"/>
  <c r="E1196" i="59" s="1"/>
  <c r="H1175" i="59"/>
  <c r="H1174" i="59"/>
  <c r="H1173" i="59"/>
  <c r="H1172" i="59"/>
  <c r="H1171" i="59"/>
  <c r="H1170" i="59"/>
  <c r="H1169" i="59"/>
  <c r="H1168" i="59"/>
  <c r="H1167" i="59"/>
  <c r="H1166" i="59"/>
  <c r="H1165" i="59"/>
  <c r="H1164" i="59"/>
  <c r="H1163" i="59"/>
  <c r="H1162" i="59"/>
  <c r="H1161" i="59"/>
  <c r="H1160" i="59"/>
  <c r="H1159" i="59"/>
  <c r="H1158" i="59"/>
  <c r="H1157" i="59"/>
  <c r="H1156" i="59"/>
  <c r="H1155" i="59"/>
  <c r="H1154" i="59"/>
  <c r="H1153" i="59"/>
  <c r="H1152" i="59"/>
  <c r="F1149" i="59"/>
  <c r="F1179" i="59" s="1"/>
  <c r="E1149" i="59"/>
  <c r="G1148" i="59"/>
  <c r="G1147" i="59"/>
  <c r="G1146" i="59"/>
  <c r="G1149" i="59" s="1"/>
  <c r="H1127" i="59"/>
  <c r="E1195" i="59" s="1"/>
  <c r="H1126" i="59"/>
  <c r="H1125" i="59"/>
  <c r="H1124" i="59"/>
  <c r="H1123" i="59"/>
  <c r="H1122" i="59"/>
  <c r="H1121" i="59"/>
  <c r="H1120" i="59"/>
  <c r="H1119" i="59"/>
  <c r="G1116" i="59"/>
  <c r="F1116" i="59"/>
  <c r="F1130" i="59" s="1"/>
  <c r="E1116" i="59"/>
  <c r="H1094" i="59"/>
  <c r="E1194" i="59" s="1"/>
  <c r="H1093" i="59"/>
  <c r="H1092" i="59"/>
  <c r="H1091" i="59"/>
  <c r="H1090" i="59"/>
  <c r="H1089" i="59"/>
  <c r="H1088" i="59"/>
  <c r="H1087" i="59"/>
  <c r="H1086" i="59"/>
  <c r="H1085" i="59"/>
  <c r="H1084" i="59"/>
  <c r="H1083" i="59"/>
  <c r="H1082" i="59"/>
  <c r="H1081" i="59"/>
  <c r="H1080" i="59"/>
  <c r="H1079" i="59"/>
  <c r="H1078" i="59"/>
  <c r="H1077" i="59"/>
  <c r="H1076" i="59"/>
  <c r="H1075" i="59"/>
  <c r="H1074" i="59"/>
  <c r="H1073" i="59"/>
  <c r="H1072" i="59"/>
  <c r="H1071" i="59"/>
  <c r="H1070" i="59"/>
  <c r="H1067" i="59"/>
  <c r="F1067" i="59"/>
  <c r="F1097" i="59" s="1"/>
  <c r="E1067" i="59"/>
  <c r="G1066" i="59"/>
  <c r="G1065" i="59"/>
  <c r="G1064" i="59"/>
  <c r="F1047" i="59"/>
  <c r="H1042" i="59"/>
  <c r="G1042" i="59"/>
  <c r="H1041" i="59"/>
  <c r="G1041" i="59"/>
  <c r="H1040" i="59"/>
  <c r="G1040" i="59"/>
  <c r="H1039" i="59"/>
  <c r="G1039" i="59"/>
  <c r="G1030" i="59"/>
  <c r="H1030" i="59" s="1"/>
  <c r="I1030" i="59" s="1"/>
  <c r="F1024" i="59"/>
  <c r="E1030" i="59" s="1"/>
  <c r="E1024" i="59"/>
  <c r="G1024" i="59" s="1"/>
  <c r="D1020" i="59"/>
  <c r="D1021" i="59" s="1"/>
  <c r="D1022" i="59" s="1"/>
  <c r="D1023" i="59" s="1"/>
  <c r="E1014" i="59"/>
  <c r="F1014" i="59" s="1"/>
  <c r="G1014" i="59" s="1"/>
  <c r="I1014" i="59" s="1"/>
  <c r="F1003" i="59"/>
  <c r="G1002" i="59"/>
  <c r="G1001" i="59"/>
  <c r="G1000" i="59"/>
  <c r="F981" i="59"/>
  <c r="F974" i="59"/>
  <c r="F975" i="59" s="1"/>
  <c r="F973" i="59"/>
  <c r="G964" i="59"/>
  <c r="G963" i="59"/>
  <c r="G958" i="59"/>
  <c r="G931" i="59"/>
  <c r="G930" i="59"/>
  <c r="G929" i="59"/>
  <c r="G903" i="59"/>
  <c r="G902" i="59"/>
  <c r="G901" i="59"/>
  <c r="H874" i="59"/>
  <c r="G874" i="59"/>
  <c r="F874" i="59"/>
  <c r="I873" i="59"/>
  <c r="I872" i="59"/>
  <c r="F866" i="59"/>
  <c r="J864" i="59"/>
  <c r="H864" i="59"/>
  <c r="F864" i="59"/>
  <c r="L864" i="59" s="1"/>
  <c r="F867" i="59" s="1"/>
  <c r="K803" i="59"/>
  <c r="G798" i="59"/>
  <c r="F798" i="59"/>
  <c r="G776" i="59"/>
  <c r="J763" i="59"/>
  <c r="J762" i="59"/>
  <c r="J761" i="59"/>
  <c r="J760" i="59"/>
  <c r="J759" i="59"/>
  <c r="J758" i="59"/>
  <c r="J757" i="59"/>
  <c r="J756" i="59"/>
  <c r="J755" i="59"/>
  <c r="J754" i="59"/>
  <c r="J753" i="59"/>
  <c r="J752" i="59"/>
  <c r="J751" i="59"/>
  <c r="J750" i="59"/>
  <c r="J749" i="59"/>
  <c r="J748" i="59"/>
  <c r="J747" i="59"/>
  <c r="J746" i="59"/>
  <c r="J745" i="59"/>
  <c r="J744" i="59"/>
  <c r="J743" i="59"/>
  <c r="J742" i="59"/>
  <c r="J741" i="59"/>
  <c r="J740" i="59"/>
  <c r="G734" i="59"/>
  <c r="F733" i="59"/>
  <c r="F732" i="59"/>
  <c r="F731" i="59"/>
  <c r="F730" i="59"/>
  <c r="F729" i="59"/>
  <c r="F728" i="59"/>
  <c r="F727" i="59"/>
  <c r="F726" i="59"/>
  <c r="F725" i="59"/>
  <c r="F724" i="59"/>
  <c r="F723" i="59"/>
  <c r="F722" i="59"/>
  <c r="G712" i="59"/>
  <c r="F699" i="59"/>
  <c r="E703" i="59" s="1"/>
  <c r="I703" i="59" s="1"/>
  <c r="E705" i="59" s="1"/>
  <c r="G698" i="59"/>
  <c r="G697" i="59"/>
  <c r="G696" i="59"/>
  <c r="G695" i="59"/>
  <c r="G694" i="59"/>
  <c r="G693" i="59"/>
  <c r="G692" i="59"/>
  <c r="G691" i="59"/>
  <c r="G690" i="59"/>
  <c r="G689" i="59"/>
  <c r="K688" i="59"/>
  <c r="L688" i="59" s="1"/>
  <c r="M688" i="59" s="1"/>
  <c r="G688" i="59"/>
  <c r="K687" i="59"/>
  <c r="L687" i="59" s="1"/>
  <c r="M687" i="59" s="1"/>
  <c r="G687" i="59"/>
  <c r="K686" i="59"/>
  <c r="L686" i="59" s="1"/>
  <c r="J648" i="59"/>
  <c r="H623" i="59"/>
  <c r="F623" i="59"/>
  <c r="G623" i="59" s="1"/>
  <c r="I623" i="59" s="1"/>
  <c r="G612" i="59"/>
  <c r="G611" i="59"/>
  <c r="G588" i="59"/>
  <c r="F588" i="59"/>
  <c r="F581" i="59"/>
  <c r="I581" i="59" s="1"/>
  <c r="F580" i="59"/>
  <c r="I580" i="59" s="1"/>
  <c r="F579" i="59"/>
  <c r="I579" i="59" s="1"/>
  <c r="F578" i="59"/>
  <c r="G578" i="59" s="1"/>
  <c r="J578" i="59" s="1"/>
  <c r="F577" i="59"/>
  <c r="I577" i="59" s="1"/>
  <c r="F576" i="59"/>
  <c r="I576" i="59" s="1"/>
  <c r="F575" i="59"/>
  <c r="I575" i="59" s="1"/>
  <c r="F557" i="59"/>
  <c r="Q497" i="59"/>
  <c r="J475" i="59"/>
  <c r="J472" i="59"/>
  <c r="G472" i="59"/>
  <c r="J471" i="59"/>
  <c r="G471" i="59"/>
  <c r="J470" i="59"/>
  <c r="G470" i="59"/>
  <c r="J469" i="59"/>
  <c r="G469" i="59"/>
  <c r="J468" i="59"/>
  <c r="G468" i="59"/>
  <c r="J467" i="59"/>
  <c r="G467" i="59"/>
  <c r="J466" i="59"/>
  <c r="G466" i="59"/>
  <c r="J465" i="59"/>
  <c r="G465" i="59"/>
  <c r="J464" i="59"/>
  <c r="G464" i="59"/>
  <c r="J463" i="59"/>
  <c r="G463" i="59"/>
  <c r="J462" i="59"/>
  <c r="G462" i="59"/>
  <c r="J461" i="59"/>
  <c r="G461" i="59"/>
  <c r="J453" i="59"/>
  <c r="I453" i="59"/>
  <c r="H453" i="59"/>
  <c r="G453" i="59"/>
  <c r="F453" i="59"/>
  <c r="E453" i="59"/>
  <c r="J437" i="59"/>
  <c r="I437" i="59"/>
  <c r="H437" i="59"/>
  <c r="G437" i="59"/>
  <c r="F437" i="59"/>
  <c r="E437" i="59"/>
  <c r="S385" i="59"/>
  <c r="T385" i="59" s="1"/>
  <c r="G385" i="59"/>
  <c r="H385" i="59" s="1"/>
  <c r="S384" i="59"/>
  <c r="T384" i="59" s="1"/>
  <c r="G384" i="59"/>
  <c r="H384" i="59" s="1"/>
  <c r="S383" i="59"/>
  <c r="T383" i="59" s="1"/>
  <c r="G383" i="59"/>
  <c r="H383" i="59" s="1"/>
  <c r="G369" i="59"/>
  <c r="G370" i="59" s="1"/>
  <c r="E369" i="59"/>
  <c r="E370" i="59" s="1"/>
  <c r="E341" i="59"/>
  <c r="E340" i="59"/>
  <c r="E339" i="59"/>
  <c r="G336" i="59"/>
  <c r="G341" i="59" s="1"/>
  <c r="G335" i="59"/>
  <c r="G340" i="59" s="1"/>
  <c r="G334" i="59"/>
  <c r="G339" i="59" s="1"/>
  <c r="E324" i="59"/>
  <c r="E323" i="59"/>
  <c r="E322" i="59"/>
  <c r="F319" i="59"/>
  <c r="E319" i="59"/>
  <c r="G318" i="59"/>
  <c r="G324" i="59" s="1"/>
  <c r="G317" i="59"/>
  <c r="G323" i="59" s="1"/>
  <c r="G316" i="59"/>
  <c r="G319" i="59" s="1"/>
  <c r="G292" i="59"/>
  <c r="G291" i="59"/>
  <c r="O248" i="59"/>
  <c r="AB73" i="59"/>
  <c r="AB76" i="59" s="1"/>
  <c r="AB72" i="59"/>
  <c r="AC59" i="59"/>
  <c r="G50" i="59" s="1"/>
  <c r="G57" i="59" s="1"/>
  <c r="V59" i="59"/>
  <c r="G49" i="59" s="1"/>
  <c r="H49" i="59" s="1"/>
  <c r="I49" i="59" s="1"/>
  <c r="O59" i="59"/>
  <c r="J59" i="59"/>
  <c r="K57" i="59" s="1"/>
  <c r="F58" i="59"/>
  <c r="F57" i="59"/>
  <c r="F56" i="59"/>
  <c r="G51" i="59"/>
  <c r="H51" i="59" s="1"/>
  <c r="I51" i="59" s="1"/>
  <c r="AJ10" i="56"/>
  <c r="AB74" i="59" l="1"/>
  <c r="AB77" i="59" s="1"/>
  <c r="AB78" i="59" s="1"/>
  <c r="G904" i="59"/>
  <c r="J764" i="59"/>
  <c r="J765" i="59" s="1"/>
  <c r="G771" i="59" s="1"/>
  <c r="G965" i="59"/>
  <c r="F1053" i="59"/>
  <c r="G1053" i="59" s="1"/>
  <c r="H57" i="59"/>
  <c r="E455" i="59"/>
  <c r="E457" i="59" s="1"/>
  <c r="I874" i="59"/>
  <c r="I578" i="59"/>
  <c r="K578" i="59" s="1"/>
  <c r="G575" i="59"/>
  <c r="J575" i="59" s="1"/>
  <c r="K575" i="59" s="1"/>
  <c r="F734" i="59"/>
  <c r="G735" i="59" s="1"/>
  <c r="G769" i="59" s="1"/>
  <c r="K769" i="59" s="1"/>
  <c r="E771" i="59" s="1"/>
  <c r="I771" i="59" s="1"/>
  <c r="G58" i="59"/>
  <c r="H58" i="59" s="1"/>
  <c r="H59" i="59" s="1"/>
  <c r="I56" i="59" s="1"/>
  <c r="G932" i="59"/>
  <c r="H292" i="59"/>
  <c r="I292" i="59" s="1"/>
  <c r="G1067" i="59"/>
  <c r="G322" i="59"/>
  <c r="E1197" i="59"/>
  <c r="L689" i="59"/>
  <c r="M686" i="59"/>
  <c r="M689" i="59" s="1"/>
  <c r="G705" i="59" s="1"/>
  <c r="I705" i="59" s="1"/>
  <c r="H386" i="59"/>
  <c r="J874" i="59"/>
  <c r="J876" i="59" s="1"/>
  <c r="F877" i="59" s="1"/>
  <c r="T386" i="59"/>
  <c r="G579" i="59"/>
  <c r="J579" i="59" s="1"/>
  <c r="K579" i="59" s="1"/>
  <c r="G576" i="59"/>
  <c r="J576" i="59" s="1"/>
  <c r="K576" i="59" s="1"/>
  <c r="G580" i="59"/>
  <c r="J580" i="59" s="1"/>
  <c r="K580" i="59" s="1"/>
  <c r="G56" i="59"/>
  <c r="E325" i="59"/>
  <c r="F322" i="59" s="1"/>
  <c r="G581" i="59"/>
  <c r="J581" i="59" s="1"/>
  <c r="K581" i="59" s="1"/>
  <c r="K689" i="59"/>
  <c r="G577" i="59"/>
  <c r="J577" i="59" s="1"/>
  <c r="K577" i="59" s="1"/>
  <c r="H50" i="59"/>
  <c r="I50" i="59" s="1"/>
  <c r="I52" i="59" s="1"/>
  <c r="R60" i="59" s="1"/>
  <c r="E342" i="59"/>
  <c r="F340" i="59" s="1"/>
  <c r="H340" i="59" s="1"/>
  <c r="BL16" i="56"/>
  <c r="BP16" i="56" s="1"/>
  <c r="BK16" i="56"/>
  <c r="BO16" i="56" s="1"/>
  <c r="BJ16" i="56"/>
  <c r="BN16" i="56" s="1"/>
  <c r="BI16" i="56"/>
  <c r="BM16" i="56" s="1"/>
  <c r="BP19" i="56"/>
  <c r="BO19" i="56"/>
  <c r="BN19" i="56"/>
  <c r="BM19" i="56"/>
  <c r="BL12" i="56"/>
  <c r="BP12" i="56" s="1"/>
  <c r="BK12" i="56"/>
  <c r="BO12" i="56" s="1"/>
  <c r="BJ12" i="56"/>
  <c r="BN12" i="56" s="1"/>
  <c r="BI12" i="56"/>
  <c r="BM12" i="56" s="1"/>
  <c r="BL10" i="56"/>
  <c r="BK10" i="56"/>
  <c r="BJ10" i="56"/>
  <c r="BI10" i="56"/>
  <c r="AJ16" i="56"/>
  <c r="AK16" i="56" s="1"/>
  <c r="AJ19" i="56"/>
  <c r="AK19" i="56" s="1"/>
  <c r="AD16" i="56"/>
  <c r="AD19" i="56"/>
  <c r="AD12" i="56"/>
  <c r="AD10" i="56"/>
  <c r="P16" i="56"/>
  <c r="P19" i="56"/>
  <c r="P12" i="56"/>
  <c r="P10" i="56"/>
  <c r="I58" i="59" l="1"/>
  <c r="I57" i="59"/>
  <c r="I59" i="59" s="1"/>
  <c r="K582" i="59"/>
  <c r="H322" i="59"/>
  <c r="F339" i="59"/>
  <c r="F341" i="59"/>
  <c r="H341" i="59" s="1"/>
  <c r="F324" i="59"/>
  <c r="H324" i="59" s="1"/>
  <c r="F323" i="59"/>
  <c r="H323" i="59" s="1"/>
  <c r="CL3" i="56"/>
  <c r="CM3" i="56" s="1"/>
  <c r="CN3" i="56" s="1"/>
  <c r="CO3" i="56" s="1"/>
  <c r="CP3" i="56" s="1"/>
  <c r="CQ3" i="56" s="1"/>
  <c r="CR3" i="56" s="1"/>
  <c r="CS3" i="56" s="1"/>
  <c r="CT3" i="56" s="1"/>
  <c r="CU3" i="56" s="1"/>
  <c r="CV3" i="56" s="1"/>
  <c r="AK12" i="56"/>
  <c r="D223" i="58"/>
  <c r="D222" i="58"/>
  <c r="D221" i="58"/>
  <c r="D215" i="58"/>
  <c r="D213" i="58"/>
  <c r="D212" i="58"/>
  <c r="D210" i="58"/>
  <c r="D208" i="58"/>
  <c r="D190" i="58"/>
  <c r="D185" i="58"/>
  <c r="D184" i="58"/>
  <c r="D179" i="58"/>
  <c r="D196" i="58" s="1"/>
  <c r="D178" i="58"/>
  <c r="D214" i="58" s="1"/>
  <c r="D177" i="58"/>
  <c r="D217" i="58" s="1"/>
  <c r="D176" i="58"/>
  <c r="D216" i="58" s="1"/>
  <c r="D175" i="58"/>
  <c r="D204" i="58" s="1"/>
  <c r="D174" i="58"/>
  <c r="D192" i="58" s="1"/>
  <c r="D173" i="58"/>
  <c r="D191" i="58" s="1"/>
  <c r="D172" i="58"/>
  <c r="D200" i="58" s="1"/>
  <c r="D171" i="58"/>
  <c r="D201" i="58" s="1"/>
  <c r="D163" i="58"/>
  <c r="D160" i="58"/>
  <c r="D209" i="58" s="1"/>
  <c r="D159" i="58"/>
  <c r="D205" i="58" s="1"/>
  <c r="D158" i="58"/>
  <c r="D207" i="58" s="1"/>
  <c r="D157" i="58"/>
  <c r="D203" i="58" s="1"/>
  <c r="D156" i="58"/>
  <c r="D211" i="58" s="1"/>
  <c r="D155" i="58"/>
  <c r="D202" i="58" s="1"/>
  <c r="D154" i="58"/>
  <c r="D195" i="58" s="1"/>
  <c r="D153" i="58"/>
  <c r="D220" i="58" s="1"/>
  <c r="D152" i="58"/>
  <c r="D151" i="58"/>
  <c r="D206" i="58" s="1"/>
  <c r="D150" i="58"/>
  <c r="D219" i="58" s="1"/>
  <c r="D149" i="58"/>
  <c r="D194" i="58" s="1"/>
  <c r="D148" i="58"/>
  <c r="D199" i="58" s="1"/>
  <c r="D147" i="58"/>
  <c r="D198" i="58" s="1"/>
  <c r="D146" i="58"/>
  <c r="D218" i="58" s="1"/>
  <c r="D145" i="58"/>
  <c r="D197" i="58" s="1"/>
  <c r="D144" i="58"/>
  <c r="D189" i="58" s="1"/>
  <c r="D143" i="58"/>
  <c r="D142" i="58"/>
  <c r="D193" i="58" s="1"/>
  <c r="S137" i="58"/>
  <c r="R137" i="58"/>
  <c r="Q137" i="58"/>
  <c r="P137" i="58"/>
  <c r="O137" i="58"/>
  <c r="N137" i="58"/>
  <c r="M137" i="58"/>
  <c r="L137" i="58"/>
  <c r="K137" i="58"/>
  <c r="J137" i="58"/>
  <c r="I137" i="58"/>
  <c r="H137" i="58"/>
  <c r="G137" i="58"/>
  <c r="F137" i="58"/>
  <c r="E137" i="58"/>
  <c r="D108" i="58"/>
  <c r="S93" i="58"/>
  <c r="R93" i="58"/>
  <c r="Q93" i="58"/>
  <c r="P93" i="58"/>
  <c r="O93" i="58"/>
  <c r="N93" i="58"/>
  <c r="M93" i="58"/>
  <c r="L93" i="58"/>
  <c r="K93" i="58"/>
  <c r="J93" i="58"/>
  <c r="I93" i="58"/>
  <c r="H93" i="58"/>
  <c r="G93" i="58"/>
  <c r="F93" i="58"/>
  <c r="E93" i="58"/>
  <c r="D92" i="58"/>
  <c r="D91" i="58"/>
  <c r="D90" i="58"/>
  <c r="D89" i="58"/>
  <c r="D88" i="58"/>
  <c r="D87" i="58"/>
  <c r="D86" i="58"/>
  <c r="D85" i="58"/>
  <c r="D84" i="58"/>
  <c r="D83" i="58"/>
  <c r="D82" i="58"/>
  <c r="D80" i="58"/>
  <c r="D79" i="58"/>
  <c r="D78" i="58"/>
  <c r="D77" i="58"/>
  <c r="D76" i="58"/>
  <c r="D75" i="58"/>
  <c r="D74" i="58"/>
  <c r="D73" i="58"/>
  <c r="D72" i="58"/>
  <c r="D71" i="58"/>
  <c r="D70" i="58"/>
  <c r="D69" i="58"/>
  <c r="D68" i="58"/>
  <c r="D67" i="58"/>
  <c r="D66" i="58"/>
  <c r="D65" i="58"/>
  <c r="D64" i="58"/>
  <c r="D63" i="58"/>
  <c r="D62" i="58"/>
  <c r="D61" i="58"/>
  <c r="D60" i="58"/>
  <c r="D59" i="58"/>
  <c r="D58" i="58"/>
  <c r="D57" i="58"/>
  <c r="D56" i="58"/>
  <c r="D55" i="58"/>
  <c r="D54" i="58"/>
  <c r="CA10" i="56"/>
  <c r="BZ10" i="56"/>
  <c r="BY10" i="56"/>
  <c r="BP10" i="56"/>
  <c r="BO10" i="56"/>
  <c r="BN10" i="56"/>
  <c r="BM10" i="56"/>
  <c r="F325" i="59" l="1"/>
  <c r="F342" i="59"/>
  <c r="H339" i="59"/>
  <c r="H342" i="59" s="1"/>
  <c r="I342" i="59" s="1"/>
  <c r="H325" i="59"/>
  <c r="I325" i="59" s="1"/>
  <c r="AK10" i="56"/>
  <c r="L10" i="10"/>
  <c r="L9" i="10"/>
  <c r="L8" i="10"/>
  <c r="E63" i="10"/>
  <c r="G59" i="10" l="1"/>
  <c r="F59" i="10"/>
  <c r="G57" i="10"/>
  <c r="F57" i="10"/>
  <c r="G51" i="10"/>
  <c r="F51" i="10"/>
  <c r="G49" i="10"/>
  <c r="F49" i="10"/>
  <c r="G47" i="10"/>
  <c r="F47" i="10"/>
  <c r="G41" i="10"/>
  <c r="F41" i="10"/>
  <c r="G36" i="10"/>
  <c r="F36" i="10"/>
  <c r="G34" i="10"/>
  <c r="F34" i="10"/>
  <c r="G23" i="10"/>
  <c r="F23" i="10"/>
  <c r="G15" i="10"/>
  <c r="G12" i="10"/>
  <c r="F12" i="10"/>
  <c r="F15" i="10"/>
  <c r="N8" i="11" l="1"/>
  <c r="J9" i="12"/>
  <c r="I9" i="12"/>
  <c r="G9" i="12"/>
  <c r="AL9" i="33" a="1"/>
  <c r="AL9" i="33" s="1"/>
  <c r="AK9" i="33" a="1"/>
  <c r="AK9" i="33" s="1"/>
  <c r="AJ9" i="33" a="1"/>
  <c r="AJ9" i="33" s="1"/>
  <c r="AI9" i="33" a="1"/>
  <c r="AI9" i="33" s="1"/>
  <c r="N8" i="16"/>
  <c r="D12" i="33"/>
  <c r="F12" i="33"/>
  <c r="AE12" i="33"/>
  <c r="AF12" i="33"/>
  <c r="AG12" i="33"/>
  <c r="AH12" i="33"/>
  <c r="AM12" i="33"/>
  <c r="AN12" i="33"/>
  <c r="AO12" i="33"/>
  <c r="AP12" i="33"/>
  <c r="H9" i="50"/>
  <c r="H11" i="50"/>
  <c r="H13" i="50"/>
  <c r="F9" i="50"/>
  <c r="D7" i="24"/>
  <c r="H9" i="12"/>
  <c r="D15" i="16"/>
  <c r="F15" i="16"/>
  <c r="N15" i="16"/>
  <c r="P15" i="16"/>
  <c r="G7" i="10"/>
  <c r="F13" i="50" l="1"/>
  <c r="J11" i="50"/>
  <c r="F11" i="50"/>
  <c r="J9" i="50"/>
  <c r="F15" i="50"/>
  <c r="J13" i="50"/>
  <c r="D16" i="24"/>
  <c r="D15" i="24"/>
  <c r="E7" i="10" l="1"/>
  <c r="D815" i="10"/>
  <c r="G815" i="10" s="1"/>
  <c r="F10" i="12"/>
  <c r="E9" i="12"/>
  <c r="D14" i="12"/>
  <c r="F14" i="12"/>
  <c r="AE14" i="12"/>
  <c r="AF14" i="12"/>
  <c r="AG14" i="12"/>
  <c r="AH14" i="12"/>
  <c r="AM14" i="12"/>
  <c r="AN14" i="12"/>
  <c r="AO14" i="12"/>
  <c r="AP14" i="12"/>
  <c r="Q8" i="11"/>
  <c r="E8" i="11"/>
  <c r="D10" i="11"/>
  <c r="F10" i="11"/>
  <c r="N10" i="11"/>
  <c r="P10" i="11"/>
  <c r="D7" i="10" l="1"/>
  <c r="D9" i="33"/>
  <c r="D9" i="12"/>
  <c r="D8" i="16"/>
  <c r="D8" i="11"/>
  <c r="D14" i="24"/>
  <c r="F9" i="33"/>
  <c r="AH9" i="33"/>
  <c r="AG9" i="33"/>
  <c r="AF9" i="33"/>
  <c r="AE9" i="33"/>
  <c r="AM9" i="33"/>
  <c r="AN9" i="33"/>
  <c r="AO9" i="33"/>
  <c r="AP9" i="33"/>
  <c r="AP9" i="12"/>
  <c r="AO9" i="12"/>
  <c r="AN9" i="12"/>
  <c r="AM9" i="12"/>
  <c r="AH9" i="12"/>
  <c r="AG9" i="12"/>
  <c r="AF9" i="12"/>
  <c r="AE9" i="12"/>
  <c r="F9" i="12"/>
  <c r="F8" i="16"/>
  <c r="F8" i="11"/>
  <c r="P8" i="16"/>
  <c r="P8" i="11"/>
  <c r="W2" i="43"/>
  <c r="W3" i="43"/>
  <c r="W4" i="43"/>
  <c r="W5" i="43"/>
  <c r="W6" i="43"/>
  <c r="W7" i="43"/>
  <c r="W8" i="43"/>
  <c r="W9" i="43"/>
  <c r="W10" i="43"/>
  <c r="W11" i="43"/>
  <c r="W12" i="43"/>
  <c r="W13" i="43"/>
  <c r="W14" i="43"/>
  <c r="W15" i="43"/>
  <c r="W16" i="43"/>
  <c r="W17" i="43"/>
  <c r="W18" i="43"/>
  <c r="W19" i="43"/>
  <c r="W20" i="43"/>
  <c r="W21" i="43"/>
  <c r="W22" i="43"/>
  <c r="W23" i="43"/>
  <c r="W24" i="43"/>
  <c r="W25" i="43"/>
  <c r="W26" i="43"/>
  <c r="AF2" i="36"/>
  <c r="AG2" i="36" s="1"/>
  <c r="AH2" i="36" s="1"/>
  <c r="AI2" i="36" s="1"/>
  <c r="AJ2" i="36" s="1"/>
  <c r="AK2" i="36" s="1"/>
  <c r="AL2" i="36" s="1"/>
  <c r="AM2" i="36" s="1"/>
  <c r="AN2" i="36" s="1"/>
  <c r="AO2" i="36" s="1"/>
  <c r="AP2" i="36" s="1"/>
  <c r="AQ2" i="36" s="1"/>
  <c r="AR2" i="36" s="1"/>
  <c r="AE7" i="36"/>
  <c r="AE8" i="36" s="1"/>
  <c r="AE9" i="36" s="1"/>
  <c r="AE10" i="36" s="1"/>
  <c r="S3" i="10"/>
  <c r="T3" i="10" s="1"/>
  <c r="U3" i="10" s="1"/>
  <c r="V3" i="10" s="1"/>
  <c r="W3" i="10" s="1"/>
  <c r="X3" i="10" s="1"/>
  <c r="Y3" i="10" s="1"/>
  <c r="Z3" i="10" s="1"/>
  <c r="AA3" i="10" s="1"/>
  <c r="AB3" i="10" s="1"/>
  <c r="AC3" i="10" s="1"/>
  <c r="AU9" i="33" l="1"/>
  <c r="AX9" i="33"/>
  <c r="AV9" i="33"/>
  <c r="AW9" i="33"/>
  <c r="AU12" i="33"/>
  <c r="AV12" i="33"/>
  <c r="AW12" i="33"/>
  <c r="AX12" i="33"/>
  <c r="R15" i="16"/>
  <c r="AW14" i="12"/>
  <c r="AX14" i="12"/>
  <c r="AU14" i="12"/>
  <c r="R10" i="11"/>
  <c r="AV14" i="12"/>
  <c r="AW9" i="12"/>
  <c r="AX9" i="12"/>
  <c r="AV9" i="12"/>
  <c r="R8" i="11"/>
  <c r="R8" i="16"/>
  <c r="AU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APRILIA SWESTY</author>
  </authors>
  <commentList>
    <comment ref="H1094" authorId="0" shapeId="0" xr:uid="{D96FF5D1-1F8B-464E-AA90-E2F7DAD2FEAD}">
      <text>
        <r>
          <rPr>
            <sz val="10"/>
            <color rgb="FF000000"/>
            <rFont val="Calibri"/>
            <family val="2"/>
          </rPr>
          <t>Jadi dasar  untuk skala probability)</t>
        </r>
      </text>
    </comment>
    <comment ref="H1127" authorId="0" shapeId="0" xr:uid="{F86A55E5-29FA-41B6-A011-E9F568DB4D9C}">
      <text>
        <r>
          <rPr>
            <sz val="10"/>
            <color rgb="FF000000"/>
            <rFont val="Calibri"/>
            <family val="2"/>
          </rPr>
          <t>Jadi dasar  untuk skala probability</t>
        </r>
      </text>
    </comment>
    <comment ref="H1176" authorId="0" shapeId="0" xr:uid="{6E5B25DE-715E-4772-BA8F-56B2CE1341F5}">
      <text>
        <r>
          <rPr>
            <sz val="10"/>
            <color rgb="FF000000"/>
            <rFont val="Tahoma"/>
            <family val="2"/>
          </rPr>
          <t>J</t>
        </r>
        <r>
          <rPr>
            <sz val="10"/>
            <color rgb="FF000000"/>
            <rFont val="Calibri"/>
            <family val="2"/>
            <scheme val="minor"/>
          </rPr>
          <t>adi dasar  untuk skala probability</t>
        </r>
      </text>
    </comment>
    <comment ref="E1197" authorId="0" shapeId="0" xr:uid="{2C689E60-7EA5-4A86-BEE3-9BC2445C9FBE}">
      <text>
        <r>
          <rPr>
            <sz val="10"/>
            <color rgb="FF000000"/>
            <rFont val="Tahoma"/>
            <family val="2"/>
          </rPr>
          <t>Justifikasi penetapan nilai probabilitas peristiwa risiko</t>
        </r>
      </text>
    </comment>
    <comment ref="G1284" authorId="0" shapeId="0" xr:uid="{C6D16950-1862-46BD-8569-11016416F258}">
      <text>
        <r>
          <rPr>
            <sz val="10"/>
            <color rgb="FF000000"/>
            <rFont val="Tahoma"/>
            <family val="2"/>
          </rPr>
          <t>Justifikasi penetapan nilai probabilitas perisriwa risiko</t>
        </r>
      </text>
    </comment>
  </commentList>
</comments>
</file>

<file path=xl/sharedStrings.xml><?xml version="1.0" encoding="utf-8"?>
<sst xmlns="http://schemas.openxmlformats.org/spreadsheetml/2006/main" count="6317" uniqueCount="3277">
  <si>
    <t>LAMPIRAN</t>
  </si>
  <si>
    <t>KEPUTUSAN DEPUTI BIDANG KEUANGAN DAN MANAJEMEN RISIKO</t>
  </si>
  <si>
    <t xml:space="preserve">NOMOR	: 	</t>
  </si>
  <si>
    <t>SK-6/DKU.MBU/10/2023</t>
  </si>
  <si>
    <t xml:space="preserve">TENTANG:	</t>
  </si>
  <si>
    <t>PETUNJUK TEKNIS PROSES MANAJEMEN RISIKO DAN AGREGASI PADA TAKSONOMI RISIKO PORTOFOLIO BADAN USAHA MILIK NEGARA</t>
  </si>
  <si>
    <t>TANGGAL	:</t>
  </si>
  <si>
    <t xml:space="preserve">26 OKTOBER 2023 </t>
  </si>
  <si>
    <t>FORMAT PENYUSUNAN PERENCANAAN</t>
  </si>
  <si>
    <t>MANAJEMEN RISIKO</t>
  </si>
  <si>
    <t>BADAN USAHA MILIK NEGARA</t>
  </si>
  <si>
    <t>KEMENTERIAN BUMN</t>
  </si>
  <si>
    <t>JALAN MEDAN MERDEKA SELATAN NO.13 JAKARTA 10110</t>
  </si>
  <si>
    <t>DAFTAR ISI</t>
  </si>
  <si>
    <t>Format Metrik Strategi Risiko</t>
  </si>
  <si>
    <t>Lengkap</t>
  </si>
  <si>
    <t>Format Pilihan Sasaran&amp;Strategi Bisnis</t>
  </si>
  <si>
    <t>Belum Lengkap</t>
  </si>
  <si>
    <t>Format Profil Risiko</t>
  </si>
  <si>
    <t>Format Risiko Inheren Kuantitatif</t>
  </si>
  <si>
    <t>Format Risiko Inheren Kualitatif</t>
  </si>
  <si>
    <t>Format Risiko Residual Kuantitatif</t>
  </si>
  <si>
    <t>Format Risiko Residual Kualitatif</t>
  </si>
  <si>
    <t>Format Rencana Perlakuan Risiko</t>
  </si>
  <si>
    <t>Format Heatmap</t>
  </si>
  <si>
    <t>Kriteria Dampak dan Probabilitas</t>
  </si>
  <si>
    <t>Definisi Taksonomi Risiko</t>
  </si>
  <si>
    <t>Petunjuk Pengisian Data Perencanaan Keuangan pada SIM KBUMN Melalui Platform Anaplan</t>
  </si>
  <si>
    <t>Ilustrasi Contoh Perhitungan Ambang Batas Risiko dan Pola Integrasi Risiko</t>
  </si>
  <si>
    <t>Kembali ke Daftar Isi</t>
  </si>
  <si>
    <t>Penerimaan Risiko Level Entitas/Korporate</t>
  </si>
  <si>
    <t>Data Item</t>
  </si>
  <si>
    <t>Nilai Kapasitas Risiko Perusahaan</t>
  </si>
  <si>
    <t>Nilai Selera Risiko Perusahaan</t>
  </si>
  <si>
    <t>Nilai Toleransi Risiko Perusahaan</t>
  </si>
  <si>
    <t>Nilai Batasan Risiko</t>
  </si>
  <si>
    <t>Jenis Data</t>
  </si>
  <si>
    <t>Nilai rupiah/mata uang fungsional pembukuan</t>
  </si>
  <si>
    <t>Petunjuk</t>
  </si>
  <si>
    <r>
      <t xml:space="preserve">Diisi dengan nilai kapasitas risiko yang dimiliki oleh perusahaan. Kapasitas risiko perusahaan adalah maksimum nilai Risiko yang dapat ditanggung perusahaan berdasarkan modal, </t>
    </r>
    <r>
      <rPr>
        <i/>
        <sz val="8"/>
        <color theme="1"/>
        <rFont val="Arial"/>
        <family val="2"/>
      </rPr>
      <t>net working capital</t>
    </r>
    <r>
      <rPr>
        <sz val="8"/>
        <color theme="1"/>
        <rFont val="Arial"/>
        <family val="2"/>
      </rPr>
      <t>, likuiditas, total kemampuan pendanaan perusahaan, atau nilai batasan lainnya.</t>
    </r>
  </si>
  <si>
    <t>Diisi dengan nilai selera risiko yang dihitung berdasarkan nilai batasan keseluruhan risiko yang bersedia diambil untuk mendapatkan hasil yang diharapkan.</t>
  </si>
  <si>
    <t>Diisi dengan nilai batasan risiko yang dapat ditoleransi dari nilai Selera Risiko yang bersedia diambil. Nilai ini lebih besar dari nilai Selera Risiko.</t>
  </si>
  <si>
    <t>Diisi dengan nilai batasan risiko yang akan didistribusikan dan menjadi acuan bagi unit pemilik risiko.</t>
  </si>
  <si>
    <t>Notes</t>
  </si>
  <si>
    <t>(satuan dalam rupiah/mata uang fungsional pembukuan).</t>
  </si>
  <si>
    <t>Start pengisian</t>
  </si>
  <si>
    <t>Metrik Strategi Risiko</t>
  </si>
  <si>
    <t>No.</t>
  </si>
  <si>
    <t>Nama BUMN</t>
  </si>
  <si>
    <t>Kode BUMN</t>
  </si>
  <si>
    <t>Kategori Risiko BUMN</t>
  </si>
  <si>
    <t>Kategori Risiko T2 &amp; T3 KBUMN</t>
  </si>
  <si>
    <t>Risk Appetite Statement</t>
  </si>
  <si>
    <t>Sikap Terhadap Risiko</t>
  </si>
  <si>
    <t>Parameter</t>
  </si>
  <si>
    <t>Satuan Ukuran</t>
  </si>
  <si>
    <t>Nilai Batasan/Limit</t>
  </si>
  <si>
    <t>Number</t>
  </si>
  <si>
    <t>Dropdown list</t>
  </si>
  <si>
    <t>Formula</t>
  </si>
  <si>
    <t xml:space="preserve">Free Text </t>
  </si>
  <si>
    <t>Dropdown List</t>
  </si>
  <si>
    <t>Free Text</t>
  </si>
  <si>
    <t>Free Text/Ratio/Number</t>
  </si>
  <si>
    <t>Kolom ini tidak perlu diisi. Akan diisi oleh Kementerian BUMN</t>
  </si>
  <si>
    <t>Diisi dengan taksonomi risiko yang berlaku pada masing-masing BUMN</t>
  </si>
  <si>
    <t>Diisi dengan pilihan kategori risiko Portofolio BUMN Kementerian BUMN berikut:
1. Risiko Fiskal - Dividen
2. Risiko Fiskal - PMN
3. Risiko Fiskal - Subsidi &amp; Kompensasi
4. Risiko Kebijakan - SDM
5. Risiko Kebijakan - Sektoral
6. Risiko Komposisi - Konsentrasi Portofolio
7. Risiko Struktur - Struktur Korporasi
8. Risiko Restrukturisasi &amp; Reorganisasi - Penggabungan, Pengambilalihan, Peleburan, Pemisahan, Pembubaran, Likuidasi, Kemitraan, dan Restrukturisasi
9. Risiko Industri Umum - Formulasi Strategis
10. Risiko Industri Umum - Pasar &amp; Makroekonomi
11. Risiko Industri Umum - Keuangan
12. Risiko Industri Umum - Reputasi &amp; Kepatuhan
13. Risiko Industri Umum - Proyek
14. Risiko Industri Umum - Teknologi &amp; Keamanan Siber
15. Risiko Industri Umum - Sosial &amp; Lingkungan
16. Risiko Industri Umum - Operasional
17. Risiko Industri Perbankan - Kredit
18. Risiko Industri Perbankan - Likuiditas
19. Risiko Industri Asuransi - Investasi
20. Risiko Industri Asuransi - Aktuarial
21. Risiko lainnya</t>
  </si>
  <si>
    <t xml:space="preserve">Diisikan dengan pernyataan selera risiko BUMN </t>
  </si>
  <si>
    <t>Diisikan dengan postur selera risiko atas suatu taksonomi risiko yang terdiri dari:
1. Tidak Toleran
2. Konservatif
3. Moderat
4. Strategis</t>
  </si>
  <si>
    <t>Diisi dengan parameter risiko yang mencerminkan pernyataan selera risiko BUMN.
Apabila terdapat lebih dari satu parameter, maka parameter berikutnya ditambahkan pada row dibawahnya dan tidak diinput pada satu cell row yang sama dengan parameter sebelumnya.</t>
  </si>
  <si>
    <t>Diisikan dengan satuan ukuran atau nominal atas level selera risiko relevan yang dipilih</t>
  </si>
  <si>
    <t>Diisi dengan nilai batasan atas parameter yang telah ditetapkan. Nilai batasan ini tidak boleh dilanggar dan akan menjadi barometer penentu suatu sasaran dan strategi diterima dan menjadi usulan dalam rancangan RKAP.</t>
  </si>
  <si>
    <t>- BUMN pada Industri Umum tidak boleh memetakan dalam kategori Risiko Industri Perbankan dan Asuransi
- BUMN pada Industri perbankan &amp; asuransi ikut memetakan dalam kategori risiko Industri Umum</t>
  </si>
  <si>
    <t xml:space="preserve">Contoh parameter:
- Tingkat fraud;
- Tingkat fatality;
- Tingkat kegagalan inovasi;
- Rasio biaya operasi;
- Dan lain-lain. </t>
  </si>
  <si>
    <t>Contoh:
- %
- kali
- dan lain-lain</t>
  </si>
  <si>
    <t>PT Perusahaan Listrik Negara (Persero)</t>
  </si>
  <si>
    <t>T4</t>
  </si>
  <si>
    <t>16. Risiko Industri Umum - Operasional</t>
  </si>
  <si>
    <t>PT PLN Batam memiliki CAUTIOUS appetite terhadap gangguan operasional yang mempengaruhi kualitas (power quality), keandalan (reliability), dan ketersediaan (availability) pasokan listrik dan aset perusahaan, dengan tetap mempertahankan efisiensi.</t>
  </si>
  <si>
    <t xml:space="preserve">Moderat </t>
  </si>
  <si>
    <t xml:space="preserve">Pemehuan </t>
  </si>
  <si>
    <t>No</t>
  </si>
  <si>
    <t xml:space="preserve">Pilihan Sasaran </t>
  </si>
  <si>
    <t>Pilihan Strategi</t>
  </si>
  <si>
    <t>Hasil yang diharapkan  dapat diterima perusahaan</t>
  </si>
  <si>
    <t>Nilai Risiko Yang Akan Timbul</t>
  </si>
  <si>
    <t>Nilai limit risiko sesuai dengan parameter risiko dalam Metrik Strategi Risiko</t>
  </si>
  <si>
    <t>Keputusan Penetapan</t>
  </si>
  <si>
    <t xml:space="preserve">Diisi dengan berbagai pilihan sasaran yang menjadi dinamika dalam perencanaan penyusunan rancangan RKAP. </t>
  </si>
  <si>
    <t xml:space="preserve">Diisi dengan berbagai pilihan strategi yang menjadi dinamika dalam perencanaan penyusunan rancangan RKAP. </t>
  </si>
  <si>
    <t>Diisi dengan nilai kuantitatif dalam mata uang rupiah/mata uang fungsional pembukuan atas hasil yang diharapkan dari pelaksanaan sasaran dan strategi yang akan dijalankan pada tahun 2024.</t>
  </si>
  <si>
    <t>Diisi dengan nilai risiko yang akan timbul sebagai konsekuensi dari suatu sasaran dan strategi yang akan dijalankan.</t>
  </si>
  <si>
    <t>Diisi dengan batasan risiko / limit risiko sesuai dengan parameter risiko dalam metrik strategi risiko.</t>
  </si>
  <si>
    <t>Diisi dengan pilihan:
- Lanjut: apabila sasaran dan strategi diterima menjadi sasaran dan strategi yang akan dijalankan dalam rancangan RKAP.
- Tidak Lanjut: apabila sasaran dan strategi tidak dapat diterima dan tidak dapat dimasukkan dalam sasaran dan strategi yang akan dijalankan di dalam rancangan RKAP.</t>
  </si>
  <si>
    <t>Sasaran adalah: tujuan yang akan dicapai meliputi tingkat pertumbuhan dan kesehatan perusahaan serta sasaran bidang/unit kegiatan secara kuantitatif dan spesifik setiap tahunnya.</t>
  </si>
  <si>
    <t>Strategi adalah cara yang digunakan untuk mencapai sasaran, meliputi strategi korporasi sesuai posisi perusahaan, strategi bisnis, dan strategi fungsional tiap bidang/unit kegiatan.</t>
  </si>
  <si>
    <t>-  Keputusan pemilihan sasaran tersebut terdiri dari: (i) lanjut, apabila imbal hasil (return) yang akan diperoleh sebanding dengan risiko (risk) yang dapat diterima oleh perusahaan, dan (ii) tidak lanjut, apabila risiko (risk) di luar ambang yang dapat diterima oleh perusahaan walaupun imbal hasil (return) tinggi.
- Dokumentasi seluruh hasil pemilihan sasaran baik lanjut maupun tidak lanjut dimuat dalam dokumen perencanaan strategis BUMN baik RJP atau RKAP.</t>
  </si>
  <si>
    <t>Contoh pengisian</t>
  </si>
  <si>
    <t>Peningkatan segmen korporasi dengan pertumbuhan 5% yang akan dijalankan melalui strategi:</t>
  </si>
  <si>
    <t>Tambahan penjualan Rp800 miliar</t>
  </si>
  <si>
    <t>Penurunan cashflow operasi Rp200 miliar</t>
  </si>
  <si>
    <t>Penurunan cashflow operasi, limitnya sampai dengan Rp500 miliar</t>
  </si>
  <si>
    <t>Lanjut</t>
  </si>
  <si>
    <t>1. Pemberian diskon harga sampai dengan 10% bagi korporasi yang membeli lebih dari 10 ribu ton per bulan.</t>
  </si>
  <si>
    <t>Tidak Lanjut</t>
  </si>
  <si>
    <t>2. Pelanggan korporasi baru diberikan fleksibilitas pembayaran sampai dengan 6 bulan.</t>
  </si>
  <si>
    <t>Meningkatkan keandalan suply dan kualitas layanan</t>
  </si>
  <si>
    <t>Pencapaian Biaya Pokok Penjualan (BPP) Non MPP (Rp/kWh) Rp 1.453,13</t>
  </si>
  <si>
    <t>Implementasi program anti blackout</t>
  </si>
  <si>
    <t>Penurunan kejadian gangguan</t>
  </si>
  <si>
    <t>EBITDA terealisasi sesuai target Rp 1.617,69 Miliar</t>
  </si>
  <si>
    <t>ROIC terelasasi seusai target 5,65%</t>
  </si>
  <si>
    <t>Pengendalian penggunaan Anggaran Investasi sesuai RKAP 2024</t>
  </si>
  <si>
    <t>Compliance (GCG, Zero Fatality, Kepatuhan K3L, SPI, Reporting, Busdev Alignment)</t>
  </si>
  <si>
    <t>Optimalisasi Penempatan Dana</t>
  </si>
  <si>
    <t>Ketersediaan Saldo Kas Minimal</t>
  </si>
  <si>
    <t>Pemenuhan Roadmap Perbaikan Penerapan Manajemen Risiko</t>
  </si>
  <si>
    <t>Pengendalian atas Pengaruh Fluktuasi Selisih Kurs dengan Melaksanakan Transaksi Lindung Nilai (Hedging)</t>
  </si>
  <si>
    <t>Kecepatan Tagihan Vendor</t>
  </si>
  <si>
    <t>Ketersediaan Pendanaan Pembangunan Pembangkit PLTGU 120 MW di Tahun 2024</t>
  </si>
  <si>
    <t>Human Capital Readiness (HCR) &amp; Organizational Capital Readiness (OCR) dan Produktifitas Pegawai</t>
  </si>
  <si>
    <t>Tingkat Optimalisasi Kredit Pajak dan Pajak Masukan</t>
  </si>
  <si>
    <t>Penguatan sistem jaringan</t>
  </si>
  <si>
    <t>Target Risiko Residual</t>
  </si>
  <si>
    <t>RENCANA PERLAKUAN RISIKO</t>
  </si>
  <si>
    <t>BUMN</t>
  </si>
  <si>
    <t>No. Risiko</t>
  </si>
  <si>
    <t>No. Penyebab Risiko</t>
  </si>
  <si>
    <t>Penyebab risiko</t>
  </si>
  <si>
    <t>Opsi Perlakuan Risiko</t>
  </si>
  <si>
    <t>Jenis Rencana Perlakuan Risiko</t>
  </si>
  <si>
    <t>Rencana Perlakuan Risiko</t>
  </si>
  <si>
    <t>Output  Perlakuan Risiko</t>
  </si>
  <si>
    <t>Biaya Perlakuan Risiko
(Rp/Mata Uang Lain)</t>
  </si>
  <si>
    <t>Pos Anggaran</t>
  </si>
  <si>
    <t>PRK</t>
  </si>
  <si>
    <t>Jenis Program Dalam RKAP</t>
  </si>
  <si>
    <t>PIC</t>
  </si>
  <si>
    <t>Timeline (Bulan)</t>
  </si>
  <si>
    <t>Risk Limit PLN Batam Tahun 2026</t>
  </si>
  <si>
    <t>Peristiwa risiko</t>
  </si>
  <si>
    <t xml:space="preserve">Nilai Dampak </t>
  </si>
  <si>
    <t xml:space="preserve">Skala Dampak </t>
  </si>
  <si>
    <t>Nilai Probabilitas</t>
  </si>
  <si>
    <t xml:space="preserve">Skala Probabilitas </t>
  </si>
  <si>
    <t>Eksposur Risiko</t>
  </si>
  <si>
    <t xml:space="preserve">Skala Risiko </t>
  </si>
  <si>
    <t xml:space="preserve">Level Risiko </t>
  </si>
  <si>
    <t>AP/SH</t>
  </si>
  <si>
    <t>Bidang/Unit
(Drop Down)</t>
  </si>
  <si>
    <t>Sasaran BUMN</t>
  </si>
  <si>
    <t>No KM/KPI Bidang/Unit</t>
  </si>
  <si>
    <r>
      <t xml:space="preserve">Sasaran PLN BATAM (KM UNIT/BIDANG)
</t>
    </r>
    <r>
      <rPr>
        <b/>
        <i/>
        <sz val="8"/>
        <color theme="0"/>
        <rFont val="Arial"/>
        <family val="2"/>
      </rPr>
      <t>(Dropdown)</t>
    </r>
  </si>
  <si>
    <t>Sasaran KBUMN</t>
  </si>
  <si>
    <t>Taksonomi Risiko PLN
(T3)</t>
  </si>
  <si>
    <t>Peristiwa Risiko</t>
  </si>
  <si>
    <t>Deskripsi Peristiwa risiko</t>
  </si>
  <si>
    <t>No. Penyebab Risiko
(Huruf Abjad)</t>
  </si>
  <si>
    <t>Kode Penyebab risiko</t>
  </si>
  <si>
    <t>Key Risk Indicators</t>
  </si>
  <si>
    <t>Unit Satuan KRI</t>
  </si>
  <si>
    <t>Kategori Threshold KRI</t>
  </si>
  <si>
    <r>
      <rPr>
        <b/>
        <sz val="8"/>
        <color theme="0"/>
        <rFont val="Arial"/>
        <family val="2"/>
      </rPr>
      <t xml:space="preserve">Jenis </t>
    </r>
    <r>
      <rPr>
        <b/>
        <i/>
        <sz val="8"/>
        <color theme="0"/>
        <rFont val="Arial"/>
        <family val="2"/>
      </rPr>
      <t>Existing Control</t>
    </r>
  </si>
  <si>
    <t>Existing Control</t>
  </si>
  <si>
    <t>Penilaian Efektivitas Kontrol</t>
  </si>
  <si>
    <t>Kategori Dampak</t>
  </si>
  <si>
    <t>Deskripsi Dampak</t>
  </si>
  <si>
    <t>Perkiraan Waktu Terpapar Risiko</t>
  </si>
  <si>
    <t xml:space="preserve">Asumsi Perhitungan Dampak Kuantitatif /
Penjelasan Dampak Kualitatif </t>
  </si>
  <si>
    <t>Nilai Dampak</t>
  </si>
  <si>
    <t>Skala Dampak</t>
  </si>
  <si>
    <r>
      <t xml:space="preserve">Nilai Probabilitas 
</t>
    </r>
    <r>
      <rPr>
        <b/>
        <i/>
        <sz val="8"/>
        <color theme="1"/>
        <rFont val="Arial"/>
        <family val="2"/>
      </rPr>
      <t>(Sesuai dengan Sheet Justifikasi)</t>
    </r>
  </si>
  <si>
    <t>Skala Probabilitas</t>
  </si>
  <si>
    <t>Nilai Eksposur Risiko</t>
  </si>
  <si>
    <t>Skala Risiko</t>
  </si>
  <si>
    <t>Level Nilai Risiko</t>
  </si>
  <si>
    <t xml:space="preserve">KBUMN </t>
  </si>
  <si>
    <t>Alphabet</t>
  </si>
  <si>
    <t>Multiple List</t>
  </si>
  <si>
    <t>Nilai full mata uang dalam Rupiah/mata uang fungsional pembukuan</t>
  </si>
  <si>
    <t>Numerik (diisi nilai 1 jika mitgasi dilakukan pada bulan tertentu)</t>
  </si>
  <si>
    <t>Aman</t>
  </si>
  <si>
    <t>Hati-Hati</t>
  </si>
  <si>
    <t>Bahaya</t>
  </si>
  <si>
    <t>TIDAK / WAJIB</t>
  </si>
  <si>
    <t>Rupiah
(Hasil Perhitungan dari sheet Justifikasi)</t>
  </si>
  <si>
    <t>Q1</t>
  </si>
  <si>
    <t>Q2</t>
  </si>
  <si>
    <t>Q3</t>
  </si>
  <si>
    <t>Q4</t>
  </si>
  <si>
    <t>Diisi dengan nomor urutan  penyebab risiko</t>
  </si>
  <si>
    <t>Diisi dengan penyebab risiko yang ada pada tabel profil risiko</t>
  </si>
  <si>
    <r>
      <t xml:space="preserve">Diisi dengan pilihan:
</t>
    </r>
    <r>
      <rPr>
        <i/>
        <sz val="8"/>
        <color theme="1"/>
        <rFont val="Arial"/>
        <family val="2"/>
      </rPr>
      <t>- Transfer/sharing 
- Reduce/mitigate
- Accept/monitor</t>
    </r>
    <r>
      <rPr>
        <sz val="8"/>
        <color theme="1"/>
        <rFont val="Arial"/>
        <family val="2"/>
      </rPr>
      <t xml:space="preserve">
- </t>
    </r>
    <r>
      <rPr>
        <i/>
        <sz val="8"/>
        <color theme="1"/>
        <rFont val="Arial"/>
        <family val="2"/>
      </rPr>
      <t>Avoid</t>
    </r>
    <r>
      <rPr>
        <sz val="8"/>
        <color theme="1"/>
        <rFont val="Arial"/>
        <family val="2"/>
      </rPr>
      <t>/hindari</t>
    </r>
  </si>
  <si>
    <r>
      <rPr>
        <sz val="8"/>
        <color theme="1"/>
        <rFont val="Arial"/>
        <family val="2"/>
      </rPr>
      <t xml:space="preserve">Diisi dengan pilihan jenis rencana perlakuan risiko:
- Peningkatan Kecukupan Desain Control
- Peningkatan Efektivitas Pelaksanaan Control
- Perbaikan Melalui </t>
    </r>
    <r>
      <rPr>
        <i/>
        <sz val="8"/>
        <color theme="1"/>
        <rFont val="Arial"/>
        <family val="2"/>
      </rPr>
      <t xml:space="preserve">Breakthrough Project
- </t>
    </r>
    <r>
      <rPr>
        <sz val="8"/>
        <color theme="1"/>
        <rFont val="Arial"/>
        <family val="2"/>
      </rPr>
      <t xml:space="preserve">Lainnya
</t>
    </r>
  </si>
  <si>
    <r>
      <rPr>
        <sz val="8"/>
        <color theme="1"/>
        <rFont val="Arial"/>
        <family val="2"/>
      </rPr>
      <t>1. Setiap perlakuan risiko di-</t>
    </r>
    <r>
      <rPr>
        <i/>
        <sz val="8"/>
        <color theme="1"/>
        <rFont val="Arial"/>
        <family val="2"/>
      </rPr>
      <t xml:space="preserve">break down </t>
    </r>
    <r>
      <rPr>
        <sz val="8"/>
        <color theme="1"/>
        <rFont val="Arial"/>
        <family val="2"/>
      </rPr>
      <t>dalam aktivitas-aktivitas yang lebih detail
2. [rule] Setiap unique ID penyebab risiko memiliki minimal 1 perlakuan risiko</t>
    </r>
  </si>
  <si>
    <t xml:space="preserve">Diisi dengan output atas masing-masing aktivitas rencana perlakuan risiko </t>
  </si>
  <si>
    <t>Diisi dengan anggaran dalam pelaksanaan perlakuan risiko</t>
  </si>
  <si>
    <t>Anggaran biaya perlakuan risiko telah dimasukkan dalam salah satu jenis program RKAP, dengan pilihan:
- Pemasaran dan penjualan
- Pengadaan
- Produksi dan Kualitas Produk
- Teknis dan Teknologi
- Keuangan dan Akuntansi
- Sistem dan Organisasi
- Pengembangan SDM
- Penelitian dan Pengembangan
- Pelestarian Lingkungan
- Investasi
- Lainnya</t>
  </si>
  <si>
    <t>Unit penanggung jawab perlakuan risiko setingkat BOD</t>
  </si>
  <si>
    <t>Terhadap masing-masing perlakuan risiko per penyebab risiko, agar diisi timeline rencana implementasinya. Apabila perlakuan risiko berlangsung sepanjang tahun, maka timeline harus diisi setiap bulan</t>
  </si>
  <si>
    <t>Drowdown</t>
  </si>
  <si>
    <t>Free Text (Wajib Isi)</t>
  </si>
  <si>
    <t>%</t>
  </si>
  <si>
    <t>Skala 1-25</t>
  </si>
  <si>
    <t>Nama penyebab risiko harus sama persis dengan nama penyebab risiko yang ada pada tabel profil risiko</t>
  </si>
  <si>
    <t>Pilihan dapat lebih dari satu</t>
  </si>
  <si>
    <t>1. Setiap penyebab risiko memiliki rencana perlakuan risiko.
2. Rencana perlakuan risiko harus spesifik dan tidak memungkinkan akan sama untuk menyelesaikan setiap penyebab.
3. Apabila satu perlakuan risiko dapat menyelesaikan lebih dari satu penyebab, artinya penyebab-penyebab tersebut belum diidentifikasi secara mendalam untuk mendapatkan akar penyebabnya.</t>
  </si>
  <si>
    <t>Diisi sesuai dengan sasaran BUMN</t>
  </si>
  <si>
    <t>Diisi dengan pilihan sasaran Kementerian BUMN yang meliputi:
1) Nilai ekonomi dan sosial;
2) Inovasi bisnis model;
3) Kepemimpinan teknologi;
4) Peningkatan investasi; dan
5) Pengembangan talenta.</t>
  </si>
  <si>
    <t>Diisi dengan pilihan kategori risiko Portofolio BUMN Kementerian BUMN berikut:
1. Risiko Fiskal - Dividen
2. Risiko Fiskal - PMN
3. Risiko Fiskal - Subsidi &amp; Kompensasi
4. Risiko Kebijakan - SDM
5. Risiko Kebijakan - Sektoral
6. Risiko Komposisi - Konsentrasi Portofolio
7. Risiko Struktur - Struktur Korporasi
8. Risiko Restrukturisasi &amp; Reorganisasi - Penggabungan, Pengambilalihan, Peleburan, Pemisahan, Pembubaran, Likuidasi, Kemitraan, dan Restrukturisasi
9. Risiko Industri Umum - Formulasi Strategis
10. Risiko Industri Umum - Pasar &amp; Makroekonomi
11. Risiko Industri Umum - Keuangan
12. Risiko Industri Umum - Reputasi &amp; Kepatuhan
13. Risiko Industri Umum - Proyek
14. Risiko Industri Umum - Teknologi &amp; Keamanan Siber
15. Risiko Industri Umum - Sosial &amp; Lingkungan
16. Risiko Industri Umum - Operasional
17. Risiko Industri Perbankan - Kredit
18. Risiko Industri Perbankan - Likuiditas
19. Risiko Industri Asuransi - Investasi
20. Risiko Industri Asuransi - Aktuarial</t>
  </si>
  <si>
    <t>Diisi dengan nomor urutan  risiko</t>
  </si>
  <si>
    <t>Diisi dengan peristiwa risiko yang relevan.</t>
  </si>
  <si>
    <t>Penjelasan /narasi atas peristiwa risiko</t>
  </si>
  <si>
    <t>Kodifikasi untuk penyebab risiko (Setiap penyebab risiko diberikan unique ID, misal PTPI - 1. xxx")</t>
  </si>
  <si>
    <r>
      <t xml:space="preserve">Diisi penyebab risiko secara jelas. BUMN dapat menggali berbagai penyebab risiko. Sebagai contoh dapat melihat dari berbagai segi: </t>
    </r>
    <r>
      <rPr>
        <i/>
        <sz val="8"/>
        <color theme="1"/>
        <rFont val="Arial"/>
        <family val="2"/>
      </rPr>
      <t>people, process, network</t>
    </r>
    <r>
      <rPr>
        <sz val="8"/>
        <color theme="1"/>
        <rFont val="Arial"/>
        <family val="2"/>
      </rPr>
      <t xml:space="preserve">, maupun </t>
    </r>
    <r>
      <rPr>
        <i/>
        <sz val="8"/>
        <color theme="1"/>
        <rFont val="Arial"/>
        <family val="2"/>
      </rPr>
      <t>system.</t>
    </r>
  </si>
  <si>
    <t>Setiap peristiwa risiko harus memiliki minimal satu KRI</t>
  </si>
  <si>
    <r>
      <t xml:space="preserve">Unit satuan KRI bisa berbentuk </t>
    </r>
    <r>
      <rPr>
        <i/>
        <sz val="8"/>
        <color theme="1"/>
        <rFont val="Arial"/>
        <family val="2"/>
      </rPr>
      <t>amount,/percentage/range/</t>
    </r>
    <r>
      <rPr>
        <sz val="8"/>
        <color theme="1"/>
        <rFont val="Arial"/>
        <family val="2"/>
      </rPr>
      <t>kualitatif</t>
    </r>
  </si>
  <si>
    <t>Diisi sesuai dengan batasan yang ditetapkan oleh masing-masing BUMN</t>
  </si>
  <si>
    <r>
      <t>Diisi dengan pilihan pada hirarki pertama:
- Kontrol operasi
- Kontrol kepatuhan (</t>
    </r>
    <r>
      <rPr>
        <i/>
        <sz val="8"/>
        <color theme="1"/>
        <rFont val="Arial"/>
        <family val="2"/>
      </rPr>
      <t>compliance</t>
    </r>
    <r>
      <rPr>
        <sz val="8"/>
        <color theme="1"/>
        <rFont val="Arial"/>
        <family val="2"/>
      </rPr>
      <t>)
- Kontrol pelaporan
Setelah hirarki pertama dipilih, dilanjutkan dengan pilihan hirarki kedua:
- Kontrol pada level entitas/kantor pusat
- Kontral pada level operasi</t>
    </r>
  </si>
  <si>
    <r>
      <t xml:space="preserve">BUMN dapat mengisikan semua </t>
    </r>
    <r>
      <rPr>
        <i/>
        <sz val="8"/>
        <color theme="1"/>
        <rFont val="Arial"/>
        <family val="2"/>
      </rPr>
      <t>existing control</t>
    </r>
    <r>
      <rPr>
        <sz val="8"/>
        <color theme="1"/>
        <rFont val="Arial"/>
        <family val="2"/>
      </rPr>
      <t xml:space="preserve"> yang relevan terhadap suatu risiko. </t>
    </r>
    <r>
      <rPr>
        <i/>
        <sz val="8"/>
        <color theme="1"/>
        <rFont val="Arial"/>
        <family val="2"/>
      </rPr>
      <t xml:space="preserve">Existing control </t>
    </r>
    <r>
      <rPr>
        <sz val="8"/>
        <color theme="1"/>
        <rFont val="Arial"/>
        <family val="2"/>
      </rPr>
      <t>tersebut dapat berupa kontrol SOP, sistem, kebijakan, dll</t>
    </r>
  </si>
  <si>
    <t>Diisi dengan penilaian terhadap efektivitas kontrol saat ini (existing control) dengan pilihan sebagai berikut:
1) Cukup dan Efektif;
2) Cukup dan Efektif Sebagian;
3) Cukup dan Tidak Efektif;
4) Tidak Cukup dan Efektif Sebagian; dan
5) Tidak Cukup dan Tidak Efektif.</t>
  </si>
  <si>
    <t>Diisi dengan pilihan kategori dampak:
- Dampak kuantitatif
- Dampak kualitatif</t>
  </si>
  <si>
    <t>Disi dengan penjelasan/deskripsi atas dampak yang akan diterima apabila risiko terjadi.</t>
  </si>
  <si>
    <t>Diisi dengan perkiraan periode waktu BUMN terpapar Risiko, sesuai dengan karakter Risiko tersebut. Perkiraan waktu diidentifikasi melalui proyeksi, data historis, maupun keumuman pada industri BUMN terkait</t>
  </si>
  <si>
    <t>Sasaran disusun secara lengkap. 
Sebagai contoh: "Peningkatan market share segmen corporate dari 20% menjadi 30% pada akhir tahun 2024"</t>
  </si>
  <si>
    <t>- Risiko pada Industri Umum tidak boleh dipetakan dalam kategori Risiko Industri Perbankan dan Asuransi
- Risiko pada Industri perbankan &amp; asuransi dapat dipetakan dalam kategori Risiko Industri Umum</t>
  </si>
  <si>
    <t>1. Nomor risiko harus konsisten pada saat pelaporan.
2. Apabila terdapat risiko yang bertambah maka nomornya melanjutkan sesuai dengan urutan terakhir</t>
  </si>
  <si>
    <r>
      <t xml:space="preserve">Risiko harus diidentifikasi dengan tepat, dan memenuhi ketentuan:
- Bukan negasi sasaran
- Dipetakan dalam </t>
    </r>
    <r>
      <rPr>
        <i/>
        <sz val="8"/>
        <color rgb="FF000000"/>
        <rFont val="Arial"/>
        <family val="2"/>
      </rPr>
      <t xml:space="preserve">fault tree analysis </t>
    </r>
    <r>
      <rPr>
        <sz val="8"/>
        <color rgb="FF000000"/>
        <rFont val="Arial"/>
        <family val="2"/>
      </rPr>
      <t>dan yang menjadi risk event yang paling mendekati dengan sumber utama penyebab risiko.</t>
    </r>
  </si>
  <si>
    <t>Setiap penyebab kejadian diberikan unique ID</t>
  </si>
  <si>
    <t>Jika satu Risiko memiliki lebih dari satu penyebab Risiko, maka dituliskan dalam cell di baris berikutnya (tidak digabung menjadi satu cell).</t>
  </si>
  <si>
    <t>Kriteria memilih KRI : 1. Penyebab risiko yang paling utama 
2. Paling tersedia data historisnya &amp; dapat diintegrasikan
3. Relevan terhadap penyebab masalah
4. Prediktor perubahan profil risiko 
5. Mudah diinterpretasikan, dipahami &amp; dipantau 
6. Relatif terhadap keefektifan biaya</t>
  </si>
  <si>
    <t>≤</t>
  </si>
  <si>
    <t>Apabila jenis existing control memiliki lebih dari satu jenis control, maka dituliskan dalam cell di baris berikutnya (tidak digabung menjadi satu cell).</t>
  </si>
  <si>
    <r>
      <t xml:space="preserve">Apabila </t>
    </r>
    <r>
      <rPr>
        <i/>
        <sz val="8"/>
        <color rgb="FF000000"/>
        <rFont val="Arial"/>
        <family val="2"/>
      </rPr>
      <t>existing control</t>
    </r>
    <r>
      <rPr>
        <sz val="8"/>
        <color rgb="FF000000"/>
        <rFont val="Arial"/>
        <family val="2"/>
      </rPr>
      <t xml:space="preserve"> lebih dari 1, untuk </t>
    </r>
    <r>
      <rPr>
        <i/>
        <sz val="8"/>
        <color rgb="FF000000"/>
        <rFont val="Arial"/>
        <family val="2"/>
      </rPr>
      <t>control</t>
    </r>
    <r>
      <rPr>
        <sz val="8"/>
        <color rgb="FF000000"/>
        <rFont val="Arial"/>
        <family val="2"/>
      </rPr>
      <t xml:space="preserve"> ke 2 dst agar ditambahkan pada row di bawahnya</t>
    </r>
  </si>
  <si>
    <t>(Dalam memilih lihat sheet"kriteria efektivitas kontrol")</t>
  </si>
  <si>
    <t>1) Dampak kuantitatif: Risiko yang memiliki dampak finansial terhadap pencapaian target laba BUMN.
2) Dampak kualitatif: Risiko yang tidak memiliki dampak finansial terhadap pencapaian target laba BUMN.</t>
  </si>
  <si>
    <t>Periode waktu dapat berupa range bulan (contoh Januari 2023 – Februari 2024)</t>
  </si>
  <si>
    <t>Contoh</t>
  </si>
  <si>
    <t>PLN BATAM</t>
  </si>
  <si>
    <t>BID KEU</t>
  </si>
  <si>
    <t>1. Nilai ekonomi dan sosial</t>
  </si>
  <si>
    <t>3.6.11 Peristiwa Risiko terkait keuangan</t>
  </si>
  <si>
    <t>4. Risiko Kebijakan - SDM</t>
  </si>
  <si>
    <t>Kenaikan beban operasi akibat pelemahan nilai tukar rupiah terhadap dollar</t>
  </si>
  <si>
    <t>Terdapat beban operasi PLN Batam yang menggunakan mata uang asing dalam proses pembayaran atau mengacu atas besaran kurs rupiah terhadap dollar sebagai bagian perhitungan besaran tagihan</t>
  </si>
  <si>
    <t>a</t>
  </si>
  <si>
    <t>Faktor eksternal perusahaan seperti kondisi ekonomi politik dalam negeri dan atau luar negeri, dan tingkat kebutuhan pasar akan mata uang dollar</t>
  </si>
  <si>
    <t>Nilai tukar rupiah terhadap dollar</t>
  </si>
  <si>
    <t>Rupiah</t>
  </si>
  <si>
    <t>13.438 Rp/USD</t>
  </si>
  <si>
    <t>13.439 Rp/USD sd 16.874 Rp/USD</t>
  </si>
  <si>
    <t>&gt; 16.875 Rp/USD</t>
  </si>
  <si>
    <t>Kontrol operasi - level operasi</t>
  </si>
  <si>
    <t>Memonitor nilai tukar rupiah terhadap dollar</t>
  </si>
  <si>
    <t>1. Cukup dan Efektif</t>
  </si>
  <si>
    <t>Kuantitatif</t>
  </si>
  <si>
    <t>D1. Terganggunya likuiditas perusahaan
D2. Biaya melebihi target RKAP
D3. Pembayaran pokok dan bunga lebih tinggi dari RKAP</t>
  </si>
  <si>
    <t>Maret-Des 2024</t>
  </si>
  <si>
    <t>Dari nilai tukar rupiah terhadap kurs untuk pembayaran biaya operasional dan beban bunga perusahaan</t>
  </si>
  <si>
    <t>Reduce/Mitigate</t>
  </si>
  <si>
    <t>Peningkatan Efektivitas Pelaksanaan Control</t>
  </si>
  <si>
    <t>1. Kegiatan pemasaran menggunakan integrated marketing channel secara offline dan online
2. Mengakuisisi captive power
3. Melaksanakan akselerasi layanan pelanggan dan calon pelanggan potensial dengan upaya 
terobosan dalam percepatan nota kesepakatan, percepatan pembayaran dan percepatan 
penyalaan
4. Mendorong tambah daya bagi pelanggan retail (TR) yang jam nyala minimumnya ? 400-600 
jam.</t>
  </si>
  <si>
    <t xml:space="preserve">Jumlah program pemasaran
</t>
  </si>
  <si>
    <t>Anggaran Kas Investasi</t>
  </si>
  <si>
    <t>Pengadaan</t>
  </si>
  <si>
    <t>DIR AGA</t>
  </si>
  <si>
    <t>Start Pengisian</t>
  </si>
  <si>
    <t>BID AGA</t>
  </si>
  <si>
    <t>Pendapatan Penjualan Tenaga Listrik TUL 309 PLN Batam  sebesar Rp 7.951.21 Milyar</t>
  </si>
  <si>
    <t>3.6.16 Peristiwa Risiko terkait operasional</t>
  </si>
  <si>
    <t>11. Risiko Industri Umum - Keuangan</t>
  </si>
  <si>
    <t xml:space="preserve">Mundurnya atau batalnya aktivasi daya potensi pelanggan yang telah diperhitungkan dalam RKAP </t>
  </si>
  <si>
    <t xml:space="preserve">Belum siapnya infrastruktur pelanggan </t>
  </si>
  <si>
    <t>Jumlah pendapatan TL</t>
  </si>
  <si>
    <t>&gt;7.951.21 Milyar</t>
  </si>
  <si>
    <t>7.951.21 Milyar</t>
  </si>
  <si>
    <t>&lt;7.951.21 Milyar</t>
  </si>
  <si>
    <t>Cash War Room (CWR)</t>
  </si>
  <si>
    <t>Pendapatan penjualan listrik di bawah target</t>
  </si>
  <si>
    <t>Januari s.d Desember 2026</t>
  </si>
  <si>
    <t>Nilai Dampak dihitung dari proyeksi penjualan 2026 dan probability dihitung dari % calon pelanggan / pelanggan batal/mundur</t>
  </si>
  <si>
    <t>1. Penagihan e-min sebesar 50 jam nyala sesuai tahapan aktivasi daya</t>
  </si>
  <si>
    <t>Surat penagihan e-min kepada calon pelanggan</t>
  </si>
  <si>
    <t>VP AGA</t>
  </si>
  <si>
    <t xml:space="preserve">Optimalisasi Biaya Operasi </t>
  </si>
  <si>
    <t xml:space="preserve">Realisasi Biaya Operasi melampaui Pagu anggaran yang ditetapkan dalam RKAP
</t>
  </si>
  <si>
    <t>Terdapat penambahan program layanan yang belum direncanakan pada saat penyusunan Anggaran Operasi, sehingga menimbulkan penambahan kebutuhan Anggaran Operasi</t>
  </si>
  <si>
    <t>Adanya program pemasaran/produk layanan baru yang belum direncanakan dan masuk dalam RKAP</t>
  </si>
  <si>
    <t>Realisasi SKAO</t>
  </si>
  <si>
    <t>&lt;100%</t>
  </si>
  <si>
    <t>&gt;100%</t>
  </si>
  <si>
    <t>SK Pengadaan Barang dan Jasa
SK Pengendalian Anggaran</t>
  </si>
  <si>
    <t>Biaya Operasi melebihi pagu anggaran</t>
  </si>
  <si>
    <t>Juli s.d Desember 2026</t>
  </si>
  <si>
    <t>Nilai Dampak dan probabilitas diambil dari nilai tengah atau rata-rata selisih AO selama 2021-2025</t>
  </si>
  <si>
    <t>Accept/Monitor</t>
  </si>
  <si>
    <t>1. Memastikan penggunaan anggaran operasi sesuai dengan program kerja yang telah ditetapkan.
2. Melakukan monitoring penggunaan anggaran operasi setiap bulannya
3. Melakukan evaluasi atas rencana penggunaan anggaran operasi dengan memperhatikan tingkat urgensi</t>
  </si>
  <si>
    <t>Daftar Produk Layanan beserta anggaran</t>
  </si>
  <si>
    <t>Pemasaran dan penjualan</t>
  </si>
  <si>
    <t>Periode Pengumpulan Piutang (Collection Period)</t>
  </si>
  <si>
    <t>Dokumen penagihan terlambat di submit pada aplikasi Vendor Invoice Portal (VIP), dikarenakan SKAO PLN UID RKR belum terbit</t>
  </si>
  <si>
    <t>Realisasi Periode Pengumpulan Piutang</t>
  </si>
  <si>
    <t>hari kalender</t>
  </si>
  <si>
    <t>&lt;35 hari</t>
  </si>
  <si>
    <t>35 hari</t>
  </si>
  <si>
    <t>&gt;35 hari</t>
  </si>
  <si>
    <t>PJBTL Interkoneksi antara PLN UID RKR dengan PLN Batam</t>
  </si>
  <si>
    <t>2. Cukup dan Efektif Sebagian</t>
  </si>
  <si>
    <t>Realisasi atas Penerimaan Pendapatan Interkoneksi tidak sesuai dengan target penerimaan</t>
  </si>
  <si>
    <t>Rata-rata keterlambatan penerimaan arus kas</t>
  </si>
  <si>
    <t>1. Memastikan pelaksanaan pembacaan meter tanggal 1 pukul 10 setiap bulannya.
2. Berkoordinasi dengan Bidang Operasi untuk Memastikan terbitnya Berita Acara penyaluran tenaga listrik
3. Koordinasi dengan pihak UID untuk memastikan kecapatan proses pembayaran 
2. Membuat invoice penagihan dan memastikan bahwa invoice yang diterbitkan telah sesuai dan benar.
3. Mereview secara bertingkat mulai dari MAN REV dan VP AGA atas invoice penagihan dan lampirannya.
4. Melakukan pengiriman invoice tagihan via Pos
5. Menghubungi pihak RKR untuk memastikan invoice tagihan telah diterima 
6. Melakukan sales call secara rutin dengan pihak RKR untuk memastikan pembayaran</t>
  </si>
  <si>
    <t xml:space="preserve">1. Invoice tagihan Penjualan Listrik ke RKR 
2. Bukti koordinasi via email, atau WA atau media lain. </t>
  </si>
  <si>
    <t xml:space="preserve">Penyediaan Tenaga Listrik Pelanggan Additional Demand </t>
  </si>
  <si>
    <t>1. Tidak mencapai kesepakatan tarif dengan calon pelanggan 
2. Calon pelanggan memilih investasi diluar Batam</t>
  </si>
  <si>
    <t>Penandatangan PJBTL/ Amandemen PJBTL</t>
  </si>
  <si>
    <t>Penandatanganan PJBTL/Amandemen PJBTL dengan Pelanggan Add Demand</t>
  </si>
  <si>
    <t>Kualitatif</t>
  </si>
  <si>
    <t>Dihitung berdasarkan kapasitas pelanggan dikali jam nyala minimum, dikali tarif dikali durasi kontrak selama tahun 2026</t>
  </si>
  <si>
    <t>b.</t>
  </si>
  <si>
    <t>ddddhhjjk</t>
  </si>
  <si>
    <t>Probing ke Pelanggan Additional Demand &amp; memastikan penandatanganan SPJBTL dan Amandemen dengan total daya 259,9 MVA</t>
  </si>
  <si>
    <t>PJBTL / Amandemen PJBTL</t>
  </si>
  <si>
    <t>Harga Jual interkoneksi 150 kV Batam-Bintan dan 20 kV On-Grid</t>
  </si>
  <si>
    <t>Bulan</t>
  </si>
  <si>
    <t>Mei</t>
  </si>
  <si>
    <t>Juni</t>
  </si>
  <si>
    <t>Juli</t>
  </si>
  <si>
    <t>Kontrol operasi - level entitas/kantor pusat</t>
  </si>
  <si>
    <t xml:space="preserve">HJR Batam Bintan tidak tercapai
</t>
  </si>
  <si>
    <t>Delta HJR saat ini dengan HJR usulan dikali kwh jual</t>
  </si>
  <si>
    <t>Indeks Kepuasan Pelanggan</t>
  </si>
  <si>
    <t>3.6.12 Peristiwa Risiko terkait hukum, reputasi, dan kepatuhan</t>
  </si>
  <si>
    <t>12. Risiko Industri Umum - Reputasi &amp; Kepatuhan</t>
  </si>
  <si>
    <t>Target CSI tidak tercapai</t>
  </si>
  <si>
    <t>Keandalan pasokan listrik, sering terjadi Pemadaman.</t>
  </si>
  <si>
    <t>Skor</t>
  </si>
  <si>
    <t>Evaluasi Realisasi Pencapaian TMP setiap Periodik dan melakukan Kompensasi bagi Pelanggan yang melewati TMP</t>
  </si>
  <si>
    <t xml:space="preserve">Reputasi Perusahaan Menurun
</t>
  </si>
  <si>
    <t>Reputasi Perusahaan menurun akibat seringnya terjadi pemadaman</t>
  </si>
  <si>
    <t>1. Melakukan sosialisasi hasil SKP Tahun 2025.
2. Menindaklanjuti dan mengevaluasi action plan dan tindaklanjut hasil Survei Kepuasan Pelanggan (SKP) 2024 pada aplikasi CheSKP
3. Memetakan responden SKP 2026
4. Pelaksanaan SKP 2026
5. Melakukan koordinasi dengan pihak Surveyor dan Area Pelayanan terkait dengan rencana pelaksanaan SKP
6.  Melakukan Pendampingan dalam proses pelaksanaan SKP
7. Melakukan Evaluasi Pelaksanaan SKP
8. Pemberian apresiasi pelanggan tercepat bayar</t>
  </si>
  <si>
    <t>Implementasi Roadmap Perbaikan Penerapan Manajemen Risiko SH/AP</t>
  </si>
  <si>
    <t>2. Inovasi bisnis model</t>
  </si>
  <si>
    <t>Nilai roadmap perbaikan risiko BID AGA tidak memenuhi target</t>
  </si>
  <si>
    <t>Nilai roadmap perbaikan risiko BID AGA tidak memenuhi target yang ditetapkan oleh Manajemen</t>
  </si>
  <si>
    <t>Rsiko Bidang AGA belum dikelola dengan baik seperti belum ada sharing session, belum ada monitoring dan belum ada keterlibatan pimpinan dalam pengelolaan risiko</t>
  </si>
  <si>
    <t>&lt;99%</t>
  </si>
  <si>
    <t>Kontrol kepatuhan (compliance) - level operasi</t>
  </si>
  <si>
    <t>Pununjukan Risk Officer untuk membantu memonitor pelaksanaan perbaikan road map MR</t>
  </si>
  <si>
    <t xml:space="preserve">Tidak tercapai nilai road map MR
</t>
  </si>
  <si>
    <t>Deviasi nilai road map  perbaikan  MR antara target dan realisasi</t>
  </si>
  <si>
    <t>Lainnya</t>
  </si>
  <si>
    <t>Kajian Biaya Penyambungan dan Tingkat Mutu Pelayanan</t>
  </si>
  <si>
    <t>Keterlambatan tersedianya kajian BP dan TMP</t>
  </si>
  <si>
    <t>Kajian perubahan Biaya Penyambungan dan Tingkat Mutu Pelayanan belum tersedia pada waktu yang ditetapkan.</t>
  </si>
  <si>
    <t>Kajian BP dan TMP</t>
  </si>
  <si>
    <t>Oktober</t>
  </si>
  <si>
    <t>November</t>
  </si>
  <si>
    <t>Desember</t>
  </si>
  <si>
    <t>Prosedur Evaluasi dan Pelapporan TMP</t>
  </si>
  <si>
    <t>Dokumen Perjanjian Kerjasama dengan Konsultan</t>
  </si>
  <si>
    <t>Anggaran Operasi</t>
  </si>
  <si>
    <t>Pengembangan Produk Layanan Niaga</t>
  </si>
  <si>
    <t>3. Kepemimpinan teknologi</t>
  </si>
  <si>
    <t>Keterlambatan pengesahan produk layanan niaga yang baru</t>
  </si>
  <si>
    <t>Produk Layanan Niaga</t>
  </si>
  <si>
    <t>&gt;6</t>
  </si>
  <si>
    <t>&lt;6</t>
  </si>
  <si>
    <t>Prosedur Kebijakan dan Strategi Pemasaran</t>
  </si>
  <si>
    <t>Potensi kehilangan pendapatan bagi perusahaan</t>
  </si>
  <si>
    <t>Delta Revenue dari produk layanan niaga</t>
  </si>
  <si>
    <t>Penyelesaian Tarif Tenaga Listrik baru PLN Batam sesuai tahapan/milestone</t>
  </si>
  <si>
    <t>4. Peningkatan investasi</t>
  </si>
  <si>
    <t>Keterlambatan penyelesaian Tarif Tenaga Listrik Baru</t>
  </si>
  <si>
    <t>Penyelesaian tarif tenaga listrik baru tidak sesuai dengan milistone yang tekah ditetapkan (terlambat)</t>
  </si>
  <si>
    <t xml:space="preserve">Tahapan penyelesaian tarif tenaga listrik baru sesuai milistone tidak dimonitor secara intens </t>
  </si>
  <si>
    <t xml:space="preserve">Persetujuan tarif tenaga listrik </t>
  </si>
  <si>
    <t>&gt;Juli</t>
  </si>
  <si>
    <t>&lt;Juli</t>
  </si>
  <si>
    <t>Prosedur Usulan Tenaga Listrik</t>
  </si>
  <si>
    <t>Delta revenue dari RKAP dengan realisais tarif baru</t>
  </si>
  <si>
    <t xml:space="preserve">Monitoring milistone usulan tarif tenaga listrik </t>
  </si>
  <si>
    <t>Pengendalian Penggunaan Anggaran Investasi sesuai RKAP 2026</t>
  </si>
  <si>
    <t>Penyerapan Investasi tidak optimal</t>
  </si>
  <si>
    <t>Biaya Investasi melebihi pagu anggaran</t>
  </si>
  <si>
    <t>Nilai Dampak dan probabilitas diambil dari nilai tengah atau rata-rata selisih AI selama 2021-2025</t>
  </si>
  <si>
    <t>1. Memastikan penggunaan anggaran investasi sesuai dengan program kerja yang telah ditetapkan.
2. Melakukan monitoring penggunaan anggaran operasi setiap bulannya
3. Melakukan evaluasi atas rencana penggunaan anggaran operasi dengan memperhatikan tingkat urgensi</t>
  </si>
  <si>
    <t>Human Capital Readiness (HCR) &amp; Organizational Capital Readiness (OCR) dan Produktivitas Pegawai</t>
  </si>
  <si>
    <t>5. Pengembangan talenta</t>
  </si>
  <si>
    <t>Target HCR OCR tidak tercapai</t>
  </si>
  <si>
    <t xml:space="preserve">Target pencapaian kinerja HCR OCR yang telah ditetapkan oleh HCGA tidak tercapai </t>
  </si>
  <si>
    <t>Pimpinan dan PIC yang ditunjuk belum mengetahui dan memahami target HCR OCR denagn baik</t>
  </si>
  <si>
    <t>Nilai HCR OCR sesuai target</t>
  </si>
  <si>
    <t>Kontrol kepatuhan (compliance) - level entitas/kantor pusat</t>
  </si>
  <si>
    <t>Penunjukan PIC pengelola target HCR OCR</t>
  </si>
  <si>
    <t xml:space="preserve">Nilai HCR OCR Bidang Niaga tidak tercapai yang akan berpengaruh pada pencapaian nilai organisasi </t>
  </si>
  <si>
    <t>Setiap Triwulan</t>
  </si>
  <si>
    <t>Deviasi antara nilai target HCR OCR dengan realisasi</t>
  </si>
  <si>
    <t>Melakiukan monitoring mingguan terhadap kegiatan pencapaian HCR OCR dan reminder oleh PIC</t>
  </si>
  <si>
    <t>Daftar monitoring dan reminder</t>
  </si>
  <si>
    <t>Compliance (GCG, Kepatuhan HSSE, Auditor, Reporting, Busdev Alignment, PACA, Critical Events, ICOFR &amp; SPIN)</t>
  </si>
  <si>
    <t>6. Kepatuhan</t>
  </si>
  <si>
    <t>21. Risiko lainnya</t>
  </si>
  <si>
    <t>Realisasi nilai compliance di bawah target</t>
  </si>
  <si>
    <t xml:space="preserve">Terdapat pengurang Nilai kinerja compliance </t>
  </si>
  <si>
    <t xml:space="preserve">Tidak dimonitor oleh Pimpinan </t>
  </si>
  <si>
    <t>Nilai Compliance sesuai target</t>
  </si>
  <si>
    <t xml:space="preserve">Review KM setiap periode </t>
  </si>
  <si>
    <t>Nilai compliance Bidang Niaga tidak tercapai</t>
  </si>
  <si>
    <t>Deviasi nilai target dan realisasi</t>
  </si>
  <si>
    <t>Monitoring oleh PIC dan reminder dari Penanggung jawab Bidang AGA</t>
  </si>
  <si>
    <t xml:space="preserve">Monitoring dan reminder
</t>
  </si>
  <si>
    <t>Sheet ini berisi informasi setiap Risiko yang terdiri : 
1. Data tabel berisi informasi penyebab risiko untuk setiap risiko utama (data 3-5 tahun terakhir)
2. Alasan memilih kriteria dampak kualitatif dan dilengkapi data</t>
  </si>
  <si>
    <t>Risiko Calon Pelanggan Additional Demand batal menjadi pelanggan</t>
  </si>
  <si>
    <t>Calon Pelanggan yang diperhitungkan dalam menghitung nilai dampak adalah pelanggan /calon pelanggan dengan kategori Confident Level Sedang, yang terdiri dari:</t>
  </si>
  <si>
    <t>PELANGGAN</t>
  </si>
  <si>
    <t>DAYA</t>
  </si>
  <si>
    <t>STATUS</t>
  </si>
  <si>
    <t>RENCANA NYALA 2026</t>
  </si>
  <si>
    <t>PT TAMAN RESOR INTERNET</t>
  </si>
  <si>
    <t>MVA</t>
  </si>
  <si>
    <t>PJBTL</t>
  </si>
  <si>
    <t>Januari</t>
  </si>
  <si>
    <t>PT TEKNOLOGI DATA INFRASTRUKTUR</t>
  </si>
  <si>
    <t>PT PRIMA UTILITAS ENERGI II</t>
  </si>
  <si>
    <t>Maret</t>
  </si>
  <si>
    <t>PT PRIMA UTILITAS ENERGI I</t>
  </si>
  <si>
    <t>PT ECOGREEN OLEOCHEMICAL</t>
  </si>
  <si>
    <t>JN Minimum - Diamond DC</t>
  </si>
  <si>
    <t>Jam</t>
  </si>
  <si>
    <t>JN Minimum - Diamond PWU</t>
  </si>
  <si>
    <t xml:space="preserve">JN Minimum - Silver High </t>
  </si>
  <si>
    <t>Tarif Diamond DC</t>
  </si>
  <si>
    <t>Rp/kWh</t>
  </si>
  <si>
    <t>Tarif Diamond PWU</t>
  </si>
  <si>
    <t>Tarif Silver High</t>
  </si>
  <si>
    <t>Rencana aktivasi daya</t>
  </si>
  <si>
    <t>Pelanggan</t>
  </si>
  <si>
    <t>JAN</t>
  </si>
  <si>
    <t>FEB</t>
  </si>
  <si>
    <t>MAR</t>
  </si>
  <si>
    <t>APR</t>
  </si>
  <si>
    <t>MAY</t>
  </si>
  <si>
    <t>JUN</t>
  </si>
  <si>
    <t>JUL</t>
  </si>
  <si>
    <t>AUG</t>
  </si>
  <si>
    <t>SEP</t>
  </si>
  <si>
    <t>OCT</t>
  </si>
  <si>
    <t>NOV</t>
  </si>
  <si>
    <t>DEC</t>
  </si>
  <si>
    <t>Target</t>
  </si>
  <si>
    <t>NO</t>
  </si>
  <si>
    <t>PB/PD</t>
  </si>
  <si>
    <t>SATUAN</t>
  </si>
  <si>
    <t>Jan</t>
  </si>
  <si>
    <t>Feb</t>
  </si>
  <si>
    <t>Mar</t>
  </si>
  <si>
    <t>Apr</t>
  </si>
  <si>
    <t>Jun</t>
  </si>
  <si>
    <t>Jul</t>
  </si>
  <si>
    <t>Agus</t>
  </si>
  <si>
    <t>Sep</t>
  </si>
  <si>
    <t>Okt</t>
  </si>
  <si>
    <t>Nov</t>
  </si>
  <si>
    <t>Des</t>
  </si>
  <si>
    <t>JUMLAH</t>
  </si>
  <si>
    <t>PD</t>
  </si>
  <si>
    <t>dc</t>
  </si>
  <si>
    <t>pwu</t>
  </si>
  <si>
    <t>PB</t>
  </si>
  <si>
    <t>Silver</t>
  </si>
  <si>
    <t>TOTAL</t>
  </si>
  <si>
    <t>DAMPAK KUMULATIF</t>
  </si>
  <si>
    <t>RENCANA NYALA 2025</t>
  </si>
  <si>
    <t>RENCANA PERUBAHAN</t>
  </si>
  <si>
    <t>KETERANGAN</t>
  </si>
  <si>
    <t>Nongsa Digital Park</t>
  </si>
  <si>
    <t>Februari</t>
  </si>
  <si>
    <t>September 2025</t>
  </si>
  <si>
    <t>MUNDUR</t>
  </si>
  <si>
    <t>Neutra DC</t>
  </si>
  <si>
    <t>Januari 2026</t>
  </si>
  <si>
    <t>PT McDermott Indonesia</t>
  </si>
  <si>
    <t>Agustus 2025</t>
  </si>
  <si>
    <t>PT Ecogreen Oleochemical</t>
  </si>
  <si>
    <t>Januari 2025</t>
  </si>
  <si>
    <t>PERCEPAT</t>
  </si>
  <si>
    <t>PT Citra Buana 3</t>
  </si>
  <si>
    <t>Maret 2025</t>
  </si>
  <si>
    <t>SESUAI</t>
  </si>
  <si>
    <t>PT Aman Sejati Propertindo</t>
  </si>
  <si>
    <t>Belum PJBTL</t>
  </si>
  <si>
    <t>BELUM ADA PJBTL</t>
  </si>
  <si>
    <t>Probabilitas</t>
  </si>
  <si>
    <t>*) Dari 3 Pelanggan Add Demand 2025 yang sudah status PJBTL terdapat 3 pelanggan yang  mundur aktivasi daya dari jadwal yang direncanakan</t>
  </si>
  <si>
    <t>Risiko Penggunaan anggaran melebihi pagu anggaran yang ditetapkan dalam RKAP</t>
  </si>
  <si>
    <t>Berdasarkan Nota Dinas DIRKEUSDM nomor 4176/KEU.00.03/DIRKEUSDM/2024 tanggal 24 Juli 2024 perihal Revisi Penetapan Pagu SKAO Biaya Administrasi Tahun 2024 sebesar Rp 5,112,390,764,-</t>
  </si>
  <si>
    <t>Tahun</t>
  </si>
  <si>
    <t>Usulan Awal</t>
  </si>
  <si>
    <t>SKAO Awal</t>
  </si>
  <si>
    <t>Penetapan Revisi SKAO</t>
  </si>
  <si>
    <t>Selisih</t>
  </si>
  <si>
    <t>Realisasi Penyerapan</t>
  </si>
  <si>
    <t>Realisasi Lebih</t>
  </si>
  <si>
    <t xml:space="preserve">Probabilitas </t>
  </si>
  <si>
    <t>Prognosa 2025</t>
  </si>
  <si>
    <t>Dampak</t>
  </si>
  <si>
    <t>*Nilai Dampak diambil dari nilai tengah atau rata2 selisih kurang AO selama 5 tahun terakhir</t>
  </si>
  <si>
    <t>** Probabilitas diambil dari berapa kali terjadi penetapan revisi SKAO selama 5 tahun terakhir</t>
  </si>
  <si>
    <t xml:space="preserve">Keterlambatan Penerimaan Penjualan Tenaga Listrik Interkoneksi di atas 35 hari </t>
  </si>
  <si>
    <t>Tahun 2025</t>
  </si>
  <si>
    <t>Tahun 2024</t>
  </si>
  <si>
    <t>Tahun 2023</t>
  </si>
  <si>
    <t>Penjualan Juli 2025</t>
  </si>
  <si>
    <t>Penjualan Desember 2024</t>
  </si>
  <si>
    <t>Penjualan Desember 2023</t>
  </si>
  <si>
    <t>Periode Penjualan</t>
  </si>
  <si>
    <t>UIW Riau</t>
  </si>
  <si>
    <t>Saldo Piutang</t>
  </si>
  <si>
    <t>Hari Penerimaan</t>
  </si>
  <si>
    <t>Delta Target Hari</t>
  </si>
  <si>
    <t>Penerimaan &gt; 35 hari</t>
  </si>
  <si>
    <t>Januari '25</t>
  </si>
  <si>
    <t>Januari '24</t>
  </si>
  <si>
    <t>Januari '23</t>
  </si>
  <si>
    <t>Februari '25</t>
  </si>
  <si>
    <t>Februari '24</t>
  </si>
  <si>
    <t>Februari '23</t>
  </si>
  <si>
    <t>Maret '25</t>
  </si>
  <si>
    <t>Maret '24</t>
  </si>
  <si>
    <t>Maret '23</t>
  </si>
  <si>
    <t>April '25</t>
  </si>
  <si>
    <t>April '24</t>
  </si>
  <si>
    <t>April '23</t>
  </si>
  <si>
    <t>Mei '25</t>
  </si>
  <si>
    <t>Mei '24</t>
  </si>
  <si>
    <t>Mei '23</t>
  </si>
  <si>
    <t>Juni '25</t>
  </si>
  <si>
    <t>Juni '24</t>
  </si>
  <si>
    <t>Juni '23</t>
  </si>
  <si>
    <t>Juli'25</t>
  </si>
  <si>
    <t>Juli'24</t>
  </si>
  <si>
    <t>Juli'23</t>
  </si>
  <si>
    <t>Agustus'25</t>
  </si>
  <si>
    <t>Agustus'24</t>
  </si>
  <si>
    <t>Agustus'23</t>
  </si>
  <si>
    <t>September'25</t>
  </si>
  <si>
    <t>September'24</t>
  </si>
  <si>
    <t>September'23</t>
  </si>
  <si>
    <t>Oktober'25</t>
  </si>
  <si>
    <t>Oktober'24</t>
  </si>
  <si>
    <t>Oktober'23</t>
  </si>
  <si>
    <t>November'25</t>
  </si>
  <si>
    <t>November'24</t>
  </si>
  <si>
    <t>November'23</t>
  </si>
  <si>
    <t>Desember'25</t>
  </si>
  <si>
    <t>Desember'24</t>
  </si>
  <si>
    <t>Desember'23</t>
  </si>
  <si>
    <t>Total</t>
  </si>
  <si>
    <t>Rp Jual Bintan 2025</t>
  </si>
  <si>
    <t>Proyeksi 2026</t>
  </si>
  <si>
    <t>April</t>
  </si>
  <si>
    <t>Agustus</t>
  </si>
  <si>
    <t>September</t>
  </si>
  <si>
    <t>Tarif saat ini</t>
  </si>
  <si>
    <t>Probalitas</t>
  </si>
  <si>
    <t>Risiko Pencapaian Indeks Kepuasan Pelanggan Tahun 2026 di bawah target</t>
  </si>
  <si>
    <t>Target IKP</t>
  </si>
  <si>
    <t>Realisasi IKP</t>
  </si>
  <si>
    <t>Delta</t>
  </si>
  <si>
    <t>Terdapat  Risiko yang sama dengan tahun sebelumnya.</t>
  </si>
  <si>
    <t>Periode</t>
  </si>
  <si>
    <t>Target nilai roadmap perbaikan MR</t>
  </si>
  <si>
    <t>Realisasi</t>
  </si>
  <si>
    <t xml:space="preserve"> % Pencapaian</t>
  </si>
  <si>
    <t>2025</t>
  </si>
  <si>
    <t>2024</t>
  </si>
  <si>
    <t>2023</t>
  </si>
  <si>
    <t>2022</t>
  </si>
  <si>
    <t>2021</t>
  </si>
  <si>
    <t>Probability terjadinya risiko ini : 0% karena data historis tercapai setiap tahun</t>
  </si>
  <si>
    <t>Risiko Keterlambatan tersedianya kajian BP dan TMP</t>
  </si>
  <si>
    <t>Pendapatan BP</t>
  </si>
  <si>
    <t>Probabilti</t>
  </si>
  <si>
    <t>Risiko Keterlambatan pengesahan produk layanan niaga yang baru</t>
  </si>
  <si>
    <t>Produk layanan niaga 2025</t>
  </si>
  <si>
    <t>Pendapatan Produk Layanan tahun 2025</t>
  </si>
  <si>
    <t>Rencana Implementasi 2025</t>
  </si>
  <si>
    <t>Realisasi Pengesahan 2025</t>
  </si>
  <si>
    <t>Jumlah deviasi rencana dan realisasi</t>
  </si>
  <si>
    <t>SMS I 2025</t>
  </si>
  <si>
    <t>-</t>
  </si>
  <si>
    <t>Ketentuan Teknis Layanan Tarif Listrik Reguler dan Prabayar</t>
  </si>
  <si>
    <t>Layanan Khusus Premium TM dan TT</t>
  </si>
  <si>
    <t>Layanan Khusus Reguler Flexy</t>
  </si>
  <si>
    <t>Layanan Khusus SPLFU</t>
  </si>
  <si>
    <t>SMS II 2025</t>
  </si>
  <si>
    <t>Penyediaan infrastruktur KBLBB</t>
  </si>
  <si>
    <t>Layanan REC</t>
  </si>
  <si>
    <t>Risiko Keterlambatan penyelesaian Tarif Tenaga Listrik Baru</t>
  </si>
  <si>
    <t>Asumsi Profit Level Index (PLI)</t>
  </si>
  <si>
    <t>Rp RKAP 2026</t>
  </si>
  <si>
    <t>Dampak Usulan Tarif Listrik Baru</t>
  </si>
  <si>
    <t>*Probabilitas risiko hampir pasti terjadi dikarenakan risiko under control management</t>
  </si>
  <si>
    <t>Risiko Penyerapan Investasi tidak optimal</t>
  </si>
  <si>
    <t xml:space="preserve">Besaran AI </t>
  </si>
  <si>
    <t>Realisasi Penyerapan AI</t>
  </si>
  <si>
    <t>Risiko Target HCR OCR tidak dimonitor dengan optimal</t>
  </si>
  <si>
    <t>Sesuai data capaian Kontrak Manajemen setiap tahun</t>
  </si>
  <si>
    <t>Target HCR OCR</t>
  </si>
  <si>
    <t>Deviasi</t>
  </si>
  <si>
    <t>Melebihi target</t>
  </si>
  <si>
    <t>Sesuai target</t>
  </si>
  <si>
    <t xml:space="preserve">Probabilitas terjadinya risiko ini : </t>
  </si>
  <si>
    <t>Risiko Realisasi nilai compliance di bawah target</t>
  </si>
  <si>
    <t>Target Nilai Compliance</t>
  </si>
  <si>
    <t>Tidak ada nilai pengurang kepatuhan</t>
  </si>
  <si>
    <t>Tidak ada</t>
  </si>
  <si>
    <t>Probabilitas terjadinya risiko ini : 0%</t>
  </si>
  <si>
    <t>Risiko Harga Jual Rata-rata Batam On Grid dibawah Target RKAP</t>
  </si>
  <si>
    <t>I. Perhitungan Dampak HJR</t>
  </si>
  <si>
    <t>MEI</t>
  </si>
  <si>
    <t>JUNI</t>
  </si>
  <si>
    <t>JULI</t>
  </si>
  <si>
    <t>AGT</t>
  </si>
  <si>
    <t>OKT</t>
  </si>
  <si>
    <t>DES</t>
  </si>
  <si>
    <t>Rencana HJR 2026</t>
  </si>
  <si>
    <t>Prognosa HJR 2025</t>
  </si>
  <si>
    <t>Rencana kWh 2026</t>
  </si>
  <si>
    <t>Pendapatan</t>
  </si>
  <si>
    <t>Dampak Kumulatif</t>
  </si>
  <si>
    <t>II. Perhitungan Probabilitas HJR di bawah target RKAP</t>
  </si>
  <si>
    <t>Total Bulan</t>
  </si>
  <si>
    <t>HJR RKAP Bulanan 2022</t>
  </si>
  <si>
    <t>Jumlah Bulan Real &lt; Target</t>
  </si>
  <si>
    <t>HJR Real Bulanan 2022</t>
  </si>
  <si>
    <t>HJR RKAP Bulanan 2023</t>
  </si>
  <si>
    <t>HJR Real Bulanan 2023</t>
  </si>
  <si>
    <t>HJR RKAP Bulanan 2024</t>
  </si>
  <si>
    <t>HJR Real Bulanan 2024</t>
  </si>
  <si>
    <t>HJR RKAP Bulanan 2025</t>
  </si>
  <si>
    <t>HJR Real Bulanan 2025</t>
  </si>
  <si>
    <t>Contoh :</t>
  </si>
  <si>
    <t>1. Risiko foreign exchange loss</t>
  </si>
  <si>
    <t>Berdasarkan informasi bahwa selama selama 3 tahun terakhir terjadi pelemahan IDR dengan level terendah turun sebesar 11% dari kurs asumsi RKAP. Berdasarkan data RKAP diketahui nilai piutang usaha non-USD adalah sebesar IDR 3.000 juta, sehingga nilai dampak inherennya dapat dihitung sebagai berikut:</t>
  </si>
  <si>
    <t>Tabel Perhitungan Dampak Kuantitatif Inheren atas Risiko Valuta Asing</t>
  </si>
  <si>
    <t>Keterangan</t>
  </si>
  <si>
    <t>Nilai</t>
  </si>
  <si>
    <r>
      <rPr>
        <sz val="10"/>
        <color theme="1"/>
        <rFont val="Arial"/>
        <family val="2"/>
      </rPr>
      <t>Nilai piutang non-USD pemerintah</t>
    </r>
    <r>
      <rPr>
        <b/>
        <sz val="10"/>
        <color theme="1"/>
        <rFont val="Arial"/>
        <family val="2"/>
      </rPr>
      <t xml:space="preserve"> (a)</t>
    </r>
  </si>
  <si>
    <t>IDR 3.000 juta</t>
  </si>
  <si>
    <r>
      <rPr>
        <sz val="10"/>
        <color theme="1"/>
        <rFont val="Arial"/>
        <family val="2"/>
      </rPr>
      <t xml:space="preserve">% penurunan IDR terhadap USD </t>
    </r>
    <r>
      <rPr>
        <b/>
        <sz val="10"/>
        <color theme="1"/>
        <rFont val="Arial"/>
        <family val="2"/>
      </rPr>
      <t>(b)</t>
    </r>
  </si>
  <si>
    <r>
      <rPr>
        <sz val="10"/>
        <color theme="1"/>
        <rFont val="Arial"/>
        <family val="2"/>
      </rPr>
      <t xml:space="preserve">Dampak jika Risiko terwujud </t>
    </r>
    <r>
      <rPr>
        <b/>
        <sz val="10"/>
        <color theme="1"/>
        <rFont val="Arial"/>
        <family val="2"/>
      </rPr>
      <t>(c=a*b)</t>
    </r>
  </si>
  <si>
    <t>IDR 330 juta</t>
  </si>
  <si>
    <r>
      <rPr>
        <sz val="11"/>
        <color theme="1"/>
        <rFont val="Arial"/>
        <family val="2"/>
      </rPr>
      <t xml:space="preserve">Maka berdasarkan skala Dampak mengacu pada Tabel Kriteria Dampak Kuantitatif. Risiko foreign exchange loss dalam contoh dengan nilai dampak IDR 330 juta dipetakan ke </t>
    </r>
    <r>
      <rPr>
        <b/>
        <sz val="11"/>
        <color theme="1"/>
        <rFont val="Arial"/>
        <family val="2"/>
      </rPr>
      <t>skala 4 atau Tinggi.</t>
    </r>
  </si>
  <si>
    <t xml:space="preserve">FX Loss terjadi jika realisasi kurs transaksi IDR/USD RKAP berada di atas target RKAP. Range data menggunakan waktu 3 (tiga) tahun terakhir dengan total 750 hari transaksi IDR/USD (terdapat 250 hari transaksi dalam 1 tahun berdasarkan data dari Bank Indonesia ) dengan perhitungan skala Probabilitas sebagai berikut: </t>
  </si>
  <si>
    <t>Tabel Perhitungan Skala Probabilitas Risiko Valas</t>
  </si>
  <si>
    <t xml:space="preserve">Kurs Transaksi IDR/USD RKAP </t>
  </si>
  <si>
    <r>
      <rPr>
        <sz val="9"/>
        <color rgb="FFFFFFFF"/>
        <rFont val="Arial"/>
        <family val="2"/>
      </rPr>
      <t>Realisasi Kurs di atas RKAP (</t>
    </r>
    <r>
      <rPr>
        <i/>
        <sz val="9"/>
        <color rgb="FFFFFFFF"/>
        <rFont val="Arial"/>
        <family val="2"/>
      </rPr>
      <t>range</t>
    </r>
    <r>
      <rPr>
        <sz val="9"/>
        <color rgb="FFFFFFFF"/>
        <rFont val="Arial"/>
        <family val="2"/>
      </rPr>
      <t xml:space="preserve"> 14.355 - 15.000)</t>
    </r>
  </si>
  <si>
    <r>
      <rPr>
        <sz val="9"/>
        <color rgb="FFFFFFFF"/>
        <rFont val="Arial"/>
        <family val="2"/>
      </rPr>
      <t>Realisasi Kurs di bawah RKAP (</t>
    </r>
    <r>
      <rPr>
        <i/>
        <sz val="9"/>
        <color rgb="FFFFFFFF"/>
        <rFont val="Arial"/>
        <family val="2"/>
      </rPr>
      <t>range</t>
    </r>
    <r>
      <rPr>
        <sz val="9"/>
        <color rgb="FFFFFFFF"/>
        <rFont val="Arial"/>
        <family val="2"/>
      </rPr>
      <t xml:space="preserve"> 14.000 - 14.355)</t>
    </r>
  </si>
  <si>
    <t>% Kurs Realisasi di atas Kurs RKAP</t>
  </si>
  <si>
    <t>Skala Probabi-litas</t>
  </si>
  <si>
    <t>175 transaksi</t>
  </si>
  <si>
    <t>75 transaksi</t>
  </si>
  <si>
    <t>200 transaksi</t>
  </si>
  <si>
    <t>50 transaksi</t>
  </si>
  <si>
    <t>225 transaksi</t>
  </si>
  <si>
    <t>25 transaksi</t>
  </si>
  <si>
    <r>
      <rPr>
        <b/>
        <sz val="9"/>
        <color theme="1"/>
        <rFont val="Arial"/>
        <family val="2"/>
      </rPr>
      <t>600</t>
    </r>
    <r>
      <rPr>
        <sz val="9"/>
        <color theme="1"/>
        <rFont val="Arial"/>
        <family val="2"/>
      </rPr>
      <t xml:space="preserve"> </t>
    </r>
    <r>
      <rPr>
        <b/>
        <sz val="9"/>
        <color theme="1"/>
        <rFont val="Arial"/>
        <family val="2"/>
      </rPr>
      <t>transaksi</t>
    </r>
  </si>
  <si>
    <r>
      <rPr>
        <b/>
        <sz val="9"/>
        <color theme="1"/>
        <rFont val="Arial"/>
        <family val="2"/>
      </rPr>
      <t>150</t>
    </r>
    <r>
      <rPr>
        <sz val="9"/>
        <color theme="1"/>
        <rFont val="Arial"/>
        <family val="2"/>
      </rPr>
      <t xml:space="preserve"> </t>
    </r>
    <r>
      <rPr>
        <b/>
        <sz val="9"/>
        <color theme="1"/>
        <rFont val="Arial"/>
        <family val="2"/>
      </rPr>
      <t>transaksi</t>
    </r>
  </si>
  <si>
    <t>80%*</t>
  </si>
  <si>
    <t>4 (sangat mungkin terjadi)</t>
  </si>
  <si>
    <t>Catatan:</t>
  </si>
  <si>
    <t>% Probabilitas=(Frekuensi kejadian di masa lalu)/(Populasi data kejadian dalam perhitungan)x 100%</t>
  </si>
  <si>
    <r>
      <rPr>
        <sz val="11"/>
        <color theme="1"/>
        <rFont val="Arial"/>
        <family val="2"/>
      </rPr>
      <t xml:space="preserve">Berdasarkan perhitungan di atas, maka % probalibilitasnya sebesar 80%, dan  dipetakan ke dalam Tabel Kriteria Probabilitas, didapatkan skala Probabilitas Risiko pada </t>
    </r>
    <r>
      <rPr>
        <b/>
        <sz val="12"/>
        <color theme="1"/>
        <rFont val="Arial"/>
        <family val="2"/>
      </rPr>
      <t>skala 4 atau sangat mungkin terjadi.</t>
    </r>
  </si>
  <si>
    <t>2. Risiko menurunnya reputasi perusahaan</t>
  </si>
  <si>
    <r>
      <rPr>
        <sz val="11"/>
        <color theme="1"/>
        <rFont val="Arial"/>
        <family val="2"/>
      </rPr>
      <t xml:space="preserve">Berdasarkan informasi 3 tahun terakhir, terdapat pemberitaan negatif yang </t>
    </r>
    <r>
      <rPr>
        <b/>
        <sz val="11"/>
        <color theme="1"/>
        <rFont val="Arial"/>
        <family val="2"/>
      </rPr>
      <t>berdampak secara lokal di tiap tahunnya</t>
    </r>
    <r>
      <rPr>
        <sz val="11"/>
        <color theme="1"/>
        <rFont val="Arial"/>
        <family val="2"/>
      </rPr>
      <t xml:space="preserve">, sehingga ditentukan Dampak Risiko reputasi memiliki </t>
    </r>
    <r>
      <rPr>
        <b/>
        <sz val="11"/>
        <color theme="1"/>
        <rFont val="Arial"/>
        <family val="2"/>
      </rPr>
      <t>skala 3 atau Moderat</t>
    </r>
    <r>
      <rPr>
        <sz val="11"/>
        <color theme="1"/>
        <rFont val="Arial"/>
        <family val="2"/>
      </rPr>
      <t xml:space="preserve"> setelah dipetakan ke dalam Tabel Kriteria Dampak Kualitatif</t>
    </r>
  </si>
  <si>
    <t>Selama 3 (tiga) tahun terakhir diperoleh informasi pemberitaan dengan klasifikasi dan frekuensi sebagai berikut:</t>
  </si>
  <si>
    <t>Tabel Data Historis Informasi Pemberitaan 3 (Tiga) Tahun Terakhir</t>
  </si>
  <si>
    <t>Frekuensi Pemberitaan</t>
  </si>
  <si>
    <t>% kejadian pemberitaan negative (d = a / a+b+c)</t>
  </si>
  <si>
    <t>Negatif (a)</t>
  </si>
  <si>
    <t>Netral (b)</t>
  </si>
  <si>
    <t>Positif (c)</t>
  </si>
  <si>
    <t xml:space="preserve">Rata-rata </t>
  </si>
  <si>
    <r>
      <rPr>
        <sz val="11"/>
        <color theme="1"/>
        <rFont val="Arial"/>
        <family val="2"/>
      </rPr>
      <t xml:space="preserve">Dari data di atas diketahui persentase Probabilitas terjadinya Risiko menurunnya reputasi adalah </t>
    </r>
    <r>
      <rPr>
        <b/>
        <sz val="11"/>
        <color theme="1"/>
        <rFont val="Arial"/>
        <family val="2"/>
      </rPr>
      <t>21,42%</t>
    </r>
    <r>
      <rPr>
        <sz val="11"/>
        <color theme="1"/>
        <rFont val="Arial"/>
        <family val="2"/>
      </rPr>
      <t xml:space="preserve"> atau </t>
    </r>
    <r>
      <rPr>
        <b/>
        <sz val="12"/>
        <color theme="1"/>
        <rFont val="Arial"/>
        <family val="2"/>
      </rPr>
      <t xml:space="preserve">skala 2 (jarang terjadi) </t>
    </r>
    <r>
      <rPr>
        <sz val="11"/>
        <color theme="1"/>
        <rFont val="Arial"/>
        <family val="2"/>
      </rPr>
      <t xml:space="preserve">sesuai Tabel Kriteria Probabilitas </t>
    </r>
  </si>
  <si>
    <t>BIDANG KEUANGAN</t>
  </si>
  <si>
    <t>Selisih Kurs Tahun 2023</t>
  </si>
  <si>
    <t>Selisih Kurs Tahun 2021</t>
  </si>
  <si>
    <t>Selisih Kurs Tahun 2022</t>
  </si>
  <si>
    <t>1. Kenaikan beban operasi akibat pelemahan nilai tukar rupiah terhadap dollar (Nomor Risiko : 1-A.2-KEU-1)</t>
  </si>
  <si>
    <t>Kurs Penutup
(Jisdor)</t>
  </si>
  <si>
    <t>Kurs RKAP</t>
  </si>
  <si>
    <t>Selisih Kurs</t>
  </si>
  <si>
    <t>Total Biaya dalam dollar/terekspos dollar</t>
  </si>
  <si>
    <t>Efek Ke
Beban Operasi</t>
  </si>
  <si>
    <t>Kurs Penutup</t>
  </si>
  <si>
    <t>( Rp )</t>
  </si>
  <si>
    <t>( USD )</t>
  </si>
  <si>
    <t>Data  Realisasi Rata-rata Nilai Kurs di bandingkan RKAP 3 Tahun Terakhir</t>
  </si>
  <si>
    <t>Realisasi kurs rata-rata</t>
  </si>
  <si>
    <t>Rata-rata</t>
  </si>
  <si>
    <t>Data Laba/Rugi Kurs 3 tahun terakhir</t>
  </si>
  <si>
    <t>Kurs realisasi</t>
  </si>
  <si>
    <t>selisih</t>
  </si>
  <si>
    <t>Laba/Rugi</t>
  </si>
  <si>
    <t>Rugi %</t>
  </si>
  <si>
    <t>prosentasi Probabilitas</t>
  </si>
  <si>
    <r>
      <rPr>
        <sz val="10"/>
        <color theme="1"/>
        <rFont val="Arial"/>
        <family val="2"/>
      </rPr>
      <t xml:space="preserve">Dari perhitungan diatas terdapat Dampak disruptif yang dapat mengakibatkan kerusakan/ kerugian/ penurunan 40% &lt; X ≤ 60% dikategorikan </t>
    </r>
    <r>
      <rPr>
        <b/>
        <sz val="10"/>
        <color theme="1"/>
        <rFont val="Arial"/>
        <family val="2"/>
      </rPr>
      <t>skala 3 atau Moderat</t>
    </r>
  </si>
  <si>
    <t>selisih kurs di peroleh dari total biaya operasional selama satu tahun dibandingkan dengan kurs RKAP</t>
  </si>
  <si>
    <r>
      <rPr>
        <sz val="10"/>
        <color theme="1"/>
        <rFont val="Arial"/>
        <family val="2"/>
      </rPr>
      <t xml:space="preserve">untuk probabilitas  Risiko pernah terjadi sekali dalam 2 bulan sehingga dikategorikan </t>
    </r>
    <r>
      <rPr>
        <b/>
        <sz val="10"/>
        <color theme="1"/>
        <rFont val="Arial"/>
        <family val="2"/>
      </rPr>
      <t>skala 4 atau sangat mungkin terjadi</t>
    </r>
  </si>
  <si>
    <t>2. Keterlambatan Penerimaan Penjualan Tenaga Listrik MPP 500 MW di atas 120 hari (Nomor Risiko : 2-A.1-KEU-2)</t>
  </si>
  <si>
    <t>Tahun 2022</t>
  </si>
  <si>
    <t>Tahun 2021</t>
  </si>
  <si>
    <t>Saldo Piutang Per 31 Desember 2023</t>
  </si>
  <si>
    <t>Periode Tagihan Interkoneksi &amp; MPP</t>
  </si>
  <si>
    <t>Kit SUMUT</t>
  </si>
  <si>
    <t>KIT SUMSEL</t>
  </si>
  <si>
    <t>KIT KALIMANTAN</t>
  </si>
  <si>
    <t>UIW BABEL</t>
  </si>
  <si>
    <t>UIW NTB</t>
  </si>
  <si>
    <t xml:space="preserve">Total </t>
  </si>
  <si>
    <t>September'22</t>
  </si>
  <si>
    <t>September'21</t>
  </si>
  <si>
    <t>Pendapatan sesusi Target RKAP</t>
  </si>
  <si>
    <t>Oktober'22</t>
  </si>
  <si>
    <t>Oktober'21</t>
  </si>
  <si>
    <t>Pendapatan tenaga listrik</t>
  </si>
  <si>
    <t>November'22</t>
  </si>
  <si>
    <t>November'21</t>
  </si>
  <si>
    <t>Pendapatan Lain-lain</t>
  </si>
  <si>
    <t>Desember'22</t>
  </si>
  <si>
    <t>Desember'21</t>
  </si>
  <si>
    <t>Januari'23</t>
  </si>
  <si>
    <t>Januari '22</t>
  </si>
  <si>
    <t>Total Pendapatan</t>
  </si>
  <si>
    <t>Februari'23</t>
  </si>
  <si>
    <t>Februari '22</t>
  </si>
  <si>
    <t>Pendapatan Bintan Sembulang belakang padang</t>
  </si>
  <si>
    <t>Maret'23</t>
  </si>
  <si>
    <t>Maret '22</t>
  </si>
  <si>
    <t>Pendpatan BP</t>
  </si>
  <si>
    <t>April'23</t>
  </si>
  <si>
    <t>April '22</t>
  </si>
  <si>
    <t>Total Pendaptan tanpa bintan sembulang dan belakang padang</t>
  </si>
  <si>
    <t>Mei'23</t>
  </si>
  <si>
    <t>Mei '22</t>
  </si>
  <si>
    <t>Total Dampak dihitung 5% dari KRI</t>
  </si>
  <si>
    <t>Juni'23</t>
  </si>
  <si>
    <t>Juni '22</t>
  </si>
  <si>
    <t>Juli'22</t>
  </si>
  <si>
    <t>Agustus'22</t>
  </si>
  <si>
    <t>MPP</t>
  </si>
  <si>
    <t>Penjualan sd November 2022</t>
  </si>
  <si>
    <t>RKR</t>
  </si>
  <si>
    <t>per 4 bulan</t>
  </si>
  <si>
    <t>Jumlah Hari</t>
  </si>
  <si>
    <t>Umur Piutang Total</t>
  </si>
  <si>
    <t>x 365</t>
  </si>
  <si>
    <t>Penjualan</t>
  </si>
  <si>
    <t>=</t>
  </si>
  <si>
    <t>hari</t>
  </si>
  <si>
    <t>Umur Piutang MPP</t>
  </si>
  <si>
    <t>Umur Piutang Interkoneksi</t>
  </si>
  <si>
    <t>= Rata-rata nilai piutang 4 bulan sebesar</t>
  </si>
  <si>
    <r>
      <rPr>
        <sz val="10"/>
        <color theme="1"/>
        <rFont val="Arial"/>
        <family val="2"/>
      </rPr>
      <t xml:space="preserve">Dari perhitungan diatas terdapat Dampak disruptif yang dapat mengakibatkan kerusakan/ kerugian/ penurunan 40% &lt; X ≤ 60% dari nilai Batasan Risiko sehingga dikategorikan </t>
    </r>
    <r>
      <rPr>
        <b/>
        <sz val="10"/>
        <color theme="1"/>
        <rFont val="Arial"/>
        <family val="2"/>
      </rPr>
      <t>skala 4 atau dampak tinggi</t>
    </r>
  </si>
  <si>
    <t>3. Anggaran Operasi melebihi pagu RKAP yang telah ditetapkan sebesar Rp. 7.672 miliar (Nomor Risiko : 3-A.3-KEU-3)</t>
  </si>
  <si>
    <t>EVALUASI ANGGARAN OPERASI (AO)</t>
  </si>
  <si>
    <r>
      <rPr>
        <b/>
        <sz val="10"/>
        <color theme="1"/>
        <rFont val="Arial"/>
        <family val="2"/>
      </rPr>
      <t xml:space="preserve">PERIODE S/D DESEMBER  2021 </t>
    </r>
    <r>
      <rPr>
        <b/>
        <vertAlign val="superscript"/>
        <sz val="10"/>
        <color theme="1"/>
        <rFont val="Arial"/>
        <family val="2"/>
      </rPr>
      <t>(2)</t>
    </r>
  </si>
  <si>
    <t>Ribuan Rupiah</t>
  </si>
  <si>
    <t>Uraian</t>
  </si>
  <si>
    <t>Satuan</t>
  </si>
  <si>
    <t>Realisasi s/d Desember 2020</t>
  </si>
  <si>
    <r>
      <rPr>
        <b/>
        <sz val="10"/>
        <color theme="1"/>
        <rFont val="Arial"/>
        <family val="2"/>
      </rPr>
      <t xml:space="preserve"> RKAP </t>
    </r>
    <r>
      <rPr>
        <b/>
        <vertAlign val="superscript"/>
        <sz val="10"/>
        <color theme="1"/>
        <rFont val="Arial"/>
        <family val="2"/>
      </rPr>
      <t>(5)</t>
    </r>
  </si>
  <si>
    <t>RKAP s/d Desember</t>
  </si>
  <si>
    <t>Realisasi s/d Desember 2021 (3)</t>
  </si>
  <si>
    <t>Nilai (8)</t>
  </si>
  <si>
    <t>7 = 6/3</t>
  </si>
  <si>
    <t>8 = 6/4</t>
  </si>
  <si>
    <t>9 = 6/5</t>
  </si>
  <si>
    <t>Pendapatan Usaha</t>
  </si>
  <si>
    <t>Rp Juta</t>
  </si>
  <si>
    <t>Penjualan Tenaga Listrik</t>
  </si>
  <si>
    <t>Subsidi Listrik Pemerintah</t>
  </si>
  <si>
    <t>Penyambungan Pelanggan</t>
  </si>
  <si>
    <t>Lain-lain</t>
  </si>
  <si>
    <t>Pendapatan Jasa O&amp;M</t>
  </si>
  <si>
    <t>Pendapatan Anak Perusahaan</t>
  </si>
  <si>
    <t>Biaya Usaha</t>
  </si>
  <si>
    <t>Bahan Bakar dan Pelumas</t>
  </si>
  <si>
    <t>1. Bahan Bakar Minyak</t>
  </si>
  <si>
    <t>2. Minyak Pelumas, Campuran dan Bahan Kimia</t>
  </si>
  <si>
    <t>3. Gas Alam</t>
  </si>
  <si>
    <t>4. Batu Bara &amp; Gasifikasi Batu bara</t>
  </si>
  <si>
    <t>5. Panas Bumi dan Alternatif</t>
  </si>
  <si>
    <t>6. Air</t>
  </si>
  <si>
    <t xml:space="preserve">Transfer Tenaga Listrik  (Internal) </t>
  </si>
  <si>
    <r>
      <rPr>
        <sz val="10"/>
        <color theme="1"/>
        <rFont val="Arial"/>
        <family val="2"/>
      </rPr>
      <t xml:space="preserve">- Diterima dari Unit </t>
    </r>
    <r>
      <rPr>
        <vertAlign val="superscript"/>
        <sz val="10"/>
        <color theme="1"/>
        <rFont val="Arial"/>
        <family val="2"/>
      </rPr>
      <t>(6)</t>
    </r>
  </si>
  <si>
    <r>
      <rPr>
        <sz val="10"/>
        <color theme="1"/>
        <rFont val="Arial"/>
        <family val="2"/>
      </rPr>
      <t xml:space="preserve">- Dikirim ke Unit </t>
    </r>
    <r>
      <rPr>
        <vertAlign val="superscript"/>
        <sz val="10"/>
        <color theme="1"/>
        <rFont val="Arial"/>
        <family val="2"/>
      </rPr>
      <t>(7)</t>
    </r>
  </si>
  <si>
    <t>Pembelian Tenaga Listrik (Eksternal)</t>
  </si>
  <si>
    <t>Sewa Pembangkit</t>
  </si>
  <si>
    <t>Pemeliharaan</t>
  </si>
  <si>
    <t>Kepegawaian</t>
  </si>
  <si>
    <t>1. Biaya Gaji dan lainnya</t>
  </si>
  <si>
    <t>2. Biaya Manfaat Pegawai</t>
  </si>
  <si>
    <t>3. Biaya Diklat</t>
  </si>
  <si>
    <t>Penyusutan</t>
  </si>
  <si>
    <t>Administrasi</t>
  </si>
  <si>
    <t>1. Administrasi Niaga</t>
  </si>
  <si>
    <t>2. Administrasi Umum</t>
  </si>
  <si>
    <t>2.9</t>
  </si>
  <si>
    <t>Biaya Produksi / BPP (Anak Perusahaan)</t>
  </si>
  <si>
    <r>
      <rPr>
        <b/>
        <sz val="10"/>
        <color theme="1"/>
        <rFont val="Arial"/>
        <family val="2"/>
      </rPr>
      <t xml:space="preserve">PERIODE S/D DESEMBER 2022 </t>
    </r>
    <r>
      <rPr>
        <b/>
        <vertAlign val="superscript"/>
        <sz val="10"/>
        <color theme="1"/>
        <rFont val="Arial"/>
        <family val="2"/>
      </rPr>
      <t>(2)</t>
    </r>
  </si>
  <si>
    <t>Realisasi s/d Desember  2021</t>
  </si>
  <si>
    <t>RKAP s/d Desember 2022</t>
  </si>
  <si>
    <t>Realisasi s/d Desember 2022 (3)</t>
  </si>
  <si>
    <t>Rp Ribu</t>
  </si>
  <si>
    <r>
      <rPr>
        <b/>
        <sz val="10"/>
        <color theme="1"/>
        <rFont val="Arial"/>
        <family val="2"/>
      </rPr>
      <t xml:space="preserve">PERIODE S/D DESEMBER 2023 </t>
    </r>
    <r>
      <rPr>
        <b/>
        <vertAlign val="superscript"/>
        <sz val="10"/>
        <color theme="1"/>
        <rFont val="Arial"/>
        <family val="2"/>
      </rPr>
      <t>(2)</t>
    </r>
  </si>
  <si>
    <t>Realisasi s/d Desember 2022</t>
  </si>
  <si>
    <t>RKAP s/d Desember 2023</t>
  </si>
  <si>
    <t>Realisasi s/d November 2023 (3)</t>
  </si>
  <si>
    <t>Rata-rata biaya perbulan sebesar 497 M</t>
  </si>
  <si>
    <r>
      <rPr>
        <sz val="10"/>
        <color theme="1"/>
        <rFont val="Arial"/>
        <family val="2"/>
      </rPr>
      <t>Risiko mungkin terjadi hanya sekali dalam 6 bulan probabilitas</t>
    </r>
    <r>
      <rPr>
        <b/>
        <sz val="10"/>
        <color theme="1"/>
        <rFont val="Arial"/>
        <family val="2"/>
      </rPr>
      <t xml:space="preserve"> pada skala 2 atau jarang terjadi</t>
    </r>
  </si>
  <si>
    <t>4. Realisasi pelaksanaan pekerjaan proyek Anggaran Investasi tidak sesuai dengan perencanaan keuangan (Nomor Risiko : 4-D.5-KEU-4)</t>
  </si>
  <si>
    <t>Penyerapan  AI  dan AKI 5 Tahun Terakhir</t>
  </si>
  <si>
    <t>Fungsi</t>
  </si>
  <si>
    <t>Anggaran 2019</t>
  </si>
  <si>
    <t>Realisasi Tahun 2019</t>
  </si>
  <si>
    <t>Persentase</t>
  </si>
  <si>
    <t>Anggaran 2020</t>
  </si>
  <si>
    <t>Realisasi Tahun 2020</t>
  </si>
  <si>
    <t>Anggaran 2021</t>
  </si>
  <si>
    <t>Realisasi Tahun 2021</t>
  </si>
  <si>
    <t>Anggaran 2022</t>
  </si>
  <si>
    <t>Realisasi Tahun 2022</t>
  </si>
  <si>
    <t>Anggaran 2023</t>
  </si>
  <si>
    <t>Realisasi  Tahun 2023</t>
  </si>
  <si>
    <t>AKI</t>
  </si>
  <si>
    <t>Pembangkit</t>
  </si>
  <si>
    <t>Transmisi</t>
  </si>
  <si>
    <t>Gardu Induk</t>
  </si>
  <si>
    <t>TeleInformasi Data</t>
  </si>
  <si>
    <t>Distribusi</t>
  </si>
  <si>
    <t>Tata Usaha</t>
  </si>
  <si>
    <t>Rata2 penyerapan AKI 3 Tahun</t>
  </si>
  <si>
    <t>tidak terserap</t>
  </si>
  <si>
    <t>Total AKI tahun 2024 sebesar</t>
  </si>
  <si>
    <t>Realisasi Tahun 2023</t>
  </si>
  <si>
    <t>AI Murni</t>
  </si>
  <si>
    <r>
      <rPr>
        <sz val="10"/>
        <color theme="1"/>
        <rFont val="Arial"/>
        <family val="2"/>
      </rPr>
      <t xml:space="preserve">Dari perhitungan diatas terdapat Dampak kritis yang dapat mengakibatkan kerusakan/kerugian/penurunan 40% &lt; X ≤ 60% dari nilai Batasan Risiko sehingga dikategorikan </t>
    </r>
    <r>
      <rPr>
        <b/>
        <sz val="10"/>
        <color theme="1"/>
        <rFont val="Arial"/>
        <family val="2"/>
      </rPr>
      <t>skala 3 atau moderat</t>
    </r>
  </si>
  <si>
    <r>
      <rPr>
        <sz val="10"/>
        <color theme="1"/>
        <rFont val="Arial"/>
        <family val="2"/>
      </rPr>
      <t>untuk probabilitas Risiko pernah terjadi namun tidak sering, sekali dalam 4 bulan pada</t>
    </r>
    <r>
      <rPr>
        <b/>
        <sz val="10"/>
        <color theme="1"/>
        <rFont val="Arial"/>
        <family val="2"/>
      </rPr>
      <t xml:space="preserve"> skala 3 atau bisa terjadi</t>
    </r>
  </si>
  <si>
    <t>5. Penyelesaian dan Penyampaian Laporan Keuangan audit tidak sesuai target waktu yang ditetapkan (Nomor Risiko : 5-F.1.5-KEU-5)</t>
  </si>
  <si>
    <r>
      <rPr>
        <sz val="10"/>
        <color theme="1"/>
        <rFont val="Arial"/>
        <family val="2"/>
      </rPr>
      <t xml:space="preserve">Secara empiris Terkait dengan penyelesaian dan Penyampaian Laporan Keuangan audit tidak sesuai target waktu yang ditetapkan, sehingga ditentukan Dampak Risikonya memiliki </t>
    </r>
    <r>
      <rPr>
        <b/>
        <sz val="10"/>
        <color theme="1"/>
        <rFont val="Arial"/>
        <family val="2"/>
      </rPr>
      <t>skala 1 atau sangat rendah</t>
    </r>
    <r>
      <rPr>
        <sz val="10"/>
        <color theme="1"/>
        <rFont val="Arial"/>
        <family val="2"/>
      </rPr>
      <t xml:space="preserve"> setelah dipetakan ke dalam Tabel Kriteria Dampak Kualitatif berdasarkan </t>
    </r>
    <r>
      <rPr>
        <b/>
        <sz val="10"/>
        <color theme="1"/>
        <rFont val="Arial"/>
        <family val="2"/>
      </rPr>
      <t xml:space="preserve">expert judgement </t>
    </r>
    <r>
      <rPr>
        <sz val="10"/>
        <color theme="1"/>
        <rFont val="Arial"/>
        <family val="2"/>
      </rPr>
      <t xml:space="preserve">dari Bidang Keuangan diperoleh Dampak kualitatif sebesar 20% (dikarenakan belum ada keterlambatan) </t>
    </r>
  </si>
  <si>
    <r>
      <rPr>
        <sz val="10"/>
        <color theme="1"/>
        <rFont val="Arial"/>
        <family val="2"/>
      </rPr>
      <t xml:space="preserve">Berdasarkan perhitungan diatas, maka % probabilitasnya sebesar </t>
    </r>
    <r>
      <rPr>
        <b/>
        <sz val="10"/>
        <color theme="1"/>
        <rFont val="Arial"/>
        <family val="2"/>
      </rPr>
      <t xml:space="preserve">20 % </t>
    </r>
    <r>
      <rPr>
        <sz val="10"/>
        <color theme="1"/>
        <rFont val="Arial"/>
        <family val="2"/>
      </rPr>
      <t xml:space="preserve">sehingga sesuai Tabel Kriteria Probabilitas pada </t>
    </r>
    <r>
      <rPr>
        <b/>
        <sz val="10"/>
        <color theme="1"/>
        <rFont val="Arial"/>
        <family val="2"/>
      </rPr>
      <t>skala 1</t>
    </r>
    <r>
      <rPr>
        <sz val="10"/>
        <color theme="1"/>
        <rFont val="Arial"/>
        <family val="2"/>
      </rPr>
      <t xml:space="preserve"> </t>
    </r>
    <r>
      <rPr>
        <b/>
        <sz val="10"/>
        <color theme="1"/>
        <rFont val="Arial"/>
        <family val="2"/>
      </rPr>
      <t>atau</t>
    </r>
    <r>
      <rPr>
        <sz val="10"/>
        <color theme="1"/>
        <rFont val="Arial"/>
        <family val="2"/>
      </rPr>
      <t xml:space="preserve"> </t>
    </r>
    <r>
      <rPr>
        <b/>
        <sz val="10"/>
        <color theme="1"/>
        <rFont val="Arial"/>
        <family val="2"/>
      </rPr>
      <t>sangat jarang terjadi</t>
    </r>
  </si>
  <si>
    <t>BIDANG HC</t>
  </si>
  <si>
    <r>
      <rPr>
        <b/>
        <sz val="11"/>
        <color theme="1"/>
        <rFont val="Arial"/>
        <family val="2"/>
      </rPr>
      <t xml:space="preserve">1. Talent Development dan Talent Mobility tidak efektif dalam menyiapkan </t>
    </r>
    <r>
      <rPr>
        <b/>
        <u/>
        <sz val="11"/>
        <color theme="1"/>
        <rFont val="Arial"/>
        <family val="2"/>
      </rPr>
      <t>Talent Milenial</t>
    </r>
    <r>
      <rPr>
        <b/>
        <sz val="11"/>
        <color theme="1"/>
        <rFont val="Arial"/>
        <family val="2"/>
      </rPr>
      <t xml:space="preserve"> untuk Ready sebagai suksesi (Nomor Risiko : 6-E.1-HC-1)</t>
    </r>
  </si>
  <si>
    <r>
      <rPr>
        <sz val="10"/>
        <color theme="1"/>
        <rFont val="Arial"/>
        <family val="2"/>
      </rPr>
      <t xml:space="preserve">Berdasarkan informasi 3 tahun terakhir, terdapat ketidakefektifan dalam menyiapkan </t>
    </r>
    <r>
      <rPr>
        <b/>
        <sz val="10"/>
        <color theme="1"/>
        <rFont val="Arial"/>
        <family val="2"/>
      </rPr>
      <t>Talent Milenial</t>
    </r>
    <r>
      <rPr>
        <sz val="10"/>
        <color theme="1"/>
        <rFont val="Arial"/>
        <family val="2"/>
      </rPr>
      <t xml:space="preserve"> di tiap tahunnya, sehingga ditentukan Dampak Risikonya memiliki </t>
    </r>
    <r>
      <rPr>
        <b/>
        <sz val="10"/>
        <color theme="1"/>
        <rFont val="Arial"/>
        <family val="2"/>
      </rPr>
      <t>skala 3 atau moderat</t>
    </r>
    <r>
      <rPr>
        <sz val="10"/>
        <color theme="1"/>
        <rFont val="Arial"/>
        <family val="2"/>
      </rPr>
      <t xml:space="preserve"> setelah dipetakan ke dalam Tabel Kriteria Dampak Kualitatif</t>
    </r>
  </si>
  <si>
    <t xml:space="preserve">Periode </t>
  </si>
  <si>
    <t xml:space="preserve">Jumlah Kandidat </t>
  </si>
  <si>
    <t xml:space="preserve">Nominated </t>
  </si>
  <si>
    <t xml:space="preserve">% Realisasi </t>
  </si>
  <si>
    <t>Rata-Rata</t>
  </si>
  <si>
    <t xml:space="preserve">Bobot </t>
  </si>
  <si>
    <t xml:space="preserve">Kandidat </t>
  </si>
  <si>
    <t xml:space="preserve">% Talent Milenial  Ready </t>
  </si>
  <si>
    <t xml:space="preserve">% Talent Milenial Tidak Ready </t>
  </si>
  <si>
    <t xml:space="preserve">Jumlah </t>
  </si>
  <si>
    <r>
      <rPr>
        <sz val="10"/>
        <color theme="1"/>
        <rFont val="Arial"/>
        <family val="2"/>
      </rPr>
      <t>Berdasarkan perhitungan diatas, maka % probabilitasnya sebesar 43</t>
    </r>
    <r>
      <rPr>
        <b/>
        <sz val="10"/>
        <color theme="1"/>
        <rFont val="Arial"/>
        <family val="2"/>
      </rPr>
      <t xml:space="preserve">% </t>
    </r>
    <r>
      <rPr>
        <sz val="10"/>
        <color theme="1"/>
        <rFont val="Arial"/>
        <family val="2"/>
      </rPr>
      <t xml:space="preserve">sehingga sesuai Tabel Kriteria Probabilitas pada </t>
    </r>
    <r>
      <rPr>
        <b/>
        <sz val="10"/>
        <color theme="1"/>
        <rFont val="Arial"/>
        <family val="2"/>
      </rPr>
      <t>skala 3</t>
    </r>
    <r>
      <rPr>
        <sz val="10"/>
        <color theme="1"/>
        <rFont val="Arial"/>
        <family val="2"/>
      </rPr>
      <t xml:space="preserve"> atau </t>
    </r>
    <r>
      <rPr>
        <b/>
        <sz val="10"/>
        <color theme="1"/>
        <rFont val="Arial"/>
        <family val="2"/>
      </rPr>
      <t>bisa terjadi</t>
    </r>
  </si>
  <si>
    <r>
      <rPr>
        <b/>
        <sz val="11"/>
        <color theme="1"/>
        <rFont val="Arial"/>
        <family val="2"/>
      </rPr>
      <t xml:space="preserve">2. Talent Development dan Talent Mobility tidak efektif dalam menyiapkan </t>
    </r>
    <r>
      <rPr>
        <b/>
        <u/>
        <sz val="11"/>
        <color theme="1"/>
        <rFont val="Arial"/>
        <family val="2"/>
      </rPr>
      <t>Talent Perempuan</t>
    </r>
    <r>
      <rPr>
        <b/>
        <sz val="11"/>
        <color theme="1"/>
        <rFont val="Arial"/>
        <family val="2"/>
      </rPr>
      <t xml:space="preserve"> untuk Ready sebagai suksesi (Nomor Risiko : 7-E.2-HC-2)</t>
    </r>
  </si>
  <si>
    <r>
      <rPr>
        <sz val="10"/>
        <color theme="1"/>
        <rFont val="Arial"/>
        <family val="2"/>
      </rPr>
      <t xml:space="preserve">Berdasarkan informasi 3 tahun terakhir, terdapat ketidakefektifan dalam menyiapkan </t>
    </r>
    <r>
      <rPr>
        <b/>
        <sz val="10"/>
        <color theme="1"/>
        <rFont val="Arial"/>
        <family val="2"/>
      </rPr>
      <t>Talent Perempuan</t>
    </r>
    <r>
      <rPr>
        <sz val="10"/>
        <color theme="1"/>
        <rFont val="Arial"/>
        <family val="2"/>
      </rPr>
      <t xml:space="preserve"> di tiap tahunnya, sehingga ditentukan Dampak Risikonya memiliki </t>
    </r>
    <r>
      <rPr>
        <b/>
        <sz val="10"/>
        <color theme="1"/>
        <rFont val="Arial"/>
        <family val="2"/>
      </rPr>
      <t xml:space="preserve">skala 3 atau moderat </t>
    </r>
    <r>
      <rPr>
        <sz val="10"/>
        <color theme="1"/>
        <rFont val="Arial"/>
        <family val="2"/>
      </rPr>
      <t>setelah dipetakan ke dalam Tabel Kriteria Dampak Kualitatif</t>
    </r>
  </si>
  <si>
    <t xml:space="preserve">% Talent Perempuan Tidak Ready </t>
  </si>
  <si>
    <r>
      <rPr>
        <sz val="10"/>
        <color theme="1"/>
        <rFont val="Arial"/>
        <family val="2"/>
      </rPr>
      <t>Berdasarkan perhitungan diatas, maka % probabilitasnya sebesar 48</t>
    </r>
    <r>
      <rPr>
        <b/>
        <sz val="10"/>
        <color theme="1"/>
        <rFont val="Arial"/>
        <family val="2"/>
      </rPr>
      <t xml:space="preserve">% </t>
    </r>
    <r>
      <rPr>
        <sz val="10"/>
        <color theme="1"/>
        <rFont val="Arial"/>
        <family val="2"/>
      </rPr>
      <t xml:space="preserve">sehingga sesuai Tabel Kriteria Probabilitas pada </t>
    </r>
    <r>
      <rPr>
        <b/>
        <sz val="10"/>
        <color theme="1"/>
        <rFont val="Arial"/>
        <family val="2"/>
      </rPr>
      <t>skala 3</t>
    </r>
    <r>
      <rPr>
        <sz val="10"/>
        <color theme="1"/>
        <rFont val="Arial"/>
        <family val="2"/>
      </rPr>
      <t xml:space="preserve"> atau </t>
    </r>
    <r>
      <rPr>
        <b/>
        <sz val="10"/>
        <color theme="1"/>
        <rFont val="Arial"/>
        <family val="2"/>
      </rPr>
      <t>bisa terjadi</t>
    </r>
  </si>
  <si>
    <t>3. Ketidaktersediaan waktu pengelola organ risiko untuk mengikuti sertifikasi (Nomor Risiko : 8-E.3-HC-4)</t>
  </si>
  <si>
    <r>
      <rPr>
        <sz val="10"/>
        <color theme="1"/>
        <rFont val="Arial"/>
        <family val="2"/>
      </rPr>
      <t xml:space="preserve">Berdasarkan informasi 3 tahun terakhir, terdapat ketidaksediaan waktu pengelola organ risiko mengikuti sertifikasi di tiap tahunnya, sehingga ditentukan Dampak Risikonya memiliki </t>
    </r>
    <r>
      <rPr>
        <b/>
        <sz val="10"/>
        <color theme="1"/>
        <rFont val="Arial"/>
        <family val="2"/>
      </rPr>
      <t xml:space="preserve">skala 3 atau moderat </t>
    </r>
    <r>
      <rPr>
        <sz val="10"/>
        <color theme="1"/>
        <rFont val="Arial"/>
        <family val="2"/>
      </rPr>
      <t>setelah dipetakan ke dalam Tabel Kriteria Dampak Kualitatif</t>
    </r>
  </si>
  <si>
    <t xml:space="preserve">KPI pemenuhan kualifikasi organ risiko baru diberikan di tahun 2024,adapun pemenuhan sd Maret 2024 adalah 62,5% </t>
  </si>
  <si>
    <t xml:space="preserve">Namun selama ini yang dimonitoring hanyalah sertfifikasi untuk Unit Kerja Manajemen Risiko, SPI, dan Direksi dengan data </t>
  </si>
  <si>
    <t xml:space="preserve">sebagai berikut: </t>
  </si>
  <si>
    <t xml:space="preserve">Tahun </t>
  </si>
  <si>
    <t xml:space="preserve">Pemenuhan Unit MR, SPI, Direksi </t>
  </si>
  <si>
    <t xml:space="preserve">Dekom dan Komite </t>
  </si>
  <si>
    <t xml:space="preserve">Rata-rata pemenuhan sertifikasi Dekom dan Komite rendah hanya 33%, sehingga Rata-rata 67% sertifikasi Dekom dan Komite tidak terpenuhi </t>
  </si>
  <si>
    <r>
      <rPr>
        <sz val="10"/>
        <color theme="1"/>
        <rFont val="Arial"/>
        <family val="2"/>
      </rPr>
      <t>Berdasarkan perhitungan diatas, maka % probabilitasnya sebesar 67</t>
    </r>
    <r>
      <rPr>
        <b/>
        <sz val="10"/>
        <color theme="1"/>
        <rFont val="Arial"/>
        <family val="2"/>
      </rPr>
      <t xml:space="preserve">% </t>
    </r>
    <r>
      <rPr>
        <sz val="10"/>
        <color theme="1"/>
        <rFont val="Arial"/>
        <family val="2"/>
      </rPr>
      <t xml:space="preserve">sehingga sesuai Tabel Kriteria Probabilitas pada </t>
    </r>
    <r>
      <rPr>
        <b/>
        <sz val="10"/>
        <color theme="1"/>
        <rFont val="Arial"/>
        <family val="2"/>
      </rPr>
      <t>skala 4</t>
    </r>
    <r>
      <rPr>
        <sz val="10"/>
        <color theme="1"/>
        <rFont val="Arial"/>
        <family val="2"/>
      </rPr>
      <t xml:space="preserve"> atau </t>
    </r>
    <r>
      <rPr>
        <b/>
        <sz val="10"/>
        <color theme="1"/>
        <rFont val="Arial"/>
        <family val="2"/>
      </rPr>
      <t>sangat mungkin terjadi</t>
    </r>
  </si>
  <si>
    <t>Keterangan tambahan</t>
  </si>
  <si>
    <t>BIDANG SEKPER (Kualitatif)</t>
  </si>
  <si>
    <t>BIDANG SEKPER (Pagu Anggaran vs Realisasi)</t>
  </si>
  <si>
    <t>Note:</t>
  </si>
  <si>
    <t>Data diperoleh dari RKM SM I dan II</t>
  </si>
  <si>
    <t>1. Pelaksanaan Program TJSL/CSR tidak terlaksana sesuai dengan roadmap yg sudah di rencanakan (Nomor Risiko : 9-A.8-SEKPER-2)</t>
  </si>
  <si>
    <r>
      <rPr>
        <sz val="10"/>
        <color theme="1"/>
        <rFont val="Arial"/>
        <family val="2"/>
      </rPr>
      <t xml:space="preserve">Berdasarkan informasi 3 tahun terakhir, terdapat pelaksanaan program TJSL/CSR yang tidak sesuai dengan roadmap yang direncanakan di tiap tahunnya, sehingga ditentukan Dampak Risikonya memiliki </t>
    </r>
    <r>
      <rPr>
        <b/>
        <sz val="10"/>
        <color theme="1"/>
        <rFont val="Arial"/>
        <family val="2"/>
      </rPr>
      <t>skala 1 atau sangat rendah</t>
    </r>
    <r>
      <rPr>
        <sz val="10"/>
        <color theme="1"/>
        <rFont val="Arial"/>
        <family val="2"/>
      </rPr>
      <t xml:space="preserve"> setelah dipetakan ke dalam Tabel Kriteria Dampak Kualitatif</t>
    </r>
  </si>
  <si>
    <t>Jumlah Program TJSL/CSR</t>
  </si>
  <si>
    <t>Realisasi yang selaras</t>
  </si>
  <si>
    <t>Realisasi yang tidak selaras</t>
  </si>
  <si>
    <t>% Program TJSL/CSR yang tidak selaras</t>
  </si>
  <si>
    <t>Nilai Pagu TJSL/CSR</t>
  </si>
  <si>
    <t>Realisasi Nilai Pagu yang selaras</t>
  </si>
  <si>
    <t>Realisasi Nilai Pagu yang tidak selaras</t>
  </si>
  <si>
    <t>% Nilai Pagu yang tidak selaras</t>
  </si>
  <si>
    <r>
      <rPr>
        <sz val="10"/>
        <color theme="1"/>
        <rFont val="Arial"/>
        <family val="2"/>
      </rPr>
      <t xml:space="preserve">Berdasarkan perhitungan diatas, maka % probabilitasnya sebesar </t>
    </r>
    <r>
      <rPr>
        <b/>
        <sz val="10"/>
        <color theme="1"/>
        <rFont val="Arial"/>
        <family val="2"/>
      </rPr>
      <t xml:space="preserve">2,67 % </t>
    </r>
    <r>
      <rPr>
        <sz val="10"/>
        <color theme="1"/>
        <rFont val="Arial"/>
        <family val="2"/>
      </rPr>
      <t xml:space="preserve">sehingga sesuai Tabel Kriteria Probabilitas pada </t>
    </r>
    <r>
      <rPr>
        <b/>
        <sz val="10"/>
        <color theme="1"/>
        <rFont val="Arial"/>
        <family val="2"/>
      </rPr>
      <t>skala 1 atau sangat jarang terjadi</t>
    </r>
  </si>
  <si>
    <t>BIDANG SPI (INTERNAL AUDIT)</t>
  </si>
  <si>
    <t>1. Kurangnya koordinasi antara auditor dengan auditee terkait tindak lanjut rekomendasi (Nomor Risiko : 10-F.1.3-SPI-1)</t>
  </si>
  <si>
    <r>
      <rPr>
        <sz val="10"/>
        <color theme="1"/>
        <rFont val="Arial"/>
        <family val="2"/>
      </rPr>
      <t xml:space="preserve">Berdasarkan informasi 2 tahun terakhir, terdapat 1 rekomendasi yang closed melewati waktu jatuh tempo, sehingga ditentukan Dampak Risikonya memiliki </t>
    </r>
    <r>
      <rPr>
        <b/>
        <sz val="10"/>
        <color theme="1"/>
        <rFont val="Arial"/>
        <family val="2"/>
      </rPr>
      <t>skala 1 atau sangat rendah</t>
    </r>
    <r>
      <rPr>
        <sz val="10"/>
        <color theme="1"/>
        <rFont val="Arial"/>
        <family val="2"/>
      </rPr>
      <t xml:space="preserve"> setelah dipetakan ke dalam Tabel Kriteria Dampak Kualitatif</t>
    </r>
  </si>
  <si>
    <t>Rekomendasi yang closed dengan waktu kurang dari 15 hari dari tanggal jatuh tempo sebanyak 195 rekomendasi atau 78% dari total keseluruhan rekomendasi di tahun 2022 dan 2023 (Total = 249)</t>
  </si>
  <si>
    <r>
      <rPr>
        <sz val="10"/>
        <color theme="1"/>
        <rFont val="Arial"/>
        <family val="2"/>
      </rPr>
      <t xml:space="preserve">Berdasarkan perhitungan diatas, maka % probabilitasnya sebesar </t>
    </r>
    <r>
      <rPr>
        <b/>
        <sz val="10"/>
        <color theme="1"/>
        <rFont val="Arial"/>
        <family val="2"/>
      </rPr>
      <t xml:space="preserve">78 % </t>
    </r>
    <r>
      <rPr>
        <sz val="10"/>
        <color theme="1"/>
        <rFont val="Arial"/>
        <family val="2"/>
      </rPr>
      <t xml:space="preserve">sehingga sesuai Tabel Kriteria Probabilitas pada </t>
    </r>
    <r>
      <rPr>
        <b/>
        <sz val="10"/>
        <color theme="1"/>
        <rFont val="Arial"/>
        <family val="2"/>
      </rPr>
      <t>skala 4</t>
    </r>
    <r>
      <rPr>
        <sz val="10"/>
        <color theme="1"/>
        <rFont val="Arial"/>
        <family val="2"/>
      </rPr>
      <t xml:space="preserve"> atau </t>
    </r>
    <r>
      <rPr>
        <b/>
        <sz val="10"/>
        <color theme="1"/>
        <rFont val="Arial"/>
        <family val="2"/>
      </rPr>
      <t>sangat mungkin terjadi</t>
    </r>
  </si>
  <si>
    <t>BIDANG PKMR (PERENCANAAN)</t>
  </si>
  <si>
    <t>1. Ketersediaan pasokan Gas harga ekonomis tidak mencukupi kebutuhan operasional pembangkit gas (Nomor Risiko : 11-A.2-PKMR-Perencanaan-1)</t>
  </si>
  <si>
    <r>
      <rPr>
        <sz val="10"/>
        <color theme="1"/>
        <rFont val="Arial"/>
        <family val="2"/>
      </rPr>
      <t xml:space="preserve">Terkait dengan ketersediaan pasokan gas harga ekonomis tidak mencukupi kebutuhan operasional pembangkit gas, sehingga ditentukan Dampak Risikonya memiliki </t>
    </r>
    <r>
      <rPr>
        <b/>
        <sz val="10"/>
        <color theme="1"/>
        <rFont val="Arial"/>
        <family val="2"/>
      </rPr>
      <t>skala 5 atau sangat tinggi</t>
    </r>
    <r>
      <rPr>
        <sz val="10"/>
        <color theme="1"/>
        <rFont val="Arial"/>
        <family val="2"/>
      </rPr>
      <t xml:space="preserve"> setelah dipetakan ke dalam Tabel Kriteria Dampak Kuantitatif dengan data sebagai berikut :</t>
    </r>
  </si>
  <si>
    <t>HARGA GAS RKAP 5.93 USD/MMBTU</t>
  </si>
  <si>
    <t>BULAN</t>
  </si>
  <si>
    <t>BIAYA C</t>
  </si>
  <si>
    <t>BIAYA ABD</t>
  </si>
  <si>
    <t>MWh Penjualan</t>
  </si>
  <si>
    <t>BPP</t>
  </si>
  <si>
    <t>BPP Komp C</t>
  </si>
  <si>
    <t>BPP ABD</t>
  </si>
  <si>
    <t>May</t>
  </si>
  <si>
    <t>Aug</t>
  </si>
  <si>
    <t>Oct</t>
  </si>
  <si>
    <t>Dec</t>
  </si>
  <si>
    <t>HARGA GAS 6.97 USD/MMBTU (Menggunakan harga gas komersial PGN 11.08 untuk tambahan vol gas amandemen 9)</t>
  </si>
  <si>
    <t>Selisih BPP (Rp/Kwh)</t>
  </si>
  <si>
    <t xml:space="preserve">kWh produksi </t>
  </si>
  <si>
    <t xml:space="preserve">Tabel Perhitungan Skala Probabilitas : </t>
  </si>
  <si>
    <t>Harga Tertimbang gas Target RKAP 2023</t>
  </si>
  <si>
    <t>Harga Tertimbang gas realisasi 2023</t>
  </si>
  <si>
    <t>Ratio 2023</t>
  </si>
  <si>
    <t>Harga Tertimbang gas Target RKAP 2024</t>
  </si>
  <si>
    <t>Harga Tertimbang gas realisasi 2024</t>
  </si>
  <si>
    <t>Ratio 2024</t>
  </si>
  <si>
    <t>HGBT belum ttd</t>
  </si>
  <si>
    <t>asumsi HGBT belum ttd</t>
  </si>
  <si>
    <t>asumsi HGBT sudah ttd</t>
  </si>
  <si>
    <t>Sept</t>
  </si>
  <si>
    <t>realisasi diatas RKAP 2023</t>
  </si>
  <si>
    <t>bulan</t>
  </si>
  <si>
    <t>Realisasi diatas RKAP 2024</t>
  </si>
  <si>
    <t>Probabilitas diatas RKAP 2023</t>
  </si>
  <si>
    <t>Probabilitas diatas RKAP 2024</t>
  </si>
  <si>
    <t>KET : Polaritas positif</t>
  </si>
  <si>
    <r>
      <rPr>
        <sz val="10"/>
        <color theme="1"/>
        <rFont val="Arial"/>
        <family val="2"/>
      </rPr>
      <t xml:space="preserve">Berdasarkan perhitungan diatas, maka % probabilitasnya sebesar 50 </t>
    </r>
    <r>
      <rPr>
        <b/>
        <sz val="10"/>
        <color theme="1"/>
        <rFont val="Arial"/>
        <family val="2"/>
      </rPr>
      <t xml:space="preserve">% </t>
    </r>
    <r>
      <rPr>
        <sz val="10"/>
        <color theme="1"/>
        <rFont val="Arial"/>
        <family val="2"/>
      </rPr>
      <t xml:space="preserve">sehingga sesuai Tabel Kriteria Probabilitas pada </t>
    </r>
    <r>
      <rPr>
        <b/>
        <sz val="10"/>
        <color theme="1"/>
        <rFont val="Arial"/>
        <family val="2"/>
      </rPr>
      <t>skala 3</t>
    </r>
    <r>
      <rPr>
        <sz val="10"/>
        <color theme="1"/>
        <rFont val="Arial"/>
        <family val="2"/>
      </rPr>
      <t xml:space="preserve"> </t>
    </r>
    <r>
      <rPr>
        <b/>
        <sz val="10"/>
        <color theme="1"/>
        <rFont val="Arial"/>
        <family val="2"/>
      </rPr>
      <t>atau bisa terjadi</t>
    </r>
  </si>
  <si>
    <t>2. Penambahan pembangkit berbasis EBT dalam sistem Batam – Bintan tidak mencapai target 100 MWp tahun 2025 (Nomor Risiko : 12-D.2.3-PKMR-Perencanaan-4)</t>
  </si>
  <si>
    <t>Aktivitas</t>
  </si>
  <si>
    <t>Probabilitas tidak sesuai time line</t>
  </si>
  <si>
    <t xml:space="preserve">Tanda tangan kontrak </t>
  </si>
  <si>
    <t>Rencana</t>
  </si>
  <si>
    <t>√</t>
  </si>
  <si>
    <t>Proses perijinan</t>
  </si>
  <si>
    <t>Onshore Work</t>
  </si>
  <si>
    <t>Pabrikasi</t>
  </si>
  <si>
    <t>Offshore Work</t>
  </si>
  <si>
    <t>Testing dan comm</t>
  </si>
  <si>
    <t>COD 7 MW</t>
  </si>
  <si>
    <t xml:space="preserve">Kesiapan sisi PLN :
</t>
  </si>
  <si>
    <t>Pegelaran kabel 20 Kv</t>
  </si>
  <si>
    <t>Pemasangan kubikel</t>
  </si>
  <si>
    <t>Testing dan Comm</t>
  </si>
  <si>
    <r>
      <rPr>
        <sz val="10"/>
        <color theme="1"/>
        <rFont val="Arial"/>
        <family val="2"/>
      </rPr>
      <t xml:space="preserve">Berdasarkan perhitungan diatas, maka % probabilitasnya sebesar 10 </t>
    </r>
    <r>
      <rPr>
        <b/>
        <sz val="10"/>
        <color theme="1"/>
        <rFont val="Arial"/>
        <family val="2"/>
      </rPr>
      <t xml:space="preserve">% </t>
    </r>
    <r>
      <rPr>
        <sz val="10"/>
        <color theme="1"/>
        <rFont val="Arial"/>
        <family val="2"/>
      </rPr>
      <t xml:space="preserve">sehingga sesuai Tabel Kriteria Probabilitas pada </t>
    </r>
    <r>
      <rPr>
        <b/>
        <sz val="10"/>
        <color theme="1"/>
        <rFont val="Arial"/>
        <family val="2"/>
      </rPr>
      <t>skala 1</t>
    </r>
    <r>
      <rPr>
        <sz val="10"/>
        <color theme="1"/>
        <rFont val="Arial"/>
        <family val="2"/>
      </rPr>
      <t xml:space="preserve"> </t>
    </r>
    <r>
      <rPr>
        <b/>
        <sz val="10"/>
        <color theme="1"/>
        <rFont val="Arial"/>
        <family val="2"/>
      </rPr>
      <t>atau sangat jarang terjadi</t>
    </r>
  </si>
  <si>
    <t>BIDANG PKMR (MR)</t>
  </si>
  <si>
    <t>Belum ada data</t>
  </si>
  <si>
    <t>1. Pemenuhan parameter dan kriteria Penilian RMI (Nomor Risiko : 13-B.1-PKMR-MR-1)</t>
  </si>
  <si>
    <t>Berdasarkan ketersediaan faktor pendukung keberhasilan pencapaian Road Map, (SDM), dengan pertimbangan juga terhadap pekerjaan lain yang juga menjadi tanggungjawab.</t>
  </si>
  <si>
    <r>
      <rPr>
        <sz val="10"/>
        <color rgb="FF0033CC"/>
        <rFont val="Arial"/>
        <family val="2"/>
      </rPr>
      <t xml:space="preserve">Berdasarkan perhitungan diatas, maka % probabilitasnya sebesar </t>
    </r>
    <r>
      <rPr>
        <b/>
        <sz val="10"/>
        <color rgb="FF0033CC"/>
        <rFont val="Arial"/>
        <family val="2"/>
      </rPr>
      <t xml:space="preserve">… % </t>
    </r>
    <r>
      <rPr>
        <sz val="10"/>
        <color rgb="FF0033CC"/>
        <rFont val="Arial"/>
        <family val="2"/>
      </rPr>
      <t xml:space="preserve">sehingga sesuai Tabel Kriteria Probabilitas pada </t>
    </r>
    <r>
      <rPr>
        <b/>
        <sz val="10"/>
        <color rgb="FF0033CC"/>
        <rFont val="Arial"/>
        <family val="2"/>
      </rPr>
      <t>skala (1/2/3/4/5)</t>
    </r>
    <r>
      <rPr>
        <sz val="10"/>
        <color rgb="FF0033CC"/>
        <rFont val="Arial"/>
        <family val="2"/>
      </rPr>
      <t xml:space="preserve"> atau </t>
    </r>
    <r>
      <rPr>
        <b/>
        <sz val="10"/>
        <color rgb="FF0033CC"/>
        <rFont val="Arial"/>
        <family val="2"/>
      </rPr>
      <t>(sangat jarang terjadi/jarang terjadi/bisa terjadi/sangat mungkin terjadi/hampir pasti terjadi)</t>
    </r>
  </si>
  <si>
    <t>BIDANG PENGEMBANGAN BISNIS DAN ENTERPRISE / BISDEV</t>
  </si>
  <si>
    <t>Pemegang Saham tidak menyetujui Co-Investment (Nomor Risiko : 14-D.3-BISDEV-01)</t>
  </si>
  <si>
    <t>Perhitungan konsekuensi berdasarkan potensi dividen yang diterima entitas PLN Batam dari hasil kerjasama JV dengan ACP selama 30 tahun. Dividen merupakan sisa hasil usaha setelah dikurangi laba ditahan yang kemudian dibagikan kepada entitas pemilik saham. Proyeksi penerimaan dividen setiap tahun sebesar Rp 22,613,200,000 dengan detail perhitungan sebagai berikut:</t>
  </si>
  <si>
    <t>Proyeksi Dividen dari JVC PLTS 100 MWp Aruna selama periode JV</t>
  </si>
  <si>
    <t>Entitas</t>
  </si>
  <si>
    <t>Saham</t>
  </si>
  <si>
    <t>Nilai Dividen (dalam juta)</t>
  </si>
  <si>
    <t>PT PLN Batam</t>
  </si>
  <si>
    <t>PT Aruna</t>
  </si>
  <si>
    <t>Dividen PLNB per tahun = 678,396,000,000/30 tahun = Rp 22,613,200,000</t>
  </si>
  <si>
    <t>Perhitungan kemungkinan terjadinya risiko berdasarkan pada faktor paling signifikan dalam produksi listrik PLTS, yaitu iradiasi cahaya. Dimana iradiasi cahaya direpresentasikan dengan jumlah hari cerah pada jam optimal pengeoperasian PLTS (10.00 - 14.00). Berikut merupakan data tutupan awan kawasan Tatajabar tahun 2023 berdasarkan dari sumber watherspark.com</t>
  </si>
  <si>
    <t>Jumlah Hari Cerah</t>
  </si>
  <si>
    <t>Jumlah Hari Mendung</t>
  </si>
  <si>
    <t>Jumlah</t>
  </si>
  <si>
    <t>Probabilitas Cuaca Cerah</t>
  </si>
  <si>
    <t>Dari data tersebut didapatkan bahwa 30% jumlah hari yang mendung pada area Karawang dengan kemungkinan tertinggi terjadi penurunan produksi pada kuartal 1. Berdasarkan data tersebut, maka kemungkinan terjadinya penurunan kinerja PLTS sebesar 30%.</t>
  </si>
  <si>
    <t>Pemegang Saham tidak menyetujui PT PLN Batam sebagai pemilik saham minoritas dalam PT STP (Nomor Risiko : 15-B.2.1-BISDEV-03)</t>
  </si>
  <si>
    <t>Perhitungan konsekuensi berdasarkan potensi dividen yang diterima entitas PLN Batam dari akuisisi saham PT Sarana Tamarin Power (STP) dengan jumlah saham 49%. Proyeksi penerimaan dividen setiap tahun adalah sebagai berikut:</t>
  </si>
  <si>
    <t>Proyeksi Dividen Tahunan dari JVC Retailco</t>
  </si>
  <si>
    <t>Laba bersih rata-rata per tahun :</t>
  </si>
  <si>
    <t>17.124.791.440</t>
  </si>
  <si>
    <t>Dividen PLNB (49%)</t>
  </si>
  <si>
    <t>6.712.918.250</t>
  </si>
  <si>
    <t>Biaya AMC melebihi pagu anggaran (Nomor Risiko : 16-B.3-BISDEV-06)</t>
  </si>
  <si>
    <t>Perhitungan konsekuensi berdasarkan selisih keuntungan antara net income berdasarkan biaya proyeksi dengan net income berdasarkan setelah adanya inflasi atau kenaikan UMP yang didapatkan dari proyek AMC PLTD yang ditugaskan pada PT PLN Batam.</t>
  </si>
  <si>
    <t>Proyeksi Keuangan AMC</t>
  </si>
  <si>
    <t>AMC</t>
  </si>
  <si>
    <t>Revenue 2024
(Rp Milyar)</t>
  </si>
  <si>
    <t>Beban Biaya Proyeksi 2024 (Rp Milyar)</t>
  </si>
  <si>
    <t>Beban Biaya Proyeksi 2024 setelah Inflasi / UMP
(Rp Milyar)</t>
  </si>
  <si>
    <t>Net Income Proyeksi</t>
  </si>
  <si>
    <t>Net Income setelah inflasi / kenaikan UMP</t>
  </si>
  <si>
    <t>UID RKR</t>
  </si>
  <si>
    <t>UID ACEH</t>
  </si>
  <si>
    <t>UID SUMUT</t>
  </si>
  <si>
    <t>UID SUMBAR</t>
  </si>
  <si>
    <t>UID S2JB</t>
  </si>
  <si>
    <t>UID LAMPUNG</t>
  </si>
  <si>
    <t>UID JATIM</t>
  </si>
  <si>
    <t>Total selisih perhitungan proyeksi dengan skenario terjadinya inflasi / kenaikan UMP (sebesar 8.59%)</t>
  </si>
  <si>
    <t>Berdasarkan data tersebut, konsekuensi yang dapat ditimbulkan adalah sebesar Rp 32.3 Milyar</t>
  </si>
  <si>
    <t>Probabilitas kenaikan inflasi / UMP berdasarkan standard deviasi pada rata-rata kenaikan UMP dalam 10 tahun terakhir di Indonesia yang dirilis oleh Datawrapper dan ditunjukan sebagai berikut:</t>
  </si>
  <si>
    <t>Kenaikan UMP</t>
  </si>
  <si>
    <t>Rata-rata kenaikan</t>
  </si>
  <si>
    <t>Standard Deviasi</t>
  </si>
  <si>
    <t>Berdasarkan data tersebut, nilai kenaikan ditentukan berdasarkan nilai standard deviasi 5.13% pada rata-rata kenaikan yang sebesar 8.59%, dengan mengasumsikan data tersebut berdistribusi normal, menggunakan z-score nilai probabilitasnya adalah 50%</t>
  </si>
  <si>
    <t>BIDANG NIAGA</t>
  </si>
  <si>
    <t>Data perlu dilengkapi</t>
  </si>
  <si>
    <t>Harga Jual rata-rata Tahun 2024 di bawah Rp 1.431,08-/kWh (Nomor Risiko : 17-A.4-AGA-1)</t>
  </si>
  <si>
    <t>Perhitungan konsekuensi berdasarkan pada selisih nilai Harga Jual Retail RKAP dengan Realisasi yang dikalikan dengan proyeksi nilai kWh terjual selama setahun dengan nilai kerugian Rp 1,060,242,351. Nilai tersebut mencerminkan potensi kerugian dan ketidak tercapaian target penjualan retail berdasarkan RKAP</t>
  </si>
  <si>
    <t>Pendapatan Penjualan Tenaga Listrik TUL</t>
  </si>
  <si>
    <t>HJR RKAP</t>
  </si>
  <si>
    <t>HJR Real</t>
  </si>
  <si>
    <t>kWh</t>
  </si>
  <si>
    <t>Probabilitas terjadinya kejadian didasarkan pada data historis selama 3 tahun terakhir yang dievaluasi secara bulanan. Berdasarkan data dari tahun 2021 hingga 2023, nilai tarif dibawah nilai target RKAP secara dominan terjadi pada tahun 2022 - 2023 dikarenakan pertumbuhan ekonomi di wilayah Batam yang cukup signifikan setelah COVID-19. Dari 36 bulan evaluasi, terdapat 25 bulan dari 36 bulan harga jual rata-rata dibawah target RKAP, sehingga probabilitas terjadinya kejadian adalah sebesar 69%.</t>
  </si>
  <si>
    <t>Real</t>
  </si>
  <si>
    <t>Target RKAP</t>
  </si>
  <si>
    <t>Penurunan jumlah market share penjualan listrik di area Batam (Nomor Risiko : 18-A.4-AGA-2)</t>
  </si>
  <si>
    <t>Dalam penentuan tarif untuk wilayah Usaha Baru, dilakukan negosiasi antara pemilik Wilayah Usaha dengan Direksi PLN Batam. Dimana pada kasus terakhir, antara PLN Batam dengan Wilayah Usaha Tamarin, Negosiasi nilai tarif turun dari Rp1.650/kWh (nilai normal harga jual pada industri berdasarkan SK Direksi No.00035.K/Dir/2019 tentang Layanan Khusus Premium Tegangan Menengah PLN Batam) menjadi 1.449/kWh. sehingga akan menimbulkan selisih opportunity loss sebesar Rp 201/kWh. Berdasarkan dari PJBTL antar pemegang IUPTL yang memiliki wilayah usaha Taman Resor Internet, perusahaan meminta penyaluran daya sebesar 4,4 MVA dari minggu ke-4 Juni hingga Akhir Oktober (4 bulan) dan dari November hingga Desember menjadi sebesar 10 MVA.</t>
  </si>
  <si>
    <t>Perhitungan konsekuensi menggunakan kapasitas yang dikalikan jam nyala minimum dikali jumlah bulan dikali delta tarif (selisih harga normal dengan negosiasi).</t>
  </si>
  <si>
    <t>Selisih Harga Jual dengan Negosiasi
(Rp /kWh)</t>
  </si>
  <si>
    <t>Jumlah Jam Nyala Penyaluran per bulan</t>
  </si>
  <si>
    <t>Juni - Oktober</t>
  </si>
  <si>
    <t>November - Desember</t>
  </si>
  <si>
    <t>Selisih Pendapatan</t>
  </si>
  <si>
    <t>Daya
(kVA)</t>
  </si>
  <si>
    <t>Jumlah Bulan
(bulan)</t>
  </si>
  <si>
    <t>Pada tahun 2023 sudah terdapat 2 Wilayah Usaha yang mengajukan permohonan tarif listrik untuk disalurkan di wilayah usaha dengan sudah terdapat 1 wilayah usaha yang mendapatkan PJBTL. Dengan adanya perusahaan yang telah mendapatkan PJBTL dengan penurunan sebesar nilai di atas, maka dipertimbangkan risiko memiliki probabilitas hampir pasti terjadi.</t>
  </si>
  <si>
    <t>Tidak disetujuinya usulan Tarif Listrik Batam selama masa transisi pemerintahan baru di tahun 2024 (Nomor Risiko : 19-D.4-AGA-3)</t>
  </si>
  <si>
    <t>Saat ini PLN Batam sedang dalam proses pengkajian untuk pengajuan kenaikan tarif dengan ekspektasi peningkatan revenue sebesar Rp 251,647,706,287 untuk tahun 2024</t>
  </si>
  <si>
    <t>Secara historis, PLN Batam sudah melakukan pengajuan kenaikan tarif pada tahun 2016 sesuai dengan surat DIRUT PT PLN Batam Nomor 00119/162/DIRUT/2016 perihal Penetapan Tarif Listrik Batam (TLB) 2016 PT PLN Batam pada tanggal 18 Januari 2016 yang diajukan kepada pemerintah Daerah tingkat Gubernur Kepulauan Riau.</t>
  </si>
  <si>
    <t>Kondisi pada saat pengajuan di 2016 memiliki beberapa kondisi sebagai berikut:
1. Pada tahun 2015 Kementerian ESDM menyetujui kenaikan tarif nasional yang naik dari periode sebelumnya.
2. Tarif PLN Batam yang diajukan masih di bawah Tarif Listrik Nasional.
3. Pengajuan tarif yang disetujui adalah pada segmen retail, yaitu pada segemen tarif S2 &gt; 2.200 VA s.d. 200 kVA, R1-900 VA s.d. 2.200 VA, Tarid Meter Prabayar S2 &gt; 2.200 VA, Tarif Meter Prabayar R1 - 1.300 s.d. 2.200 VA.</t>
  </si>
  <si>
    <t>Pada tahun 2024, PLN Batam melakukan pengajuan kenaikan tarif kembali dengan kondisi sebagai berikut:
1. PLN Pusat menggunakan Tarif Adjustment untuk melakukan penyesuaian nilai jual berdasarkan kenaikan/penurunan uncontrolable factor yang mempengaruhi biaya pokok penyediaan listrik.
2. Tarif PLN Batam yang diajukan masih dibawah Tarif Listrik Nasional
3. Pengajuan penyesuaian tarif di tahun 2024 diajukan pada tingkat kementerian ESDM RI untuk segmen retail.</t>
  </si>
  <si>
    <t>Segala syarat administrasi dan legal dalam pengajuan penyesuaian tarif pada saat ini sudah sesua dengan kebutuhan yang diperlukan dalam pengajuan sesuai dengan Peraturan. Dengan mempertimbangkan pola kondisi yang kurang lebih sama antara pengajuan tarif tahun 2016 dan 2024, maka kemungkinan pengajuan tarif untuk ditolak akan sangat rendah (0% - 20%).</t>
  </si>
  <si>
    <t>Keterlambatan  pelaksanaan pekerjaan pemasangan saluran kabel laut dan kabel darat tegangan menengah 20 KV Belakang Padang - Pulau Sambu (Nomor Risiko : 20-B.2.4-AGA-4)</t>
  </si>
  <si>
    <t>Konsekuensi dihitung berdasarkan nilai potensi revenue yang didapatkan dari pengoperasian kabel laut yang akan COD pada 30 November 2024 atau 1 bulan dalam tahun 2024.</t>
  </si>
  <si>
    <t>Pembangunan Kabel Laut Belakang Padang - Pulau Sambu (Target COD 30 November 2024)</t>
  </si>
  <si>
    <t>Pendapatan Sewa Fasilitas ekstra per bulan</t>
  </si>
  <si>
    <t>Rp 417,450,838</t>
  </si>
  <si>
    <t>Pendapatan penjualan tenaga listrik</t>
  </si>
  <si>
    <t>Rp 810,000,000</t>
  </si>
  <si>
    <t>Total Revenue 2024</t>
  </si>
  <si>
    <t>Rp 1,227,450,838</t>
  </si>
  <si>
    <t>Berdasarkan data historis pelaksanaan pengadaan dan pelaksanaan pekerjaan di PLN Batam, realisasi terjadinya keterlambatan pengadaan selama tahun 2023 adalah sebanyak 3 kali dari 28 pengadaan, sehingga nilai kemungkinan terjadinya keterlambatan pengadaan adalah sbesar 11%</t>
  </si>
  <si>
    <t>Kegagalan Integrasi Proses Bisnis PLN Batam ke PLN Mobile sesuai Roadmap Tahun 2024 (Nomor Risiko : 21-C.1.1-AGA-5)</t>
  </si>
  <si>
    <t>……………………………………</t>
  </si>
  <si>
    <t>UNIT BISNIS DISTRIBUSI &amp; PELAYANAN PELANGGAN / DISYAN</t>
  </si>
  <si>
    <t>1. Risiko Ketidakpastian penggunaan energi listrik (Nomor Risiko : 22-A.4-DISYAN-01)</t>
  </si>
  <si>
    <t>Berdasarkan data pendapatan pada tahun 2023 terjadi kenaikan dan penurunan pendapatan terhadap bulan berjalan sehingga nilai dampak inherennya dapat dihitung sebagai berikut:</t>
  </si>
  <si>
    <t>Tabel perhitungan persentase growth pendapatan penjualan pelanggan TM</t>
  </si>
  <si>
    <t>Tabel perhitungan pembangunan trafo distribusi</t>
  </si>
  <si>
    <t>PENDAPATAN</t>
  </si>
  <si>
    <t>% GROWTH BULANAN</t>
  </si>
  <si>
    <t>Kapasitas Trafo (kVA)</t>
  </si>
  <si>
    <t>Unit</t>
  </si>
  <si>
    <t>Potensi kWh MAX</t>
  </si>
  <si>
    <t>Potensi kWh</t>
  </si>
  <si>
    <t>Rp Dampak</t>
  </si>
  <si>
    <t>DESEMBER 2022</t>
  </si>
  <si>
    <t>JANUARI 2023</t>
  </si>
  <si>
    <t>FEBRUARI 2023</t>
  </si>
  <si>
    <t>MARET 2023</t>
  </si>
  <si>
    <t>APRIL 2023</t>
  </si>
  <si>
    <t>Noted:</t>
  </si>
  <si>
    <t>Asumsi Jam Nyala</t>
  </si>
  <si>
    <t>MEI 2023</t>
  </si>
  <si>
    <t>JUNI 2023</t>
  </si>
  <si>
    <t>cos phi</t>
  </si>
  <si>
    <t>JULI 2023</t>
  </si>
  <si>
    <t>AGUSTUS 2023</t>
  </si>
  <si>
    <t>SEPTEMBER 2023</t>
  </si>
  <si>
    <t>OKTOBER 2023</t>
  </si>
  <si>
    <t>NOPEMBER 2023</t>
  </si>
  <si>
    <t>DESEMBER 2023</t>
  </si>
  <si>
    <t>Dari tabel diatas persentase penurunan pendapatan paling besar adalah 5% sehingga nilai dampak penurunan pendapatan pada 2024 adalah sebagai berikut:</t>
  </si>
  <si>
    <t>Rata-rata Pendapatan Pelanggan TM</t>
  </si>
  <si>
    <t>Persentase Penurunan</t>
  </si>
  <si>
    <t>x</t>
  </si>
  <si>
    <t>+</t>
  </si>
  <si>
    <r>
      <rPr>
        <sz val="10"/>
        <color theme="1"/>
        <rFont val="Arial"/>
        <family val="2"/>
      </rPr>
      <t xml:space="preserve">Maka berdasarkan skala Dampak mengacu pada Tabel Kriteria Dampak Kuantitatif. Risiko ketidakpastian penggunaan energi listrik sebesar Rp 11.255.949.037 dipetakan ke </t>
    </r>
    <r>
      <rPr>
        <b/>
        <sz val="10"/>
        <color theme="1"/>
        <rFont val="Arial"/>
        <family val="2"/>
      </rPr>
      <t>skala 1 atau Sangat Rendah</t>
    </r>
    <r>
      <rPr>
        <sz val="10"/>
        <color theme="1"/>
        <rFont val="Arial"/>
        <family val="2"/>
      </rPr>
      <t>.</t>
    </r>
  </si>
  <si>
    <t>Persentase penurunan pendapatan pelanggan TM hanya terjadi 1 kali dalam periode 1 tahun sehingga % probabilitasnya adalah sebagai berikut:</t>
  </si>
  <si>
    <t>% Probabilitas</t>
  </si>
  <si>
    <t>(Frekuensi kejadian di masa lalu)/(Populasi data kejadian dalam perhitungan)x 100%</t>
  </si>
  <si>
    <r>
      <rPr>
        <sz val="10"/>
        <color theme="1"/>
        <rFont val="Arial"/>
        <family val="2"/>
      </rPr>
      <t xml:space="preserve">Berdasarkan perhitungan di atas, maka % probalibilitasnya sebesar 8%, dan  dipetakan ke dalam Tabel Kriteria Probabilitas, didapatkan skala Probabilitas Risiko pada </t>
    </r>
    <r>
      <rPr>
        <b/>
        <sz val="10"/>
        <color theme="1"/>
        <rFont val="Arial"/>
        <family val="2"/>
      </rPr>
      <t>skala 1 atau sangat jarang terjadi</t>
    </r>
    <r>
      <rPr>
        <sz val="10"/>
        <color theme="1"/>
        <rFont val="Arial"/>
        <family val="2"/>
      </rPr>
      <t>.</t>
    </r>
  </si>
  <si>
    <t>2. Risiko Tidak Optimalnya Kinerja Peralatan Distribusi (Nomor Risiko : 23-C.3-DISYAN-02)</t>
  </si>
  <si>
    <t>Berdasarkan data penggantian kWh meter pada tahun 2023 terdapat energi penyelamatan sehingga nilai dampak inherennya dapat dihitung sebagai berikut:</t>
  </si>
  <si>
    <t>Tabel penyelamatan energi program penggantian kWh meter tua</t>
  </si>
  <si>
    <t>Penyelamatan kWh</t>
  </si>
  <si>
    <t>Jumlah Pelanggan</t>
  </si>
  <si>
    <t xml:space="preserve">JANUARI </t>
  </si>
  <si>
    <t xml:space="preserve">FEBRUARI </t>
  </si>
  <si>
    <t xml:space="preserve">MARET </t>
  </si>
  <si>
    <t xml:space="preserve">APRIL </t>
  </si>
  <si>
    <t xml:space="preserve">MEI </t>
  </si>
  <si>
    <t xml:space="preserve">JUNI </t>
  </si>
  <si>
    <t xml:space="preserve">JULI </t>
  </si>
  <si>
    <t xml:space="preserve">AGUSTUS </t>
  </si>
  <si>
    <t xml:space="preserve">SEPTEMBER </t>
  </si>
  <si>
    <t xml:space="preserve">OKTOBER </t>
  </si>
  <si>
    <t xml:space="preserve">NOPEMBER </t>
  </si>
  <si>
    <t xml:space="preserve">DESEMBER </t>
  </si>
  <si>
    <t>Impact penggantian kWh meter tua/pelanggan</t>
  </si>
  <si>
    <t>Tabel penyelamatan energi program sisip trafo untuk trafo overload</t>
  </si>
  <si>
    <t>NAMA GARDU</t>
  </si>
  <si>
    <t>KODE GARDU</t>
  </si>
  <si>
    <t>KAPASITAS TRAFO (kVA)</t>
  </si>
  <si>
    <t>PENGUKURAN BEBAN(kW)</t>
  </si>
  <si>
    <t>LOSSES (kWh)</t>
  </si>
  <si>
    <t>Perumahan Wisma Buana Indah Batu Aji</t>
  </si>
  <si>
    <t>Citra batam</t>
  </si>
  <si>
    <t>ANY.btc.080</t>
  </si>
  <si>
    <t>Beverlypark</t>
  </si>
  <si>
    <t>HLK.BTC.090B</t>
  </si>
  <si>
    <t>Sanjulung1</t>
  </si>
  <si>
    <t>HAR.DRG.130</t>
  </si>
  <si>
    <t>Sanjulung 2</t>
  </si>
  <si>
    <t>HAR.DRG.130B</t>
  </si>
  <si>
    <t xml:space="preserve">Palazzo garden </t>
  </si>
  <si>
    <t>HLK.BTC.120</t>
  </si>
  <si>
    <t>Palm spring</t>
  </si>
  <si>
    <t>Lab30 Beton</t>
  </si>
  <si>
    <t>KSB KABIL</t>
  </si>
  <si>
    <t>LUM.DRG.145</t>
  </si>
  <si>
    <t>KSB Bida Kabil 3</t>
  </si>
  <si>
    <t>LUM.DRG.150</t>
  </si>
  <si>
    <t xml:space="preserve">Trisakti portal </t>
  </si>
  <si>
    <t>MLT AJB 090</t>
  </si>
  <si>
    <t xml:space="preserve">Taman Lestari 2 </t>
  </si>
  <si>
    <t>MUR.NUS.150A</t>
  </si>
  <si>
    <t>Kp. Melayu2</t>
  </si>
  <si>
    <t xml:space="preserve">SUA.KBL.070
</t>
  </si>
  <si>
    <t>Batu aji kavling indah</t>
  </si>
  <si>
    <t>Pns. Sgl</t>
  </si>
  <si>
    <t>Seroja blok A1</t>
  </si>
  <si>
    <t>PNS. SGL. 0</t>
  </si>
  <si>
    <t>Kavling Batuaji Sagulung Bahagia 1 (10x10)</t>
  </si>
  <si>
    <t>PNS.SGL.120C</t>
  </si>
  <si>
    <t>Sisipan saguba 3</t>
  </si>
  <si>
    <t>PTG. DPR 200B</t>
  </si>
  <si>
    <t>Sisipan Saguba 2</t>
  </si>
  <si>
    <t>PTG. DPR. 200A</t>
  </si>
  <si>
    <t>KSB Sei lekop 2</t>
  </si>
  <si>
    <t>PTG. DPR. 210</t>
  </si>
  <si>
    <t>Sei lekop 4</t>
  </si>
  <si>
    <t>PTG.DPR.240</t>
  </si>
  <si>
    <t xml:space="preserve">Bengkong kolam posyandu </t>
  </si>
  <si>
    <t>ROS AJB 190</t>
  </si>
  <si>
    <t>Cipta permata</t>
  </si>
  <si>
    <t>ROS AJB 297</t>
  </si>
  <si>
    <t>Kav Batu Aji Permai 2</t>
  </si>
  <si>
    <t>SGL.NUS.120B</t>
  </si>
  <si>
    <t>Kavling sei mas blok H</t>
  </si>
  <si>
    <t>Vio.wms 160</t>
  </si>
  <si>
    <t>PESONA MANTANG</t>
  </si>
  <si>
    <t>VIO.WMS.150</t>
  </si>
  <si>
    <t>Dari tabel diatas jumlah penyelamatan energi dari penggantian kWh meter tua adalah 394.027 kWh sehingga nilai dampak kehilangan pendapatan penyelamatan energi pada 2024 adalah sebagai berikut:</t>
  </si>
  <si>
    <t>Target penggantian</t>
  </si>
  <si>
    <t>Impact penggantian</t>
  </si>
  <si>
    <t>Maka berdasarkan skala Dampak mengacu pada Tabel Kriteria Dampak Kuantitatif. Risiko tidak optimalnya kinerja peralatan distribusi sebesar Rp 1.597.244.720 dipetakan ke skala 1 atau Sangat Rendah.</t>
  </si>
  <si>
    <t>% probabilitasnya merupakan persentase penggantian kWh meter tua 2024 sebanyak 23.990 pelanggan terhadap target jumlah pelanggan 2024 sebesar 379.102 sebagai berikut:</t>
  </si>
  <si>
    <r>
      <rPr>
        <sz val="10"/>
        <color theme="1"/>
        <rFont val="Arial"/>
        <family val="2"/>
      </rPr>
      <t xml:space="preserve">Berdasarkan perhitungan di atas, maka % probalibilitasnya sebesar 6%, dan  dipetakan ke dalam Tabel Kriteria Probabilitas, didapatkan skala Probabilitas Risiko pada </t>
    </r>
    <r>
      <rPr>
        <b/>
        <sz val="10"/>
        <color theme="1"/>
        <rFont val="Arial"/>
        <family val="2"/>
      </rPr>
      <t>skala 1 atau sangat jarang terjadi</t>
    </r>
    <r>
      <rPr>
        <sz val="10"/>
        <color theme="1"/>
        <rFont val="Arial"/>
        <family val="2"/>
      </rPr>
      <t>.</t>
    </r>
  </si>
  <si>
    <t>3. Risiko Turunnya citra perusahaan menurun dan kepuasan pelanggan sehingga Perusahaan Membayar Kompensasi TMP (Nomor Risiko : 24-C.3.3-DISYAN-03)</t>
  </si>
  <si>
    <t>Dampak Inheren dapat dihitung berdasarkan data realisasi pelaksanaan kompensasi TMP pada tahun 2022 dengan rincian sebagai berikut:</t>
  </si>
  <si>
    <t>Tabel Realisasi kompensasi berdasarkan data AP2T 2022</t>
  </si>
  <si>
    <t>Rupiah Kompensasi</t>
  </si>
  <si>
    <t>Maka berdasarkan skala Dampak mengacu pada Tabel Kriteria Dampak Kuantitatif. Risiko turunnya citra perusahaan dan kepuasan pelanggan sebesar Rp 5.087.519.147 dipetakan ke skala 1 atau Sangat Rendah.</t>
  </si>
  <si>
    <t>% probabilitasnya merupakan perbandingan jumlah pelanggan mendapat kompensasi terhadap target jumlah pelanggan 2024 sebagai berikut:</t>
  </si>
  <si>
    <t>/</t>
  </si>
  <si>
    <r>
      <rPr>
        <sz val="10"/>
        <color theme="1"/>
        <rFont val="Arial"/>
        <family val="2"/>
      </rPr>
      <t xml:space="preserve">Berdasarkan perhitungan di atas, maka % probalibilitasnya sebesar 62%, dan  dipetakan ke dalam Tabel Kriteria Probabilitas, didapatkan skala Probabilitas Risiko pada </t>
    </r>
    <r>
      <rPr>
        <b/>
        <sz val="10"/>
        <color theme="1"/>
        <rFont val="Arial"/>
        <family val="2"/>
      </rPr>
      <t>skala 4 atau sangat mungkin terjadi</t>
    </r>
    <r>
      <rPr>
        <sz val="10"/>
        <color theme="1"/>
        <rFont val="Arial"/>
        <family val="2"/>
      </rPr>
      <t>.</t>
    </r>
  </si>
  <si>
    <t>UNIT BISNIS INFRASTRUKTUR TEKNOLOGI INFORMASI / UBINFRA</t>
  </si>
  <si>
    <t>1. Terjadinya pencurian / penyalahgunaan data perusahaan oleh pihak tidak bertanggung jawab (Nomor Risiko : 25-C.1.2-UBINFRA-01)</t>
  </si>
  <si>
    <t>BIDANG OPERASI</t>
  </si>
  <si>
    <t>DATA RISIKO DI BIDANG OPERASI :</t>
  </si>
  <si>
    <t>1. Kondisi jaringan di pulau-pulau menyebabkan pelaporan status pembangkit PLTD Isolated tidak dilakukan secara real time (Nomor Risiko : 26-C.2-OPS-1)</t>
  </si>
  <si>
    <t>2. Ketidakcukupan bahan bakar akibat keterlambatan pengiriman batu bara (Nomor Risiko : 27-C.2-OPS-3)</t>
  </si>
  <si>
    <t>3. Biaya Pokok Penyediaan Diatas Harga Jual Rata-rata karena permintaan pasokan ke IPP (Nomor Risiko : 28-C.2-OPS-4)</t>
  </si>
  <si>
    <t xml:space="preserve">Risiko Kualitatif : </t>
  </si>
  <si>
    <t>Level Dampak :</t>
  </si>
  <si>
    <t>Kriteria Dampak Kualitatif : Gangguan aplikasi infrastruktur pendukung</t>
  </si>
  <si>
    <t>Risiko Sistem Infrastruktur Teknologi dan Keamanan Siber</t>
  </si>
  <si>
    <t>Infrastruktur vital yang penting tidak berfungsi selama 2 s/d 6 jam (misalkan Listrik, air, jaringan komunikasi &amp; online system), sehingga level kemungkinan risiko ini level 4
Digital dashboard merupakan aplikasi sebagai panduan kepada pengelola sistem isolated untuk melaporkan status sistem isolated melalui aplikasi what's app
Bisa terjadi kegagalan pelaporan yang dilakukan per sistem isolated melalui aplikasi What's app dapat mempengaruhi pelaporan sebagai berikut :
1. Pelaporan beban puncak
2. SHO BBM
3. Status masing-masing unit mesin ( daya mampu pasok )
4. Jam Operasi (Running Hours)</t>
  </si>
  <si>
    <t>Level Kemungkinan :</t>
  </si>
  <si>
    <t>Menunggu hasil diskusi dengan Risk Officer UBMS</t>
  </si>
  <si>
    <t>Rata2</t>
  </si>
  <si>
    <t>Anggaran/Target</t>
  </si>
  <si>
    <t>perhitungan probabilitas:</t>
  </si>
  <si>
    <t>Kriteria Dampak</t>
  </si>
  <si>
    <t>BIDANG K3L</t>
  </si>
  <si>
    <t>1. Tidak terpenuhinya kriteria penilaian dalam Maturity Level Sustainability (Sistem Sertifikat Manajemen Lingkungan) (Nomor Risiko : 29-A.9-K3L-1)</t>
  </si>
  <si>
    <t xml:space="preserve">Target penilaian Matlev Sustainability Tahun 2024 sebesar 2,5 </t>
  </si>
  <si>
    <t>Skala Dampak = 3 (Moderate) dikarenakan asumsi pencapaian nilai matlev sustainability di tahun 2024 diperkirakan mencapat nilai  &gt;2,5</t>
  </si>
  <si>
    <t>Nilai Probabilitas= 50% dikarenakan penugasan baru dan belum ada pengalaman</t>
  </si>
  <si>
    <t>2. Terjadinya Perilaku berbahaya (Unsafe action) (Nomor Risiko : 30-E.5-K3L-2)</t>
  </si>
  <si>
    <t>Risiko Kualitatif</t>
  </si>
  <si>
    <t>Skala</t>
  </si>
  <si>
    <t>Sangat Rendah</t>
  </si>
  <si>
    <t>Rendah</t>
  </si>
  <si>
    <t>Moderat</t>
  </si>
  <si>
    <t>Tinggi</t>
  </si>
  <si>
    <t>Sangat Tinggi</t>
  </si>
  <si>
    <t xml:space="preserve">Fatality </t>
  </si>
  <si>
    <t xml:space="preserve">Kasus Pertolongan Pertama </t>
  </si>
  <si>
    <t xml:space="preserve">Kasus Perawatan Medis </t>
  </si>
  <si>
    <t xml:space="preserve">Cacat tidak tetap / Ketidakhadir-an kerja yang terbatas </t>
  </si>
  <si>
    <t xml:space="preserve">Kasus kematian tunggal / Cacat tetap / Ketidakhadir-an kerja yang lama </t>
  </si>
  <si>
    <t xml:space="preserve">Kasus kematian jamak </t>
  </si>
  <si>
    <t xml:space="preserve">Tidak berpengaruh pada Kinerja Kerja </t>
  </si>
  <si>
    <t xml:space="preserve">Efek kesehatan minor dan reversibel (tanpa rawat inap) </t>
  </si>
  <si>
    <t xml:space="preserve">Efek ireversibel tanpa kehilangan nyawa tetapi dengan cacat serius dan rawat inap berkepanjangan </t>
  </si>
  <si>
    <t xml:space="preserve">Efek ireversibel yang menyebabkan kematian </t>
  </si>
  <si>
    <t xml:space="preserve">Wabah ke lingkungan </t>
  </si>
  <si>
    <t xml:space="preserve">Potensi menyebabkan banyak kematian misalnya bahan kimia beracun berbahaya </t>
  </si>
  <si>
    <t>Dari tabel di atas dengan dampak berupa korban jiwa dan aset, diasumsikan dapat terjadi kasus kematian tunggal, maka diperoleh skala dampak 4 (Tinggi).</t>
  </si>
  <si>
    <t>Untuk menentukan nilai probabilitas, ditentukan dengan melihat laporan kecelakaan kerja 3 tahun sebagai berikut:</t>
  </si>
  <si>
    <t>Jumlah Kecelakaan Kerja</t>
  </si>
  <si>
    <t>Total Jam Kerja</t>
  </si>
  <si>
    <t>Probabilitas Kecelakaan Kerja</t>
  </si>
  <si>
    <t>Tabel Probabilitas</t>
  </si>
  <si>
    <t xml:space="preserve">Sangat Jarang Terjadi </t>
  </si>
  <si>
    <t>Jarang Terjadi</t>
  </si>
  <si>
    <t>Bisa Terjadi</t>
  </si>
  <si>
    <t>Sangat Mungkin Terjadi</t>
  </si>
  <si>
    <t>Hampir Pasti Terjadi</t>
  </si>
  <si>
    <t>Kemung- kinan terjadi</t>
  </si>
  <si>
    <t xml:space="preserve">Risiko mungkin terjadi sangat jarang, paling banyak satu kali dalam setahun </t>
  </si>
  <si>
    <t xml:space="preserve">Risiko mungkin terjadi hanya sekali dalam 6 bulan </t>
  </si>
  <si>
    <t xml:space="preserve">Risiko pernah terjadi namun tidak sering, sekali dalam 4 bulan </t>
  </si>
  <si>
    <t xml:space="preserve">Risiko pernah terjadi sekali dalam 2 bulan </t>
  </si>
  <si>
    <t xml:space="preserve">Risiko pernah terjadi sekali dalam 1 bulan </t>
  </si>
  <si>
    <t>Frekuensi kejadian</t>
  </si>
  <si>
    <t xml:space="preserve">&lt; 1 permil dari frekuensi kejadian / jumlah transaksi </t>
  </si>
  <si>
    <t xml:space="preserve">Dari 1 permil s/d 1% dari frekuensi kejadian / jumlah transaksi </t>
  </si>
  <si>
    <t xml:space="preserve">Diatas 1% s/d 5% dari frekuensi kejadian / jumlah transaksi </t>
  </si>
  <si>
    <t xml:space="preserve">Diatas 5 s/d 10% dari frekuensi kejadian / jumlah transaksi </t>
  </si>
  <si>
    <t xml:space="preserve">&gt; 10% dari frekuensi kejadian / jumlah transaksi </t>
  </si>
  <si>
    <t xml:space="preserve">Probabilitas kejadian Risiko di bawah 20% </t>
  </si>
  <si>
    <t xml:space="preserve">Probabilitas kejadian Risiko dari 20% sampai dengan 40% </t>
  </si>
  <si>
    <t xml:space="preserve">Probabilitas kejadian Risiko antara 40% sampai dengan 60% </t>
  </si>
  <si>
    <t xml:space="preserve">Probabilitas kejadian Risiko antara 60% sampai dengan 80% </t>
  </si>
  <si>
    <t xml:space="preserve">Probabilitas kejadian Risiko antara 80% sampai dengan 100% </t>
  </si>
  <si>
    <t>Dari tabel di atas, dengan nilai probabilitas 3%, maka diperoleh skala probabilitas 1 atau sangat jarang terjadi</t>
  </si>
  <si>
    <t>3. Terjadinya Kondisi berbahaya (Unsafe condition) (Nomor Risiko : 31-E.5-K3L-3)</t>
  </si>
  <si>
    <t>4. Pencemaran lingkungan hidup di area unit kerja (32-F.1.2-K3L-4)</t>
  </si>
  <si>
    <t xml:space="preserve">Pelanggaran ketentuan kepatuhan </t>
  </si>
  <si>
    <t xml:space="preserve">Teguran informal / verbal. </t>
  </si>
  <si>
    <t xml:space="preserve">Diminta bertemu dengan pihak Regulator (misalkan OJK, Bank Indonesia, IDX, Kementerian terkait, Dirjen Pajak, dan lain-lain) </t>
  </si>
  <si>
    <t xml:space="preserve">Peringatan tertulis / formal, terkena denda. </t>
  </si>
  <si>
    <t xml:space="preserve">Regulator memberlaku-kan pembatasan dan / atau pembekuan terhadap aktivitas operasional / produk / jasa tertentu. </t>
  </si>
  <si>
    <r>
      <rPr>
        <sz val="10"/>
        <color theme="1"/>
        <rFont val="Arial"/>
        <family val="2"/>
      </rPr>
      <t xml:space="preserve">Regulator memberlaku-kan sanksi signifikan (misalkan </t>
    </r>
    <r>
      <rPr>
        <i/>
        <sz val="10"/>
        <color theme="1"/>
        <rFont val="Arial"/>
        <family val="2"/>
      </rPr>
      <t>delisting</t>
    </r>
    <r>
      <rPr>
        <sz val="10"/>
        <color theme="1"/>
        <rFont val="Arial"/>
        <family val="2"/>
      </rPr>
      <t xml:space="preserve"> saham, tidak diperkenan-kan mengikuti kliring, menarik produk yang beredar, dan lain-lain) </t>
    </r>
  </si>
  <si>
    <t>Dari tabel di atas dengan dampak berupa Sanksi Hukum KLHK, maka diperoleh skala dampak 5 atau Sangat Tinggi</t>
  </si>
  <si>
    <t>Untuk menentukan nilai probabilitas, ditentukan dengan melihat pemenuhan neraca limbah selama 1 tahun sebagai berikut:</t>
  </si>
  <si>
    <t>Periode (2023)</t>
  </si>
  <si>
    <t>Jumlah limbah masuk</t>
  </si>
  <si>
    <t>Jumlah limbah di atas masa simpan</t>
  </si>
  <si>
    <t>Agt</t>
  </si>
  <si>
    <t>Dari tabel di atas, dengan nilai probabilitas 8%, maka diperoleh skala probabilitas 1 atau sangat jarang terjadi</t>
  </si>
  <si>
    <t>5. Peralatan ketenagalistrikan belum memiliki SLO (Standar Laik Operasi) (Nomor Risiko : 33-F.1.2-K3L-5)</t>
  </si>
  <si>
    <t>Terkait dengan Peralatan ketenagalistrikan belum memiliki SLO (Standar Laik Operasi), sehingga ditentukan Dampak Risikonya kuantitatif, gangguan sistem yang akan berdampak pada ENS (Energi Not Serve) pemadaman, perhitungan kerugian sebagai berikut:</t>
  </si>
  <si>
    <t>1. Risiko terjadinya blackout atau pemadaman meluas</t>
  </si>
  <si>
    <t>Realisasi ENS</t>
  </si>
  <si>
    <t>Perhitungan Kerugian</t>
  </si>
  <si>
    <t>Persentase dampak finansial dari batasan risiko corporate</t>
  </si>
  <si>
    <t>Dari tabel di atas diperoleh kriteria dampak pada skala 1 atau sangat rendah</t>
  </si>
  <si>
    <t>Realisasi SAIDI</t>
  </si>
  <si>
    <t>Target SAIDI</t>
  </si>
  <si>
    <t>Dari tabel di atas, dengan nilai probabilitas 50%, maka diperoleh skala probabilitas 3 atau bisa terjadi</t>
  </si>
  <si>
    <t>UNIT BISNIS PEMBANGKITAN &amp; TRANSMISI / UBKITRANS</t>
  </si>
  <si>
    <t>1. Risiko Terjadinya pemadaman meluas dan atau blackout di sistem kelistrikan Batam - Bintan (Nomor Risiko : 34-C.1.C.2-UBKITRANS-01)</t>
  </si>
  <si>
    <t>Berdasarkan data historis tahun 2021 s/d 2023, besaran target dan realisasi SAIDI adalah sebagai berikut :</t>
  </si>
  <si>
    <t>Pencapaian</t>
  </si>
  <si>
    <t>Dengan Mengambil Pencapaian SAIDI tahun 2021 s/d 2023, dimana tahun 2021 dan 2022 realisasi dibawah target dan tahun 2023 realisasi di bawah target,</t>
  </si>
  <si>
    <t>maka probabilitas pencapaian SAIDI tahun 2024 adalah :</t>
  </si>
  <si>
    <t>Jumlah data tidak tercapai/total data = 1/3, sehingga probabilitasnya adalah 33,33%, sehingga skala probabilitas adalah 2 atau jarang terjadi</t>
  </si>
  <si>
    <t>Dalam menghitung dampak, dilakukan pendekatan dengan Energy not Served (ENS). Berdasarkan data tahun 2021 sd 2023, diperoleh rata-rata SAIDI sebesar 242.38</t>
  </si>
  <si>
    <t>Dengan membandingkan target SAIDI tahun 2024 terhadap realisasi SAIDI 2023 dan ENS 2023, maka diperkirakan ENS tahun 2024 adalah :</t>
  </si>
  <si>
    <t xml:space="preserve">ENS 2024 = (SAIDI 2024/SAIDI 2023)*ENS 2023 atau sebesar 5.483.684 kWh. Dengan asumsi harga Rp/kWh 1.600, maka dampaknya Rp 8,7 M </t>
  </si>
  <si>
    <t>Dengan skala dampak 2.44% (Skala 1 atau sangat rendah)</t>
  </si>
  <si>
    <t>Target SAIDI (KPI)</t>
  </si>
  <si>
    <t>Perkiraan ENS</t>
  </si>
  <si>
    <t>Kerugian akibat ENS</t>
  </si>
  <si>
    <t>Probabilitas tercapai</t>
  </si>
  <si>
    <t>2. Risiko Terjadi Defisit Daya Pada Sistem Batam-Bintan (Nomor Risiko : 35-C.1.C.2-UBKITRANS-02)</t>
  </si>
  <si>
    <t>Berdasarkan data tahun 2019 s/d 2023, realisasi defisit daya (MW) adalah sebagai berikut :</t>
  </si>
  <si>
    <t>Jumlah Defisit (hari)</t>
  </si>
  <si>
    <t>Total Defisit (MW)</t>
  </si>
  <si>
    <t>Rata-rata defisit dalam 4 tahun terakhir adalah sebesar 574 MW</t>
  </si>
  <si>
    <t>Berdasarkan neraca energi tahun 2024, diperkirakan akan terjadi akumulasi defisit thn 2024 sebesar 376 MW. Sehingga probabilitas terjadinya defisit tahun 2024 adalah :</t>
  </si>
  <si>
    <t>Probabilitas = (Perkiraan defisit thn 2024)/(rata-rata defisit 4 tahun terakhir) = 376/574 =66% (Skala 4 atau sangat mungkin terjadi)</t>
  </si>
  <si>
    <t>Total Defisit (MW) sesuai Neraca Daya</t>
  </si>
  <si>
    <t>ENS</t>
  </si>
  <si>
    <t>Kerugian</t>
  </si>
  <si>
    <t>Dengan perkiraan total defisit 376 MW, dan perkiraan defisit akan terjadi selama 6 jam, maka akan terjadi Energy Not Served (ENS)</t>
  </si>
  <si>
    <t>sebesar 2.257.879 kWh. Dengan asumsi BPP Rp 1.377/kWh, maka dampaknya Rp 3.109.099.806</t>
  </si>
  <si>
    <t>dengan skala dampak 0.86% (Skala 1 atau sangat rendah)</t>
  </si>
  <si>
    <t>3. Risiko Realisasi operasi sistem ketenagalistrikan tidak berjalan sesuai dengan rencana sehingga mengakibatkan kenaikan BPP (Nomor Risiko : 36-A.2-UBKITRANS-03)</t>
  </si>
  <si>
    <t>Berdasarkan tahun 2020 sd 2023, realisasi pencapaian terhadap target BPP adalah sebagai berikut :</t>
  </si>
  <si>
    <t>Target BPP</t>
  </si>
  <si>
    <t>Realisasi BPP Transmisi</t>
  </si>
  <si>
    <t>Selisih real dgn target</t>
  </si>
  <si>
    <t>Dari data tersebut, BPP tahun 2020 tercapai, sementara BPP tahun 2021 s/d 2023 tidak tercapai.</t>
  </si>
  <si>
    <t>Sehingga probabilitas tercapainya BPP tahun 2024 berdasarkan data historis adalah</t>
  </si>
  <si>
    <t>Probabilitas = Jumlah Data tidak tercapai/jumlah data = 3/4 = 75% (Skala 4 atau sangat mungkin terjadi)</t>
  </si>
  <si>
    <t>Berdasarkan rata-rata "selisih real dengan target BPP" tahun 2021 s/d tahun 2023 (data dimana BPP tidak tercapai)</t>
  </si>
  <si>
    <t>maka rata-rata selisih realisasi BPP dengan target adalah Rp 37.61 sehingga dampak yang akan diterima adalah</t>
  </si>
  <si>
    <t>Dampak = (Rencana produksi tahun 2024 x 37.61) = Rp 168,6 Milyar dengan skala dampak 47% (Skala 3 atau moderat)</t>
  </si>
  <si>
    <t>Produksi kWh 2024</t>
  </si>
  <si>
    <t>UNIT BISNIS BRIGHT ENERGY SERVICE / UBBES</t>
  </si>
  <si>
    <t>1. Preventive maintenance tidak sesuai jadwal pada peralatan utama pembangkit Off Grid (MPP 500MW) (Risiko Nomor : 37-A.5-UBBES-1)</t>
  </si>
  <si>
    <t>1. Risiko EAF (indikator positif)</t>
  </si>
  <si>
    <t>TAHUN</t>
  </si>
  <si>
    <t>TARGET EAF</t>
  </si>
  <si>
    <t>REALISASI EAF</t>
  </si>
  <si>
    <t>PERSENTASE</t>
  </si>
  <si>
    <t>RATA-RATA</t>
  </si>
  <si>
    <t>UNIT</t>
  </si>
  <si>
    <t>LOMBOK</t>
  </si>
  <si>
    <t>PONTIANAK</t>
  </si>
  <si>
    <t>LAMPUNG</t>
  </si>
  <si>
    <t>BANGKA</t>
  </si>
  <si>
    <t>BELITUNG</t>
  </si>
  <si>
    <t>DURI</t>
  </si>
  <si>
    <t>NIAS</t>
  </si>
  <si>
    <t>MEDAN</t>
  </si>
  <si>
    <t>TARGET EAF TIDAK TERCAPAI</t>
  </si>
  <si>
    <t>PROBABILITAS TERCAPAI</t>
  </si>
  <si>
    <t>SUPPA</t>
  </si>
  <si>
    <t>TELLO</t>
  </si>
  <si>
    <t>2. Risiko EFOR (indikator negatif)</t>
  </si>
  <si>
    <t>TARGET EFOR</t>
  </si>
  <si>
    <t>REALISASI EFOR</t>
  </si>
  <si>
    <t>TARGET EFOR TIDAK TERCAPAI</t>
  </si>
  <si>
    <t>3. Risiko Pendapatan (indikator positif)</t>
  </si>
  <si>
    <t>TARGET PENDAPATAN</t>
  </si>
  <si>
    <t>REALISASI PENDAPATAN</t>
  </si>
  <si>
    <t>PERHITUNGAN PROBABILITAS TIDAK TERCAPAI</t>
  </si>
  <si>
    <t>EAF</t>
  </si>
  <si>
    <t>EFOR</t>
  </si>
  <si>
    <t>PERHITUNGAN DAMPAK</t>
  </si>
  <si>
    <t>KWH KERUGIAN</t>
  </si>
  <si>
    <t>PERIODE</t>
  </si>
  <si>
    <t>KWH/RUPIAH</t>
  </si>
  <si>
    <t>KERUGIAN</t>
  </si>
  <si>
    <t xml:space="preserve">Asumsi perhitungan dampak Preventive maintenance tidak dapat dilaksanakan sesuai jadwal </t>
  </si>
  <si>
    <t>rata-rata kerugian</t>
  </si>
  <si>
    <t>GANGGUAN</t>
  </si>
  <si>
    <t>BIAYA PERBAIKAN</t>
  </si>
  <si>
    <t>BIAYA PEMBELIAN NEW ENGINE</t>
  </si>
  <si>
    <t xml:space="preserve">TM 2 PLTG MPP Jeranjang </t>
  </si>
  <si>
    <t xml:space="preserve">TMF failure </t>
  </si>
  <si>
    <t xml:space="preserve">TM 1 PLTG MPP Air Anyir </t>
  </si>
  <si>
    <t xml:space="preserve">IGB failure </t>
  </si>
  <si>
    <t xml:space="preserve">TM 1 PLTG MPP Tarahan </t>
  </si>
  <si>
    <t xml:space="preserve">PS3 Stall (HPT failure) </t>
  </si>
  <si>
    <t xml:space="preserve">TM 4 PLTG MPP Tarahan </t>
  </si>
  <si>
    <t>Asumsi perhitungan dampak kerusakan major pada peralatan MPP 500 MW</t>
  </si>
  <si>
    <t>setidaknya ada 2 gangguan major dalam 1 tahun, sehingga kriteria probability yang di ambil adalah kemungkinnan terjadinya (untuk pristiwa risiko ke-2)</t>
  </si>
  <si>
    <t>2. Kerusakan major pada mesin pembangkit MPP 500 MW (Risiko Nomor : 38-A.5-UBBES-2)</t>
  </si>
  <si>
    <t>GANGGUAN MAJOR</t>
  </si>
  <si>
    <t>TMF FAILURE</t>
  </si>
  <si>
    <t>IGB FAILURE</t>
  </si>
  <si>
    <t>PS3 STALL (HPT FAILURE)</t>
  </si>
  <si>
    <t xml:space="preserve">  </t>
  </si>
  <si>
    <t>setidaknya ada 2 gangguan major dalam 1 tahun</t>
  </si>
  <si>
    <t>TINGKAT KEMUNGKINAN</t>
  </si>
  <si>
    <t>Low to Moderate
7</t>
  </si>
  <si>
    <t>Moderate 
12</t>
  </si>
  <si>
    <t>Moderate to High
17</t>
  </si>
  <si>
    <t>High
22</t>
  </si>
  <si>
    <t>High
25</t>
  </si>
  <si>
    <t>Low
4</t>
  </si>
  <si>
    <t>Low to Moderate
9</t>
  </si>
  <si>
    <t>Moderate 
14</t>
  </si>
  <si>
    <t>Moderate to High
19</t>
  </si>
  <si>
    <t>High
24</t>
  </si>
  <si>
    <t>Low
3</t>
  </si>
  <si>
    <t>Low to Moderate
8</t>
  </si>
  <si>
    <t>Moderate 
13</t>
  </si>
  <si>
    <t>Moderate to High
18</t>
  </si>
  <si>
    <t>High
23</t>
  </si>
  <si>
    <t>Low
2</t>
  </si>
  <si>
    <t>Low to Moderate
6</t>
  </si>
  <si>
    <t>Low to Moderate
11</t>
  </si>
  <si>
    <t>Moderate to High
16</t>
  </si>
  <si>
    <t>High
21</t>
  </si>
  <si>
    <t>Sangat Jarang Terjadi</t>
  </si>
  <si>
    <t>Low
1</t>
  </si>
  <si>
    <t>Low
5</t>
  </si>
  <si>
    <t>Low to Moderate
10</t>
  </si>
  <si>
    <t>Moderate 
15</t>
  </si>
  <si>
    <t>High
20</t>
  </si>
  <si>
    <t>INHEREN</t>
  </si>
  <si>
    <t>TINGKAT DAMPAK</t>
  </si>
  <si>
    <t>WAJIB ISI</t>
  </si>
  <si>
    <t>Transfer/sharing</t>
  </si>
  <si>
    <t>Low</t>
  </si>
  <si>
    <t>SPI</t>
  </si>
  <si>
    <t>TIDAK WAJIB</t>
  </si>
  <si>
    <t>Reduce/mitigate</t>
  </si>
  <si>
    <t>Low To Moderat</t>
  </si>
  <si>
    <t>SETPER</t>
  </si>
  <si>
    <t>Accept/monitor</t>
  </si>
  <si>
    <t>Moderate</t>
  </si>
  <si>
    <t>BID HCGA</t>
  </si>
  <si>
    <t>Avoid/hindari</t>
  </si>
  <si>
    <t>Moderate to High</t>
  </si>
  <si>
    <t>High</t>
  </si>
  <si>
    <t>Hindari/Avoid</t>
  </si>
  <si>
    <t>BID REN</t>
  </si>
  <si>
    <t>RESIDUAL</t>
  </si>
  <si>
    <t>BID MANPRO</t>
  </si>
  <si>
    <t>BID OPS</t>
  </si>
  <si>
    <t>BID K3L</t>
  </si>
  <si>
    <t>Low To Moderate</t>
  </si>
  <si>
    <t>Moderate To High</t>
  </si>
  <si>
    <t>BID BIS</t>
  </si>
  <si>
    <t>1-5 low</t>
  </si>
  <si>
    <t>Transfer/Sharing</t>
  </si>
  <si>
    <t>BID STRADA</t>
  </si>
  <si>
    <t>6-11 low to moderate</t>
  </si>
  <si>
    <t>UB KITRANS</t>
  </si>
  <si>
    <t>12-15 moderate</t>
  </si>
  <si>
    <t>UB BES</t>
  </si>
  <si>
    <t>16-19 moderate to high</t>
  </si>
  <si>
    <t>UB MS</t>
  </si>
  <si>
    <t>20-25 high</t>
  </si>
  <si>
    <t>UB DISYAN</t>
  </si>
  <si>
    <t>UB INFRA</t>
  </si>
  <si>
    <t>Level Risiko</t>
  </si>
  <si>
    <t>Low to Moderate</t>
  </si>
  <si>
    <t xml:space="preserve">Moderate </t>
  </si>
  <si>
    <t>Nomor Risiko</t>
  </si>
  <si>
    <t>Diisi dengan pilihan jenis rencana perlakuan risiko:</t>
  </si>
  <si>
    <t/>
  </si>
  <si>
    <t>Peningkatan Kecukupan Desain Control</t>
  </si>
  <si>
    <t>2.</t>
  </si>
  <si>
    <t>3.</t>
  </si>
  <si>
    <t>Perbaikan Melalui Breakthrough Project</t>
  </si>
  <si>
    <t>4.</t>
  </si>
  <si>
    <t>5.</t>
  </si>
  <si>
    <t>6.</t>
  </si>
  <si>
    <t>7.</t>
  </si>
  <si>
    <t xml:space="preserve">Anggaran biaya perlakuan risiko telah dimasukkan dalam salah satu jenis program RKAP, dengan pilihan:
- </t>
  </si>
  <si>
    <t>ANGGARAN</t>
  </si>
  <si>
    <t>9.</t>
  </si>
  <si>
    <t>10.</t>
  </si>
  <si>
    <t>11.</t>
  </si>
  <si>
    <t>12.</t>
  </si>
  <si>
    <t>Produksi dan Kualitas Produk</t>
  </si>
  <si>
    <t>Kontrol pelaporan - level entitas/kantor pusat</t>
  </si>
  <si>
    <t>Teknis dan Teknologi</t>
  </si>
  <si>
    <t>Kontrol pelaporan - level operasi</t>
  </si>
  <si>
    <t>Keuangan dan Akuntansi</t>
  </si>
  <si>
    <t>15.</t>
  </si>
  <si>
    <t>Sistem dan Organisasi</t>
  </si>
  <si>
    <t>16.</t>
  </si>
  <si>
    <t>Pengembangan SDM</t>
  </si>
  <si>
    <t>Penelitian dan Pengembangan</t>
  </si>
  <si>
    <t>Pelestarian Lingkungan</t>
  </si>
  <si>
    <t>Investasi</t>
  </si>
  <si>
    <t>20.</t>
  </si>
  <si>
    <t>21.</t>
  </si>
  <si>
    <t>22.</t>
  </si>
  <si>
    <t>23.</t>
  </si>
  <si>
    <t>24.</t>
  </si>
  <si>
    <t>25.</t>
  </si>
  <si>
    <t>3. Cukup dan Tidak Efektif</t>
  </si>
  <si>
    <t>4. Tidak Cukup dan Efektif Sebagian</t>
  </si>
  <si>
    <t>21 &amp; 6</t>
  </si>
  <si>
    <t>28.</t>
  </si>
  <si>
    <t>5. Tidak Cukup dan Tidak Efektif</t>
  </si>
  <si>
    <t>30.</t>
  </si>
  <si>
    <t>1. Risiko Fiskal - Dividen</t>
  </si>
  <si>
    <t>2. Risiko Fiskal - PMN</t>
  </si>
  <si>
    <t>3. Risiko Fiskal - Subsidi &amp; Kompensasi</t>
  </si>
  <si>
    <t>33.</t>
  </si>
  <si>
    <t>5. Risiko Kebijakan - Sektoral</t>
  </si>
  <si>
    <t>6. Risiko Komposisi - Konsentrasi Portofolio</t>
  </si>
  <si>
    <t>36.</t>
  </si>
  <si>
    <t>7. Risiko Struktur - Struktur Korporasi</t>
  </si>
  <si>
    <t>8. Risiko Restrukturisasi &amp; Reorganisasi - Penggabungan, Pengambilalihan, Peleburan, Pemisahan, Pembubaran, Likuidasi, Kemitraan, dan Restrukturisasi</t>
  </si>
  <si>
    <t>9. Risiko Industri Umum - Formulasi Strategis</t>
  </si>
  <si>
    <t>39.</t>
  </si>
  <si>
    <t>10. Risiko Industri Umum - Pasar &amp; Makroekonomi</t>
  </si>
  <si>
    <t>Kompilasi</t>
  </si>
  <si>
    <t>13. Risiko Industri Umum - Proyek</t>
  </si>
  <si>
    <t>14. Risiko Industri Umum - Teknologi &amp; Keamanan Siber</t>
  </si>
  <si>
    <t>15. Risiko Industri Umum - Sosial &amp; Lingkungan</t>
  </si>
  <si>
    <t>1.</t>
  </si>
  <si>
    <t>17. Risiko Industri Perbankan - Kredit</t>
  </si>
  <si>
    <t>18. Risiko Industri Perbankan - Likuiditas</t>
  </si>
  <si>
    <t>19. Risiko Industri Asuransi - Investasi</t>
  </si>
  <si>
    <t>20. Risiko Industri Asuransi - Aktuarial</t>
  </si>
  <si>
    <t>8.</t>
  </si>
  <si>
    <t>14.</t>
  </si>
  <si>
    <t>19.</t>
  </si>
  <si>
    <t>27.</t>
  </si>
  <si>
    <t>15 &amp; 6</t>
  </si>
  <si>
    <t>31.</t>
  </si>
  <si>
    <t>32.</t>
  </si>
  <si>
    <t>34.</t>
  </si>
  <si>
    <t>38.</t>
  </si>
  <si>
    <t>Risiko</t>
  </si>
  <si>
    <t>Level</t>
  </si>
  <si>
    <t>Tidak disetujuinya usulan tarif Listrik Batam oleh Pemerintah dan DPR</t>
  </si>
  <si>
    <t>Keterlambatan  pelaksanaan pekerjaan pemasangan saluran kabel laut dan kabel darat tegangan menengah 20 KV Belakang Padang - Pulau Sambu</t>
  </si>
  <si>
    <t>Ketidakpastian pemakaian energi listrik</t>
  </si>
  <si>
    <t>Tidak optimalnya kinerja peralatan distribusi</t>
  </si>
  <si>
    <t>Turunnya citra perusahaan menurun dan kepuasan pelanggan</t>
  </si>
  <si>
    <t>Kondisi jaringan di pulau-pulau menyebabkan pelaporan status pembangkit PLTD Isolated tidak dilakukan secara real time</t>
  </si>
  <si>
    <t>Ketidakhandalan penyaluran dan gangguan sistem meluas</t>
  </si>
  <si>
    <t>Ketidakcukupan bahan bakar (Shortage gas )</t>
  </si>
  <si>
    <t>Ketidakcukupan bahan bakar (Keterlambatan pengiriman batubara)</t>
  </si>
  <si>
    <t>Preventive maintenance tidak sesuai jadwal pada peralatan utama pembangkit Off Grid (MPP 500MW)</t>
  </si>
  <si>
    <t>Kerusakan major pada peralatan MPP 500MW</t>
  </si>
  <si>
    <t>Nomor Urut</t>
  </si>
  <si>
    <t>Group Level</t>
  </si>
  <si>
    <t>Keterlambatan Penerimaan Penjualan Tenaga Listrik MPP 500 MW</t>
  </si>
  <si>
    <t>1.1 Peristiwa Risiko terkait
dividen</t>
  </si>
  <si>
    <t>1.1.2 Peristiwa Risiko terkait Penyertaan Modal Negara
(PMN)</t>
  </si>
  <si>
    <t>1.1.3 Peristiwa Risiko terkait
subsidi dan kompensasi</t>
  </si>
  <si>
    <t>1.2.4 Peristiwa Risiko terkait kebijakan Sumber Daya Manusia (SOM)</t>
  </si>
  <si>
    <t>1.2.5 Peristiwa Risiko terkait kebijakan sektoral</t>
  </si>
  <si>
    <t>1.3.6 Peritiwa Risiko terkait
konsentrasi portofolio</t>
  </si>
  <si>
    <t>2.4.7 Peristiwa Risiko terkait struktur korporasi</t>
  </si>
  <si>
    <t>2.5.8 Peristiwa Risiko terkait penggabungan, pengambilalihan , peleburan, pemisahan, pembubaran, likuidasi,
dan restrukturisasi</t>
  </si>
  <si>
    <t>3.6.9 Peristiwa Risiko terkait formulasi strategis</t>
  </si>
  <si>
    <t>3.6.10 Peristiwa Risiko terkait pasar dan makro ekonomi</t>
  </si>
  <si>
    <t>3.6.13 Peristiwa Risiko terkait proyek</t>
  </si>
  <si>
    <t>3.6.14 Peristiwa Risiko terkait 
teknologi informasi dan keamanan siber</t>
  </si>
  <si>
    <t>3.6.15 Peristiwa Risiko terkait sosial dan lingkungan</t>
  </si>
  <si>
    <r>
      <rPr>
        <sz val="9"/>
        <color rgb="FF1A1A1D"/>
        <rFont val="Arial"/>
        <family val="2"/>
      </rPr>
      <t>L</t>
    </r>
    <r>
      <rPr>
        <sz val="9"/>
        <color rgb="FF3D3D3F"/>
        <rFont val="Arial"/>
        <family val="2"/>
      </rPr>
      <t>AM</t>
    </r>
    <r>
      <rPr>
        <sz val="9"/>
        <color rgb="FF1A1A1D"/>
        <rFont val="Arial"/>
        <family val="2"/>
      </rPr>
      <t xml:space="preserve">PIRAN </t>
    </r>
    <r>
      <rPr>
        <sz val="9"/>
        <color rgb="FF3D3D3F"/>
        <rFont val="Arial"/>
        <family val="2"/>
      </rPr>
      <t xml:space="preserve">I </t>
    </r>
    <r>
      <rPr>
        <sz val="9"/>
        <color rgb="FF2B2B2F"/>
        <rFont val="Arial"/>
        <family val="2"/>
      </rPr>
      <t xml:space="preserve">PETUNJUK </t>
    </r>
    <r>
      <rPr>
        <sz val="9"/>
        <color rgb="FF1A1A1D"/>
        <rFont val="Arial"/>
        <family val="2"/>
      </rPr>
      <t>T</t>
    </r>
    <r>
      <rPr>
        <sz val="9"/>
        <color rgb="FF3D3D3F"/>
        <rFont val="Arial"/>
        <family val="2"/>
      </rPr>
      <t>EKN</t>
    </r>
    <r>
      <rPr>
        <sz val="9"/>
        <color rgb="FF1A1A1D"/>
        <rFont val="Arial"/>
        <family val="2"/>
      </rPr>
      <t>I</t>
    </r>
    <r>
      <rPr>
        <sz val="9"/>
        <color rgb="FF3D3D3F"/>
        <rFont val="Arial"/>
        <family val="2"/>
      </rPr>
      <t xml:space="preserve">S </t>
    </r>
    <r>
      <rPr>
        <sz val="9"/>
        <color rgb="FF1A1A1D"/>
        <rFont val="Arial"/>
        <family val="2"/>
      </rPr>
      <t>N</t>
    </r>
    <r>
      <rPr>
        <sz val="9"/>
        <color rgb="FF3D3D3F"/>
        <rFont val="Arial"/>
        <family val="2"/>
      </rPr>
      <t>OMO</t>
    </r>
    <r>
      <rPr>
        <sz val="9"/>
        <color rgb="FF1A1A1D"/>
        <rFont val="Arial"/>
        <family val="2"/>
      </rPr>
      <t xml:space="preserve">R
</t>
    </r>
    <r>
      <rPr>
        <b/>
        <sz val="9"/>
        <color rgb="FF1A1A1D"/>
        <rFont val="Arial"/>
        <family val="2"/>
      </rPr>
      <t>PEMETAAN HIERARKI TAKSONOMI RISIKO PLN</t>
    </r>
  </si>
  <si>
    <r>
      <rPr>
        <b/>
        <sz val="9"/>
        <color rgb="FF2B2B2F"/>
        <rFont val="Arial"/>
        <family val="2"/>
      </rPr>
      <t xml:space="preserve">T1
</t>
    </r>
    <r>
      <rPr>
        <b/>
        <sz val="9"/>
        <color rgb="FF1A1A1D"/>
        <rFont val="Arial"/>
        <family val="2"/>
      </rPr>
      <t>(Terna Risiko)</t>
    </r>
  </si>
  <si>
    <r>
      <rPr>
        <b/>
        <sz val="9"/>
        <color rgb="FF1A1A1D"/>
        <rFont val="Arial"/>
        <family val="2"/>
      </rPr>
      <t>T2</t>
    </r>
  </si>
  <si>
    <r>
      <rPr>
        <b/>
        <sz val="9"/>
        <color rgb="FF2B2B2F"/>
        <rFont val="Arial"/>
        <family val="2"/>
      </rPr>
      <t xml:space="preserve">T3
</t>
    </r>
    <r>
      <rPr>
        <b/>
        <sz val="9"/>
        <color rgb="FF1A1A1D"/>
        <rFont val="Arial"/>
        <family val="2"/>
      </rPr>
      <t xml:space="preserve">(Kelomook </t>
    </r>
    <r>
      <rPr>
        <b/>
        <sz val="9"/>
        <color rgb="FF2B2B2F"/>
        <rFont val="Arial"/>
        <family val="2"/>
      </rPr>
      <t xml:space="preserve">Peristiwa </t>
    </r>
    <r>
      <rPr>
        <b/>
        <sz val="9"/>
        <color rgb="FF1A1A1D"/>
        <rFont val="Arial"/>
        <family val="2"/>
      </rPr>
      <t>Risiko)</t>
    </r>
  </si>
  <si>
    <r>
      <rPr>
        <b/>
        <sz val="9"/>
        <color rgb="FF1A1A1D"/>
        <rFont val="Arial"/>
        <family val="2"/>
      </rPr>
      <t xml:space="preserve">T4
</t>
    </r>
    <r>
      <rPr>
        <b/>
        <sz val="9"/>
        <color rgb="FF2B2B2F"/>
        <rFont val="Arial"/>
        <family val="2"/>
      </rPr>
      <t xml:space="preserve">(Sub </t>
    </r>
    <r>
      <rPr>
        <b/>
        <sz val="9"/>
        <color rgb="FF1A1A1D"/>
        <rFont val="Arial"/>
        <family val="2"/>
      </rPr>
      <t>Kelomook Peristiwa Risiko)</t>
    </r>
  </si>
  <si>
    <r>
      <rPr>
        <b/>
        <sz val="9"/>
        <color rgb="FF1A1A1D"/>
        <rFont val="Arial"/>
        <family val="2"/>
      </rPr>
      <t>Kateciori Risiko)</t>
    </r>
  </si>
  <si>
    <r>
      <rPr>
        <sz val="8"/>
        <color rgb="FF2B2B2F"/>
        <rFont val="Arial"/>
        <family val="2"/>
      </rPr>
      <t>T</t>
    </r>
    <r>
      <rPr>
        <sz val="8"/>
        <color rgb="FF4D4D50"/>
        <rFont val="Arial"/>
        <family val="2"/>
      </rPr>
      <t xml:space="preserve">erna Risiko </t>
    </r>
    <r>
      <rPr>
        <sz val="8"/>
        <color rgb="FF3D3D3F"/>
        <rFont val="Arial"/>
        <family val="2"/>
      </rPr>
      <t>Portofolio BUMN</t>
    </r>
  </si>
  <si>
    <t>1.1.</t>
  </si>
  <si>
    <r>
      <rPr>
        <sz val="8"/>
        <color rgb="FF4D4D50"/>
        <rFont val="Arial"/>
        <family val="2"/>
      </rPr>
      <t>Katego</t>
    </r>
    <r>
      <rPr>
        <sz val="8"/>
        <color rgb="FF1A1A1D"/>
        <rFont val="Arial"/>
        <family val="2"/>
      </rPr>
      <t>r</t>
    </r>
    <r>
      <rPr>
        <sz val="8"/>
        <color rgb="FF4D4D50"/>
        <rFont val="Arial"/>
        <family val="2"/>
      </rPr>
      <t xml:space="preserve">i </t>
    </r>
    <r>
      <rPr>
        <sz val="8"/>
        <color rgb="FF3D3D3F"/>
        <rFont val="Arial"/>
        <family val="2"/>
      </rPr>
      <t>Ris</t>
    </r>
    <r>
      <rPr>
        <sz val="8"/>
        <color rgb="FF1A1A1D"/>
        <rFont val="Arial"/>
        <family val="2"/>
      </rPr>
      <t>i</t>
    </r>
    <r>
      <rPr>
        <sz val="8"/>
        <color rgb="FF4D4D50"/>
        <rFont val="Arial"/>
        <family val="2"/>
      </rPr>
      <t>ko fiska</t>
    </r>
    <r>
      <rPr>
        <sz val="8"/>
        <color rgb="FF2B2B2F"/>
        <rFont val="Arial"/>
        <family val="2"/>
      </rPr>
      <t>l</t>
    </r>
  </si>
  <si>
    <t>1.1</t>
  </si>
  <si>
    <r>
      <rPr>
        <sz val="8"/>
        <color rgb="FF3D3D3F"/>
        <rFont val="Arial"/>
        <family val="2"/>
      </rPr>
      <t>Peristiwa R</t>
    </r>
    <r>
      <rPr>
        <sz val="8"/>
        <color rgb="FF1A1A1D"/>
        <rFont val="Arial"/>
        <family val="2"/>
      </rPr>
      <t>i</t>
    </r>
    <r>
      <rPr>
        <sz val="8"/>
        <color rgb="FF4D4D50"/>
        <rFont val="Arial"/>
        <family val="2"/>
      </rPr>
      <t xml:space="preserve">siko </t>
    </r>
    <r>
      <rPr>
        <sz val="8"/>
        <color rgb="FF2B2B2F"/>
        <rFont val="Arial"/>
        <family val="2"/>
      </rPr>
      <t>t</t>
    </r>
    <r>
      <rPr>
        <sz val="8"/>
        <color rgb="FF4D4D50"/>
        <rFont val="Arial"/>
        <family val="2"/>
      </rPr>
      <t>e</t>
    </r>
    <r>
      <rPr>
        <sz val="8"/>
        <color rgb="FF2B2B2F"/>
        <rFont val="Arial"/>
        <family val="2"/>
      </rPr>
      <t>r</t>
    </r>
    <r>
      <rPr>
        <sz val="8"/>
        <color rgb="FF4D4D50"/>
        <rFont val="Arial"/>
        <family val="2"/>
      </rPr>
      <t xml:space="preserve">kait
</t>
    </r>
    <r>
      <rPr>
        <sz val="8"/>
        <color rgb="FF3D3D3F"/>
        <rFont val="Arial"/>
        <family val="2"/>
      </rPr>
      <t>dividen</t>
    </r>
  </si>
  <si>
    <t>1.1.1</t>
  </si>
  <si>
    <r>
      <rPr>
        <sz val="8"/>
        <color rgb="FF4D4D50"/>
        <rFont val="Arial"/>
        <family val="2"/>
      </rPr>
      <t>R</t>
    </r>
    <r>
      <rPr>
        <sz val="8"/>
        <color rgb="FF1A1A1D"/>
        <rFont val="Arial"/>
        <family val="2"/>
      </rPr>
      <t>i</t>
    </r>
    <r>
      <rPr>
        <sz val="8"/>
        <color rgb="FF4D4D50"/>
        <rFont val="Arial"/>
        <family val="2"/>
      </rPr>
      <t>s</t>
    </r>
    <r>
      <rPr>
        <sz val="8"/>
        <color rgb="FF1A1A1D"/>
        <rFont val="Arial"/>
        <family val="2"/>
      </rPr>
      <t>i</t>
    </r>
    <r>
      <rPr>
        <sz val="8"/>
        <color rgb="FF4D4D50"/>
        <rFont val="Arial"/>
        <family val="2"/>
      </rPr>
      <t>ko pembayaran dividen</t>
    </r>
  </si>
  <si>
    <r>
      <rPr>
        <sz val="10"/>
        <color rgb="FF1A1A1D"/>
        <rFont val="Times New Roman"/>
        <family val="1"/>
      </rPr>
      <t>1</t>
    </r>
    <r>
      <rPr>
        <sz val="10"/>
        <color rgb="FF3D3D3F"/>
        <rFont val="Times New Roman"/>
        <family val="1"/>
      </rPr>
      <t>.</t>
    </r>
    <r>
      <rPr>
        <sz val="10"/>
        <color rgb="FF1A1A1D"/>
        <rFont val="Times New Roman"/>
        <family val="1"/>
      </rPr>
      <t>1</t>
    </r>
    <r>
      <rPr>
        <sz val="10"/>
        <color rgb="FF3D3D3F"/>
        <rFont val="Times New Roman"/>
        <family val="1"/>
      </rPr>
      <t>.2</t>
    </r>
  </si>
  <si>
    <r>
      <rPr>
        <sz val="8"/>
        <color rgb="FF2B2B2F"/>
        <rFont val="Arial"/>
        <family val="2"/>
      </rPr>
      <t>Pe</t>
    </r>
    <r>
      <rPr>
        <sz val="8"/>
        <color rgb="FF4D4D50"/>
        <rFont val="Arial"/>
        <family val="2"/>
      </rPr>
      <t>r</t>
    </r>
    <r>
      <rPr>
        <sz val="8"/>
        <color rgb="FF1A1A1D"/>
        <rFont val="Arial"/>
        <family val="2"/>
      </rPr>
      <t>i</t>
    </r>
    <r>
      <rPr>
        <sz val="8"/>
        <color rgb="FF3D3D3F"/>
        <rFont val="Arial"/>
        <family val="2"/>
      </rPr>
      <t>s</t>
    </r>
    <r>
      <rPr>
        <sz val="8"/>
        <color rgb="FF1A1A1D"/>
        <rFont val="Arial"/>
        <family val="2"/>
      </rPr>
      <t>ti</t>
    </r>
    <r>
      <rPr>
        <sz val="8"/>
        <color rgb="FF3D3D3F"/>
        <rFont val="Arial"/>
        <family val="2"/>
      </rPr>
      <t xml:space="preserve">wa </t>
    </r>
    <r>
      <rPr>
        <sz val="8"/>
        <color rgb="FF2B2B2F"/>
        <rFont val="Arial"/>
        <family val="2"/>
      </rPr>
      <t>Risiko t</t>
    </r>
    <r>
      <rPr>
        <sz val="8"/>
        <color rgb="FF4D4D50"/>
        <rFont val="Arial"/>
        <family val="2"/>
      </rPr>
      <t>e</t>
    </r>
    <r>
      <rPr>
        <sz val="8"/>
        <color rgb="FF2B2B2F"/>
        <rFont val="Arial"/>
        <family val="2"/>
      </rPr>
      <t>r</t>
    </r>
    <r>
      <rPr>
        <sz val="8"/>
        <color rgb="FF4D4D50"/>
        <rFont val="Arial"/>
        <family val="2"/>
      </rPr>
      <t>ka</t>
    </r>
    <r>
      <rPr>
        <sz val="8"/>
        <color rgb="FF2B2B2F"/>
        <rFont val="Arial"/>
        <family val="2"/>
      </rPr>
      <t>i</t>
    </r>
    <r>
      <rPr>
        <sz val="8"/>
        <color rgb="FF4D4D50"/>
        <rFont val="Arial"/>
        <family val="2"/>
      </rPr>
      <t xml:space="preserve">t </t>
    </r>
    <r>
      <rPr>
        <sz val="8"/>
        <color rgb="FF2B2B2F"/>
        <rFont val="Arial"/>
        <family val="2"/>
      </rPr>
      <t>P</t>
    </r>
    <r>
      <rPr>
        <sz val="8"/>
        <color rgb="FF4D4D50"/>
        <rFont val="Arial"/>
        <family val="2"/>
      </rPr>
      <t>enye</t>
    </r>
    <r>
      <rPr>
        <sz val="8"/>
        <color rgb="FF1A1A1D"/>
        <rFont val="Arial"/>
        <family val="2"/>
      </rPr>
      <t>rt</t>
    </r>
    <r>
      <rPr>
        <sz val="8"/>
        <color rgb="FF3D3D3F"/>
        <rFont val="Arial"/>
        <family val="2"/>
      </rPr>
      <t xml:space="preserve">aan </t>
    </r>
    <r>
      <rPr>
        <sz val="8"/>
        <color rgb="FF2B2B2F"/>
        <rFont val="Arial"/>
        <family val="2"/>
      </rPr>
      <t>M</t>
    </r>
    <r>
      <rPr>
        <sz val="8"/>
        <color rgb="FF4D4D50"/>
        <rFont val="Arial"/>
        <family val="2"/>
      </rPr>
      <t xml:space="preserve">odal </t>
    </r>
    <r>
      <rPr>
        <sz val="8"/>
        <color rgb="FF2B2B2F"/>
        <rFont val="Arial"/>
        <family val="2"/>
      </rPr>
      <t>N</t>
    </r>
    <r>
      <rPr>
        <sz val="8"/>
        <color rgb="FF4D4D50"/>
        <rFont val="Arial"/>
        <family val="2"/>
      </rPr>
      <t>ega</t>
    </r>
    <r>
      <rPr>
        <sz val="8"/>
        <color rgb="FF2B2B2F"/>
        <rFont val="Arial"/>
        <family val="2"/>
      </rPr>
      <t xml:space="preserve">ra
</t>
    </r>
    <r>
      <rPr>
        <b/>
        <sz val="9"/>
        <color rgb="FF4D4D50"/>
        <rFont val="Arial"/>
        <family val="2"/>
      </rPr>
      <t>(</t>
    </r>
    <r>
      <rPr>
        <b/>
        <sz val="9"/>
        <color rgb="FF2B2B2F"/>
        <rFont val="Arial"/>
        <family val="2"/>
      </rPr>
      <t>PMN</t>
    </r>
    <r>
      <rPr>
        <b/>
        <sz val="9"/>
        <color rgb="FF4D4D50"/>
        <rFont val="Arial"/>
        <family val="2"/>
      </rPr>
      <t>)</t>
    </r>
  </si>
  <si>
    <r>
      <rPr>
        <sz val="10"/>
        <color rgb="FF2B2B2F"/>
        <rFont val="Times New Roman"/>
        <family val="1"/>
      </rPr>
      <t>1.1</t>
    </r>
    <r>
      <rPr>
        <sz val="10"/>
        <color rgb="FF4D4D50"/>
        <rFont val="Times New Roman"/>
        <family val="1"/>
      </rPr>
      <t>.2</t>
    </r>
    <r>
      <rPr>
        <sz val="10"/>
        <color rgb="FF2B2B2F"/>
        <rFont val="Times New Roman"/>
        <family val="1"/>
      </rPr>
      <t>.2</t>
    </r>
  </si>
  <si>
    <r>
      <rPr>
        <sz val="8"/>
        <color rgb="FF3D3D3F"/>
        <rFont val="Arial"/>
        <family val="2"/>
      </rPr>
      <t>R</t>
    </r>
    <r>
      <rPr>
        <sz val="8"/>
        <color rgb="FF1A1A1D"/>
        <rFont val="Arial"/>
        <family val="2"/>
      </rPr>
      <t>i</t>
    </r>
    <r>
      <rPr>
        <sz val="8"/>
        <color rgb="FF4D4D50"/>
        <rFont val="Arial"/>
        <family val="2"/>
      </rPr>
      <t>s</t>
    </r>
    <r>
      <rPr>
        <sz val="8"/>
        <color rgb="FF1A1A1D"/>
        <rFont val="Arial"/>
        <family val="2"/>
      </rPr>
      <t>i</t>
    </r>
    <r>
      <rPr>
        <sz val="8"/>
        <color rgb="FF3D3D3F"/>
        <rFont val="Arial"/>
        <family val="2"/>
      </rPr>
      <t xml:space="preserve">ko </t>
    </r>
    <r>
      <rPr>
        <sz val="8"/>
        <color rgb="FF4D4D50"/>
        <rFont val="Arial"/>
        <family val="2"/>
      </rPr>
      <t>pene</t>
    </r>
    <r>
      <rPr>
        <sz val="8"/>
        <color rgb="FF2B2B2F"/>
        <rFont val="Arial"/>
        <family val="2"/>
      </rPr>
      <t>r</t>
    </r>
    <r>
      <rPr>
        <sz val="8"/>
        <color rgb="FF4D4D50"/>
        <rFont val="Arial"/>
        <family val="2"/>
      </rPr>
      <t>i</t>
    </r>
    <r>
      <rPr>
        <sz val="8"/>
        <color rgb="FF2B2B2F"/>
        <rFont val="Arial"/>
        <family val="2"/>
      </rPr>
      <t>m</t>
    </r>
    <r>
      <rPr>
        <sz val="8"/>
        <color rgb="FF4D4D50"/>
        <rFont val="Arial"/>
        <family val="2"/>
      </rPr>
      <t xml:space="preserve">aan </t>
    </r>
    <r>
      <rPr>
        <b/>
        <sz val="9"/>
        <color rgb="FF3D3D3F"/>
        <rFont val="Arial"/>
        <family val="2"/>
      </rPr>
      <t>PMN</t>
    </r>
  </si>
  <si>
    <r>
      <rPr>
        <sz val="10"/>
        <color rgb="FF1A1A1D"/>
        <rFont val="Times New Roman"/>
        <family val="1"/>
      </rPr>
      <t>1.1.</t>
    </r>
    <r>
      <rPr>
        <sz val="10"/>
        <color rgb="FF3D3D3F"/>
        <rFont val="Times New Roman"/>
        <family val="1"/>
      </rPr>
      <t>2</t>
    </r>
    <r>
      <rPr>
        <sz val="10"/>
        <color theme="1"/>
        <rFont val="Times New Roman"/>
        <family val="1"/>
      </rPr>
      <t>.</t>
    </r>
    <r>
      <rPr>
        <sz val="10"/>
        <color rgb="FF3D3D3F"/>
        <rFont val="Times New Roman"/>
        <family val="1"/>
      </rPr>
      <t>3</t>
    </r>
  </si>
  <si>
    <r>
      <rPr>
        <sz val="8"/>
        <color rgb="FF3D3D3F"/>
        <rFont val="Arial"/>
        <family val="2"/>
      </rPr>
      <t>R</t>
    </r>
    <r>
      <rPr>
        <sz val="8"/>
        <color rgb="FF1A1A1D"/>
        <rFont val="Arial"/>
        <family val="2"/>
      </rPr>
      <t>i</t>
    </r>
    <r>
      <rPr>
        <sz val="8"/>
        <color rgb="FF4D4D50"/>
        <rFont val="Arial"/>
        <family val="2"/>
      </rPr>
      <t>siko pe</t>
    </r>
    <r>
      <rPr>
        <sz val="8"/>
        <color rgb="FF2B2B2F"/>
        <rFont val="Arial"/>
        <family val="2"/>
      </rPr>
      <t>ng</t>
    </r>
    <r>
      <rPr>
        <sz val="8"/>
        <color rgb="FF4D4D50"/>
        <rFont val="Arial"/>
        <family val="2"/>
      </rPr>
      <t>gu</t>
    </r>
    <r>
      <rPr>
        <sz val="8"/>
        <color rgb="FF2B2B2F"/>
        <rFont val="Arial"/>
        <family val="2"/>
      </rPr>
      <t>n</t>
    </r>
    <r>
      <rPr>
        <sz val="8"/>
        <color rgb="FF4D4D50"/>
        <rFont val="Arial"/>
        <family val="2"/>
      </rPr>
      <t xml:space="preserve">aan </t>
    </r>
    <r>
      <rPr>
        <sz val="8"/>
        <color rgb="FF2B2B2F"/>
        <rFont val="Arial"/>
        <family val="2"/>
      </rPr>
      <t>P</t>
    </r>
    <r>
      <rPr>
        <sz val="8"/>
        <color rgb="FF4D4D50"/>
        <rFont val="Arial"/>
        <family val="2"/>
      </rPr>
      <t>MN</t>
    </r>
  </si>
  <si>
    <r>
      <rPr>
        <sz val="10"/>
        <color rgb="FF2B2B2F"/>
        <rFont val="Times New Roman"/>
        <family val="1"/>
      </rPr>
      <t>1.1.</t>
    </r>
    <r>
      <rPr>
        <sz val="10"/>
        <color rgb="FF4D4D50"/>
        <rFont val="Times New Roman"/>
        <family val="1"/>
      </rPr>
      <t>3</t>
    </r>
  </si>
  <si>
    <r>
      <rPr>
        <sz val="8"/>
        <color rgb="FF2B2B2F"/>
        <rFont val="Arial"/>
        <family val="2"/>
      </rPr>
      <t>P</t>
    </r>
    <r>
      <rPr>
        <sz val="8"/>
        <color rgb="FF4D4D50"/>
        <rFont val="Arial"/>
        <family val="2"/>
      </rPr>
      <t>eris</t>
    </r>
    <r>
      <rPr>
        <sz val="8"/>
        <color rgb="FF1A1A1D"/>
        <rFont val="Arial"/>
        <family val="2"/>
      </rPr>
      <t>t</t>
    </r>
    <r>
      <rPr>
        <sz val="8"/>
        <color rgb="FF4D4D50"/>
        <rFont val="Arial"/>
        <family val="2"/>
      </rPr>
      <t xml:space="preserve">iwa </t>
    </r>
    <r>
      <rPr>
        <sz val="8"/>
        <color rgb="FF2B2B2F"/>
        <rFont val="Arial"/>
        <family val="2"/>
      </rPr>
      <t>Ri</t>
    </r>
    <r>
      <rPr>
        <sz val="8"/>
        <color rgb="FF4D4D50"/>
        <rFont val="Arial"/>
        <family val="2"/>
      </rPr>
      <t>s</t>
    </r>
    <r>
      <rPr>
        <sz val="8"/>
        <color rgb="FF1A1A1D"/>
        <rFont val="Arial"/>
        <family val="2"/>
      </rPr>
      <t>i</t>
    </r>
    <r>
      <rPr>
        <sz val="8"/>
        <color rgb="FF4D4D50"/>
        <rFont val="Arial"/>
        <family val="2"/>
      </rPr>
      <t xml:space="preserve">ko </t>
    </r>
    <r>
      <rPr>
        <sz val="8"/>
        <color rgb="FF3D3D3F"/>
        <rFont val="Arial"/>
        <family val="2"/>
      </rPr>
      <t>terka</t>
    </r>
    <r>
      <rPr>
        <sz val="8"/>
        <color rgb="FF1A1A1D"/>
        <rFont val="Arial"/>
        <family val="2"/>
      </rPr>
      <t>i</t>
    </r>
    <r>
      <rPr>
        <sz val="8"/>
        <color rgb="FF626266"/>
        <rFont val="Arial"/>
        <family val="2"/>
      </rPr>
      <t xml:space="preserve">t
</t>
    </r>
    <r>
      <rPr>
        <sz val="8"/>
        <color rgb="FF4D4D50"/>
        <rFont val="Arial"/>
        <family val="2"/>
      </rPr>
      <t xml:space="preserve">subsidi </t>
    </r>
    <r>
      <rPr>
        <sz val="8"/>
        <color rgb="FF3D3D3F"/>
        <rFont val="Arial"/>
        <family val="2"/>
      </rPr>
      <t xml:space="preserve">dan </t>
    </r>
    <r>
      <rPr>
        <sz val="8"/>
        <color rgb="FF4D4D50"/>
        <rFont val="Arial"/>
        <family val="2"/>
      </rPr>
      <t>kompensas</t>
    </r>
    <r>
      <rPr>
        <sz val="8"/>
        <color rgb="FF2B2B2F"/>
        <rFont val="Arial"/>
        <family val="2"/>
      </rPr>
      <t>i</t>
    </r>
  </si>
  <si>
    <r>
      <rPr>
        <sz val="10"/>
        <color rgb="FF3D3D3F"/>
        <rFont val="Times New Roman"/>
        <family val="1"/>
      </rPr>
      <t>1.1.3.4</t>
    </r>
  </si>
  <si>
    <r>
      <rPr>
        <sz val="8"/>
        <color rgb="FF3D3D3F"/>
        <rFont val="Arial"/>
        <family val="2"/>
      </rPr>
      <t xml:space="preserve">Risiko </t>
    </r>
    <r>
      <rPr>
        <sz val="8"/>
        <color rgb="FF4D4D50"/>
        <rFont val="Arial"/>
        <family val="2"/>
      </rPr>
      <t>kompensasi</t>
    </r>
  </si>
  <si>
    <r>
      <rPr>
        <sz val="10"/>
        <color rgb="FF2B2B2F"/>
        <rFont val="Times New Roman"/>
        <family val="1"/>
      </rPr>
      <t>1.1.</t>
    </r>
    <r>
      <rPr>
        <sz val="10"/>
        <color rgb="FF4D4D50"/>
        <rFont val="Times New Roman"/>
        <family val="1"/>
      </rPr>
      <t>3</t>
    </r>
    <r>
      <rPr>
        <sz val="10"/>
        <color rgb="FF2B2B2F"/>
        <rFont val="Times New Roman"/>
        <family val="1"/>
      </rPr>
      <t>.5</t>
    </r>
  </si>
  <si>
    <r>
      <rPr>
        <sz val="8"/>
        <color rgb="FF3D3D3F"/>
        <rFont val="Arial"/>
        <family val="2"/>
      </rPr>
      <t>R</t>
    </r>
    <r>
      <rPr>
        <sz val="8"/>
        <color rgb="FF1A1A1D"/>
        <rFont val="Arial"/>
        <family val="2"/>
      </rPr>
      <t>i</t>
    </r>
    <r>
      <rPr>
        <sz val="8"/>
        <color rgb="FF4D4D50"/>
        <rFont val="Arial"/>
        <family val="2"/>
      </rPr>
      <t>siko subsidi</t>
    </r>
  </si>
  <si>
    <r>
      <rPr>
        <sz val="10"/>
        <color rgb="FF3D3D3F"/>
        <rFont val="Times New Roman"/>
        <family val="1"/>
      </rPr>
      <t>1.2</t>
    </r>
  </si>
  <si>
    <r>
      <rPr>
        <sz val="8"/>
        <color rgb="FF3D3D3F"/>
        <rFont val="Arial"/>
        <family val="2"/>
      </rPr>
      <t>Kategori Risiko kebijakan</t>
    </r>
  </si>
  <si>
    <r>
      <rPr>
        <sz val="10"/>
        <color rgb="FF1A1A1D"/>
        <rFont val="Times New Roman"/>
        <family val="1"/>
      </rPr>
      <t>1</t>
    </r>
    <r>
      <rPr>
        <sz val="10"/>
        <color rgb="FF4D4D50"/>
        <rFont val="Times New Roman"/>
        <family val="1"/>
      </rPr>
      <t>.2.4</t>
    </r>
  </si>
  <si>
    <r>
      <rPr>
        <sz val="8"/>
        <color rgb="FF3D3D3F"/>
        <rFont val="Arial"/>
        <family val="2"/>
      </rPr>
      <t>Pe</t>
    </r>
    <r>
      <rPr>
        <sz val="8"/>
        <color rgb="FF626266"/>
        <rFont val="Arial"/>
        <family val="2"/>
      </rPr>
      <t>r</t>
    </r>
    <r>
      <rPr>
        <sz val="8"/>
        <color rgb="FF2B2B2F"/>
        <rFont val="Arial"/>
        <family val="2"/>
      </rPr>
      <t>ist</t>
    </r>
    <r>
      <rPr>
        <sz val="8"/>
        <color rgb="FF4D4D50"/>
        <rFont val="Arial"/>
        <family val="2"/>
      </rPr>
      <t xml:space="preserve">iwa </t>
    </r>
    <r>
      <rPr>
        <sz val="8"/>
        <color rgb="FF2B2B2F"/>
        <rFont val="Arial"/>
        <family val="2"/>
      </rPr>
      <t>Ri</t>
    </r>
    <r>
      <rPr>
        <sz val="8"/>
        <color rgb="FF4D4D50"/>
        <rFont val="Arial"/>
        <family val="2"/>
      </rPr>
      <t xml:space="preserve">siko </t>
    </r>
    <r>
      <rPr>
        <sz val="8"/>
        <color rgb="FF3D3D3F"/>
        <rFont val="Arial"/>
        <family val="2"/>
      </rPr>
      <t xml:space="preserve">terkait kebijakan </t>
    </r>
    <r>
      <rPr>
        <sz val="8"/>
        <color rgb="FF2B2B2F"/>
        <rFont val="Arial"/>
        <family val="2"/>
      </rPr>
      <t>Sum</t>
    </r>
    <r>
      <rPr>
        <sz val="8"/>
        <color rgb="FF4D4D50"/>
        <rFont val="Arial"/>
        <family val="2"/>
      </rPr>
      <t xml:space="preserve">ber </t>
    </r>
    <r>
      <rPr>
        <sz val="8"/>
        <color rgb="FF3D3D3F"/>
        <rFont val="Arial"/>
        <family val="2"/>
      </rPr>
      <t xml:space="preserve">Daya </t>
    </r>
    <r>
      <rPr>
        <sz val="8"/>
        <color rgb="FF2B2B2F"/>
        <rFont val="Arial"/>
        <family val="2"/>
      </rPr>
      <t>Ma</t>
    </r>
    <r>
      <rPr>
        <sz val="8"/>
        <color rgb="FF4D4D50"/>
        <rFont val="Arial"/>
        <family val="2"/>
      </rPr>
      <t>n</t>
    </r>
    <r>
      <rPr>
        <sz val="8"/>
        <color rgb="FF1A1A1D"/>
        <rFont val="Arial"/>
        <family val="2"/>
      </rPr>
      <t>u</t>
    </r>
    <r>
      <rPr>
        <sz val="8"/>
        <color rgb="FF3D3D3F"/>
        <rFont val="Arial"/>
        <family val="2"/>
      </rPr>
      <t>sia (SOM)</t>
    </r>
  </si>
  <si>
    <r>
      <rPr>
        <sz val="10"/>
        <color rgb="FF3D3D3F"/>
        <rFont val="Times New Roman"/>
        <family val="1"/>
      </rPr>
      <t>1.2.4.6</t>
    </r>
  </si>
  <si>
    <r>
      <rPr>
        <sz val="8"/>
        <color rgb="FF3D3D3F"/>
        <rFont val="Arial"/>
        <family val="2"/>
      </rPr>
      <t xml:space="preserve">Risiko </t>
    </r>
    <r>
      <rPr>
        <sz val="8"/>
        <color rgb="FF4D4D50"/>
        <rFont val="Arial"/>
        <family val="2"/>
      </rPr>
      <t>kebijakan SOM</t>
    </r>
  </si>
  <si>
    <r>
      <rPr>
        <sz val="10"/>
        <color rgb="FF2B2B2F"/>
        <rFont val="Times New Roman"/>
        <family val="1"/>
      </rPr>
      <t>1.2.4</t>
    </r>
    <r>
      <rPr>
        <sz val="10"/>
        <color theme="1"/>
        <rFont val="Times New Roman"/>
        <family val="1"/>
      </rPr>
      <t>.</t>
    </r>
    <r>
      <rPr>
        <sz val="10"/>
        <color rgb="FF4D4D50"/>
        <rFont val="Times New Roman"/>
        <family val="1"/>
      </rPr>
      <t>7</t>
    </r>
  </si>
  <si>
    <r>
      <rPr>
        <sz val="8"/>
        <color rgb="FF3D3D3F"/>
        <rFont val="Arial"/>
        <family val="2"/>
      </rPr>
      <t>R</t>
    </r>
    <r>
      <rPr>
        <sz val="8"/>
        <color rgb="FF1A1A1D"/>
        <rFont val="Arial"/>
        <family val="2"/>
      </rPr>
      <t>i</t>
    </r>
    <r>
      <rPr>
        <sz val="8"/>
        <color rgb="FF4D4D50"/>
        <rFont val="Arial"/>
        <family val="2"/>
      </rPr>
      <t>siko penerapan keb</t>
    </r>
    <r>
      <rPr>
        <sz val="8"/>
        <color rgb="FF2B2B2F"/>
        <rFont val="Arial"/>
        <family val="2"/>
      </rPr>
      <t>i</t>
    </r>
    <r>
      <rPr>
        <sz val="8"/>
        <color rgb="FF626266"/>
        <rFont val="Arial"/>
        <family val="2"/>
      </rPr>
      <t xml:space="preserve">jakan </t>
    </r>
    <r>
      <rPr>
        <sz val="8"/>
        <color rgb="FF3D3D3F"/>
        <rFont val="Arial"/>
        <family val="2"/>
      </rPr>
      <t>pem</t>
    </r>
    <r>
      <rPr>
        <sz val="8"/>
        <color rgb="FF1A1A1D"/>
        <rFont val="Arial"/>
        <family val="2"/>
      </rPr>
      <t>il</t>
    </r>
    <r>
      <rPr>
        <sz val="8"/>
        <color rgb="FF3D3D3F"/>
        <rFont val="Arial"/>
        <family val="2"/>
      </rPr>
      <t>i</t>
    </r>
    <r>
      <rPr>
        <sz val="8"/>
        <color rgb="FF1A1A1D"/>
        <rFont val="Arial"/>
        <family val="2"/>
      </rPr>
      <t>h</t>
    </r>
    <r>
      <rPr>
        <sz val="8"/>
        <color rgb="FF3D3D3F"/>
        <rFont val="Arial"/>
        <family val="2"/>
      </rPr>
      <t xml:space="preserve">an, </t>
    </r>
    <r>
      <rPr>
        <sz val="8"/>
        <color rgb="FF4D4D50"/>
        <rFont val="Arial"/>
        <family val="2"/>
      </rPr>
      <t>pe</t>
    </r>
    <r>
      <rPr>
        <sz val="8"/>
        <color rgb="FF2B2B2F"/>
        <rFont val="Arial"/>
        <family val="2"/>
      </rPr>
      <t>n</t>
    </r>
    <r>
      <rPr>
        <sz val="8"/>
        <color rgb="FF4D4D50"/>
        <rFont val="Arial"/>
        <family val="2"/>
      </rPr>
      <t xml:space="preserve">gangkatan dan </t>
    </r>
    <r>
      <rPr>
        <sz val="8"/>
        <color rgb="FF3D3D3F"/>
        <rFont val="Arial"/>
        <family val="2"/>
      </rPr>
      <t xml:space="preserve">Direksi dan Dewan
</t>
    </r>
    <r>
      <rPr>
        <sz val="8"/>
        <color rgb="FF3D3D3F"/>
        <rFont val="Arial"/>
        <family val="2"/>
      </rPr>
      <t>Kom</t>
    </r>
    <r>
      <rPr>
        <sz val="8"/>
        <color rgb="FF1A1A1D"/>
        <rFont val="Arial"/>
        <family val="2"/>
      </rPr>
      <t>i</t>
    </r>
    <r>
      <rPr>
        <sz val="8"/>
        <color rgb="FF4D4D50"/>
        <rFont val="Arial"/>
        <family val="2"/>
      </rPr>
      <t>saris</t>
    </r>
  </si>
  <si>
    <r>
      <rPr>
        <sz val="10"/>
        <color rgb="FF4D4D50"/>
        <rFont val="Times New Roman"/>
        <family val="1"/>
      </rPr>
      <t>1</t>
    </r>
    <r>
      <rPr>
        <sz val="10"/>
        <color rgb="FF1A1A1D"/>
        <rFont val="Times New Roman"/>
        <family val="1"/>
      </rPr>
      <t>.</t>
    </r>
    <r>
      <rPr>
        <sz val="10"/>
        <color rgb="FF3D3D3F"/>
        <rFont val="Times New Roman"/>
        <family val="1"/>
      </rPr>
      <t>2.4.8</t>
    </r>
  </si>
  <si>
    <r>
      <rPr>
        <sz val="8"/>
        <color rgb="FF3D3D3F"/>
        <rFont val="Arial"/>
        <family val="2"/>
      </rPr>
      <t xml:space="preserve">Risiko </t>
    </r>
    <r>
      <rPr>
        <sz val="8"/>
        <color rgb="FF4D4D50"/>
        <rFont val="Arial"/>
        <family val="2"/>
      </rPr>
      <t>pene</t>
    </r>
    <r>
      <rPr>
        <sz val="8"/>
        <color rgb="FF2B2B2F"/>
        <rFont val="Arial"/>
        <family val="2"/>
      </rPr>
      <t>t</t>
    </r>
    <r>
      <rPr>
        <sz val="8"/>
        <color rgb="FF4D4D50"/>
        <rFont val="Arial"/>
        <family val="2"/>
      </rPr>
      <t xml:space="preserve">apan </t>
    </r>
    <r>
      <rPr>
        <i/>
        <sz val="8"/>
        <color rgb="FF4D4D50"/>
        <rFont val="Arial"/>
        <family val="2"/>
      </rPr>
      <t>Key Performance Ind</t>
    </r>
    <r>
      <rPr>
        <i/>
        <sz val="8"/>
        <color rgb="FF777779"/>
        <rFont val="Arial"/>
        <family val="2"/>
      </rPr>
      <t>ic</t>
    </r>
    <r>
      <rPr>
        <i/>
        <sz val="8"/>
        <color rgb="FF4D4D50"/>
        <rFont val="Arial"/>
        <family val="2"/>
      </rPr>
      <t xml:space="preserve">ator </t>
    </r>
    <r>
      <rPr>
        <sz val="8"/>
        <color rgb="FF777779"/>
        <rFont val="Arial"/>
        <family val="2"/>
      </rPr>
      <t>(</t>
    </r>
    <r>
      <rPr>
        <sz val="8"/>
        <color rgb="FF4D4D50"/>
        <rFont val="Arial"/>
        <family val="2"/>
      </rPr>
      <t>K</t>
    </r>
    <r>
      <rPr>
        <sz val="8"/>
        <color rgb="FF2B2B2F"/>
        <rFont val="Arial"/>
        <family val="2"/>
      </rPr>
      <t>P</t>
    </r>
    <r>
      <rPr>
        <sz val="8"/>
        <color rgb="FF4D4D50"/>
        <rFont val="Arial"/>
        <family val="2"/>
      </rPr>
      <t>I) Direks</t>
    </r>
    <r>
      <rPr>
        <sz val="8"/>
        <color rgb="FF1A1A1D"/>
        <rFont val="Arial"/>
        <family val="2"/>
      </rPr>
      <t xml:space="preserve">i </t>
    </r>
    <r>
      <rPr>
        <sz val="8"/>
        <color rgb="FF3D3D3F"/>
        <rFont val="Arial"/>
        <family val="2"/>
      </rPr>
      <t>dan De</t>
    </r>
    <r>
      <rPr>
        <sz val="8"/>
        <color rgb="FF626266"/>
        <rFont val="Arial"/>
        <family val="2"/>
      </rPr>
      <t xml:space="preserve">wan
</t>
    </r>
    <r>
      <rPr>
        <sz val="8"/>
        <color rgb="FF2B2B2F"/>
        <rFont val="Arial"/>
        <family val="2"/>
      </rPr>
      <t>K</t>
    </r>
    <r>
      <rPr>
        <sz val="8"/>
        <color rgb="FF4D4D50"/>
        <rFont val="Arial"/>
        <family val="2"/>
      </rPr>
      <t>omisar</t>
    </r>
    <r>
      <rPr>
        <sz val="8"/>
        <color rgb="FF777779"/>
        <rFont val="Arial"/>
        <family val="2"/>
      </rPr>
      <t>i</t>
    </r>
    <r>
      <rPr>
        <sz val="8"/>
        <color rgb="FF3D3D3F"/>
        <rFont val="Arial"/>
        <family val="2"/>
      </rPr>
      <t>s</t>
    </r>
  </si>
  <si>
    <r>
      <rPr>
        <sz val="10"/>
        <color rgb="FF1A1A1D"/>
        <rFont val="Times New Roman"/>
        <family val="1"/>
      </rPr>
      <t>1</t>
    </r>
    <r>
      <rPr>
        <sz val="10"/>
        <color rgb="FF3D3D3F"/>
        <rFont val="Times New Roman"/>
        <family val="1"/>
      </rPr>
      <t>.2.5</t>
    </r>
  </si>
  <si>
    <r>
      <rPr>
        <sz val="8"/>
        <color rgb="FF3D3D3F"/>
        <rFont val="Arial"/>
        <family val="2"/>
      </rPr>
      <t>Peris</t>
    </r>
    <r>
      <rPr>
        <sz val="8"/>
        <color rgb="FF1A1A1D"/>
        <rFont val="Arial"/>
        <family val="2"/>
      </rPr>
      <t>ti</t>
    </r>
    <r>
      <rPr>
        <sz val="8"/>
        <color rgb="FF3D3D3F"/>
        <rFont val="Arial"/>
        <family val="2"/>
      </rPr>
      <t xml:space="preserve">wa </t>
    </r>
    <r>
      <rPr>
        <sz val="8"/>
        <color rgb="FF2B2B2F"/>
        <rFont val="Arial"/>
        <family val="2"/>
      </rPr>
      <t>Ris</t>
    </r>
    <r>
      <rPr>
        <sz val="8"/>
        <color rgb="FF4D4D50"/>
        <rFont val="Arial"/>
        <family val="2"/>
      </rPr>
      <t>i</t>
    </r>
    <r>
      <rPr>
        <sz val="8"/>
        <color rgb="FF2B2B2F"/>
        <rFont val="Arial"/>
        <family val="2"/>
      </rPr>
      <t>k</t>
    </r>
    <r>
      <rPr>
        <sz val="8"/>
        <color rgb="FF4D4D50"/>
        <rFont val="Arial"/>
        <family val="2"/>
      </rPr>
      <t xml:space="preserve">o </t>
    </r>
    <r>
      <rPr>
        <sz val="8"/>
        <color rgb="FF1A1A1D"/>
        <rFont val="Arial"/>
        <family val="2"/>
      </rPr>
      <t>t</t>
    </r>
    <r>
      <rPr>
        <sz val="8"/>
        <color rgb="FF4D4D50"/>
        <rFont val="Arial"/>
        <family val="2"/>
      </rPr>
      <t>e</t>
    </r>
    <r>
      <rPr>
        <sz val="8"/>
        <color rgb="FF2B2B2F"/>
        <rFont val="Arial"/>
        <family val="2"/>
      </rPr>
      <t>rkai</t>
    </r>
    <r>
      <rPr>
        <sz val="8"/>
        <color rgb="FF4D4D50"/>
        <rFont val="Arial"/>
        <family val="2"/>
      </rPr>
      <t xml:space="preserve">t </t>
    </r>
    <r>
      <rPr>
        <sz val="8"/>
        <color rgb="FF3D3D3F"/>
        <rFont val="Arial"/>
        <family val="2"/>
      </rPr>
      <t>kebijakan sektora</t>
    </r>
    <r>
      <rPr>
        <sz val="8"/>
        <color rgb="FF1A1A1D"/>
        <rFont val="Arial"/>
        <family val="2"/>
      </rPr>
      <t>l</t>
    </r>
  </si>
  <si>
    <r>
      <rPr>
        <sz val="10"/>
        <color rgb="FF1A1A1D"/>
        <rFont val="Times New Roman"/>
        <family val="1"/>
      </rPr>
      <t>1.2</t>
    </r>
    <r>
      <rPr>
        <sz val="10"/>
        <color rgb="FF3D3D3F"/>
        <rFont val="Times New Roman"/>
        <family val="1"/>
      </rPr>
      <t>.5</t>
    </r>
    <r>
      <rPr>
        <sz val="10"/>
        <color rgb="FF626266"/>
        <rFont val="Times New Roman"/>
        <family val="1"/>
      </rPr>
      <t>.</t>
    </r>
    <r>
      <rPr>
        <sz val="10"/>
        <color rgb="FF3D3D3F"/>
        <rFont val="Times New Roman"/>
        <family val="1"/>
      </rPr>
      <t>9</t>
    </r>
  </si>
  <si>
    <r>
      <rPr>
        <sz val="8"/>
        <color rgb="FF2B2B2F"/>
        <rFont val="Arial"/>
        <family val="2"/>
      </rPr>
      <t>Ri</t>
    </r>
    <r>
      <rPr>
        <sz val="8"/>
        <color rgb="FF4D4D50"/>
        <rFont val="Arial"/>
        <family val="2"/>
      </rPr>
      <t>s</t>
    </r>
    <r>
      <rPr>
        <sz val="8"/>
        <color rgb="FF1A1A1D"/>
        <rFont val="Arial"/>
        <family val="2"/>
      </rPr>
      <t>i</t>
    </r>
    <r>
      <rPr>
        <sz val="8"/>
        <color rgb="FF4D4D50"/>
        <rFont val="Arial"/>
        <family val="2"/>
      </rPr>
      <t xml:space="preserve">ko </t>
    </r>
    <r>
      <rPr>
        <sz val="8"/>
        <color rgb="FF2B2B2F"/>
        <rFont val="Arial"/>
        <family val="2"/>
      </rPr>
      <t>k</t>
    </r>
    <r>
      <rPr>
        <sz val="8"/>
        <color rgb="FF4D4D50"/>
        <rFont val="Arial"/>
        <family val="2"/>
      </rPr>
      <t>ebija</t>
    </r>
    <r>
      <rPr>
        <sz val="8"/>
        <color rgb="FF2B2B2F"/>
        <rFont val="Arial"/>
        <family val="2"/>
      </rPr>
      <t>k</t>
    </r>
    <r>
      <rPr>
        <sz val="8"/>
        <color rgb="FF4D4D50"/>
        <rFont val="Arial"/>
        <family val="2"/>
      </rPr>
      <t>an te</t>
    </r>
    <r>
      <rPr>
        <sz val="8"/>
        <color rgb="FF1A1A1D"/>
        <rFont val="Arial"/>
        <family val="2"/>
      </rPr>
      <t>r</t>
    </r>
    <r>
      <rPr>
        <sz val="8"/>
        <color rgb="FF4D4D50"/>
        <rFont val="Arial"/>
        <family val="2"/>
      </rPr>
      <t xml:space="preserve">kait
</t>
    </r>
    <r>
      <rPr>
        <sz val="8"/>
        <color rgb="FF4D4D50"/>
        <rFont val="Arial"/>
        <family val="2"/>
      </rPr>
      <t>sekto</t>
    </r>
    <r>
      <rPr>
        <sz val="8"/>
        <color rgb="FF2B2B2F"/>
        <rFont val="Arial"/>
        <family val="2"/>
      </rPr>
      <t xml:space="preserve">r </t>
    </r>
    <r>
      <rPr>
        <sz val="8"/>
        <color rgb="FF3D3D3F"/>
        <rFont val="Arial"/>
        <family val="2"/>
      </rPr>
      <t>ene</t>
    </r>
    <r>
      <rPr>
        <sz val="8"/>
        <color rgb="FF626266"/>
        <rFont val="Arial"/>
        <family val="2"/>
      </rPr>
      <t>r</t>
    </r>
    <r>
      <rPr>
        <sz val="8"/>
        <color rgb="FF3D3D3F"/>
        <rFont val="Arial"/>
        <family val="2"/>
      </rPr>
      <t>gi</t>
    </r>
  </si>
  <si>
    <r>
      <rPr>
        <sz val="10"/>
        <color rgb="FF2B2B2F"/>
        <rFont val="Times New Roman"/>
        <family val="1"/>
      </rPr>
      <t>1.</t>
    </r>
    <r>
      <rPr>
        <sz val="10"/>
        <color rgb="FF4D4D50"/>
        <rFont val="Times New Roman"/>
        <family val="1"/>
      </rPr>
      <t>2</t>
    </r>
    <r>
      <rPr>
        <sz val="10"/>
        <color rgb="FF2B2B2F"/>
        <rFont val="Times New Roman"/>
        <family val="1"/>
      </rPr>
      <t>.5</t>
    </r>
    <r>
      <rPr>
        <sz val="10"/>
        <color rgb="FF4D4D50"/>
        <rFont val="Times New Roman"/>
        <family val="1"/>
      </rPr>
      <t>.</t>
    </r>
    <r>
      <rPr>
        <sz val="10"/>
        <color rgb="FF2B2B2F"/>
        <rFont val="Times New Roman"/>
        <family val="1"/>
      </rPr>
      <t>1</t>
    </r>
    <r>
      <rPr>
        <sz val="10"/>
        <color rgb="FF4D4D50"/>
        <rFont val="Times New Roman"/>
        <family val="1"/>
      </rPr>
      <t>0</t>
    </r>
  </si>
  <si>
    <r>
      <rPr>
        <sz val="8"/>
        <color rgb="FF3D3D3F"/>
        <rFont val="Arial"/>
        <family val="2"/>
      </rPr>
      <t xml:space="preserve">Risiko kebijakan </t>
    </r>
    <r>
      <rPr>
        <sz val="8"/>
        <color rgb="FF4D4D50"/>
        <rFont val="Arial"/>
        <family val="2"/>
      </rPr>
      <t>te</t>
    </r>
    <r>
      <rPr>
        <sz val="8"/>
        <color rgb="FF2B2B2F"/>
        <rFont val="Arial"/>
        <family val="2"/>
      </rPr>
      <t>r</t>
    </r>
    <r>
      <rPr>
        <sz val="8"/>
        <color rgb="FF4D4D50"/>
        <rFont val="Arial"/>
        <family val="2"/>
      </rPr>
      <t xml:space="preserve">kait
</t>
    </r>
    <r>
      <rPr>
        <sz val="8"/>
        <color rgb="FF4D4D50"/>
        <rFont val="Arial"/>
        <family val="2"/>
      </rPr>
      <t xml:space="preserve">sektor </t>
    </r>
    <r>
      <rPr>
        <sz val="8"/>
        <color rgb="FF3D3D3F"/>
        <rFont val="Arial"/>
        <family val="2"/>
      </rPr>
      <t>non energi</t>
    </r>
  </si>
  <si>
    <r>
      <rPr>
        <sz val="10"/>
        <color rgb="FF2B2B2F"/>
        <rFont val="Times New Roman"/>
        <family val="1"/>
      </rPr>
      <t>1.</t>
    </r>
    <r>
      <rPr>
        <sz val="10"/>
        <color rgb="FF4D4D50"/>
        <rFont val="Times New Roman"/>
        <family val="1"/>
      </rPr>
      <t>3</t>
    </r>
  </si>
  <si>
    <r>
      <rPr>
        <sz val="8"/>
        <color rgb="FF3D3D3F"/>
        <rFont val="Arial"/>
        <family val="2"/>
      </rPr>
      <t>Katego</t>
    </r>
    <r>
      <rPr>
        <sz val="8"/>
        <color rgb="FF1A1A1D"/>
        <rFont val="Arial"/>
        <family val="2"/>
      </rPr>
      <t>r</t>
    </r>
    <r>
      <rPr>
        <sz val="8"/>
        <color rgb="FF3D3D3F"/>
        <rFont val="Arial"/>
        <family val="2"/>
      </rPr>
      <t xml:space="preserve">i </t>
    </r>
    <r>
      <rPr>
        <sz val="8"/>
        <color rgb="FF2B2B2F"/>
        <rFont val="Arial"/>
        <family val="2"/>
      </rPr>
      <t>Ri</t>
    </r>
    <r>
      <rPr>
        <sz val="8"/>
        <color rgb="FF4D4D50"/>
        <rFont val="Arial"/>
        <family val="2"/>
      </rPr>
      <t xml:space="preserve">siko
</t>
    </r>
    <r>
      <rPr>
        <sz val="8"/>
        <color rgb="FF3D3D3F"/>
        <rFont val="Arial"/>
        <family val="2"/>
      </rPr>
      <t>komposisi</t>
    </r>
  </si>
  <si>
    <r>
      <rPr>
        <sz val="10"/>
        <color rgb="FF1A1A1D"/>
        <rFont val="Times New Roman"/>
        <family val="1"/>
      </rPr>
      <t>1.3</t>
    </r>
    <r>
      <rPr>
        <sz val="10"/>
        <color rgb="FF4D4D50"/>
        <rFont val="Times New Roman"/>
        <family val="1"/>
      </rPr>
      <t>.6</t>
    </r>
  </si>
  <si>
    <r>
      <rPr>
        <sz val="8"/>
        <color rgb="FF3D3D3F"/>
        <rFont val="Arial"/>
        <family val="2"/>
      </rPr>
      <t xml:space="preserve">Peritiwa Risiko </t>
    </r>
    <r>
      <rPr>
        <sz val="8"/>
        <color rgb="FF4D4D50"/>
        <rFont val="Arial"/>
        <family val="2"/>
      </rPr>
      <t>terkai</t>
    </r>
    <r>
      <rPr>
        <sz val="8"/>
        <color rgb="FF2B2B2F"/>
        <rFont val="Arial"/>
        <family val="2"/>
      </rPr>
      <t xml:space="preserve">t
</t>
    </r>
    <r>
      <rPr>
        <sz val="8"/>
        <color rgb="FF3D3D3F"/>
        <rFont val="Arial"/>
        <family val="2"/>
      </rPr>
      <t>konsent</t>
    </r>
    <r>
      <rPr>
        <sz val="8"/>
        <color rgb="FF1A1A1D"/>
        <rFont val="Arial"/>
        <family val="2"/>
      </rPr>
      <t>r</t>
    </r>
    <r>
      <rPr>
        <sz val="8"/>
        <color rgb="FF3D3D3F"/>
        <rFont val="Arial"/>
        <family val="2"/>
      </rPr>
      <t>as</t>
    </r>
    <r>
      <rPr>
        <sz val="8"/>
        <color rgb="FF626266"/>
        <rFont val="Arial"/>
        <family val="2"/>
      </rPr>
      <t xml:space="preserve">i </t>
    </r>
    <r>
      <rPr>
        <sz val="8"/>
        <color rgb="FF3D3D3F"/>
        <rFont val="Arial"/>
        <family val="2"/>
      </rPr>
      <t>portofo</t>
    </r>
    <r>
      <rPr>
        <sz val="8"/>
        <color rgb="FF1A1A1D"/>
        <rFont val="Arial"/>
        <family val="2"/>
      </rPr>
      <t>l</t>
    </r>
    <r>
      <rPr>
        <sz val="8"/>
        <color rgb="FF3D3D3F"/>
        <rFont val="Arial"/>
        <family val="2"/>
      </rPr>
      <t>io</t>
    </r>
  </si>
  <si>
    <r>
      <rPr>
        <sz val="10"/>
        <color rgb="FF1A1A1D"/>
        <rFont val="Times New Roman"/>
        <family val="1"/>
      </rPr>
      <t>1.</t>
    </r>
    <r>
      <rPr>
        <sz val="10"/>
        <color rgb="FF4D4D50"/>
        <rFont val="Times New Roman"/>
        <family val="1"/>
      </rPr>
      <t>3</t>
    </r>
    <r>
      <rPr>
        <sz val="10"/>
        <color rgb="FF2B2B2F"/>
        <rFont val="Times New Roman"/>
        <family val="1"/>
      </rPr>
      <t>.6</t>
    </r>
    <r>
      <rPr>
        <sz val="10"/>
        <color rgb="FF4D4D50"/>
        <rFont val="Times New Roman"/>
        <family val="1"/>
      </rPr>
      <t>.11</t>
    </r>
  </si>
  <si>
    <r>
      <rPr>
        <sz val="8"/>
        <color rgb="FF3D3D3F"/>
        <rFont val="Arial"/>
        <family val="2"/>
      </rPr>
      <t xml:space="preserve">Risiko konsentrasi </t>
    </r>
    <r>
      <rPr>
        <sz val="8"/>
        <color rgb="FF4D4D50"/>
        <rFont val="Arial"/>
        <family val="2"/>
      </rPr>
      <t>portfol</t>
    </r>
    <r>
      <rPr>
        <sz val="8"/>
        <color rgb="FF1A1A1D"/>
        <rFont val="Arial"/>
        <family val="2"/>
      </rPr>
      <t>i</t>
    </r>
    <r>
      <rPr>
        <sz val="8"/>
        <color rgb="FF4D4D50"/>
        <rFont val="Arial"/>
        <family val="2"/>
      </rPr>
      <t xml:space="preserve">o
</t>
    </r>
    <r>
      <rPr>
        <sz val="8"/>
        <color rgb="FF4D4D50"/>
        <rFont val="Arial"/>
        <family val="2"/>
      </rPr>
      <t>ase</t>
    </r>
    <r>
      <rPr>
        <sz val="8"/>
        <color rgb="FF777779"/>
        <rFont val="Arial"/>
        <family val="2"/>
      </rPr>
      <t>t</t>
    </r>
  </si>
  <si>
    <r>
      <rPr>
        <b/>
        <sz val="9"/>
        <color rgb="FF181A1C"/>
        <rFont val="Arial"/>
        <family val="2"/>
      </rPr>
      <t xml:space="preserve">T1
</t>
    </r>
    <r>
      <rPr>
        <b/>
        <sz val="9"/>
        <color rgb="FF181A1C"/>
        <rFont val="Arial"/>
        <family val="2"/>
      </rPr>
      <t>(Terna Risiko)</t>
    </r>
  </si>
  <si>
    <r>
      <rPr>
        <b/>
        <sz val="9"/>
        <color rgb="FF181A1C"/>
        <rFont val="Arial"/>
        <family val="2"/>
      </rPr>
      <t>T2</t>
    </r>
  </si>
  <si>
    <r>
      <rPr>
        <b/>
        <sz val="9"/>
        <color rgb="FF181A1C"/>
        <rFont val="Arial"/>
        <family val="2"/>
      </rPr>
      <t xml:space="preserve">T3
</t>
    </r>
    <r>
      <rPr>
        <b/>
        <sz val="9"/>
        <color rgb="FF181A1C"/>
        <rFont val="Arial"/>
        <family val="2"/>
      </rPr>
      <t>(Kelompok Peristiwa Risiko)</t>
    </r>
  </si>
  <si>
    <r>
      <rPr>
        <b/>
        <sz val="9"/>
        <color rgb="FF181A1C"/>
        <rFont val="Arial"/>
        <family val="2"/>
      </rPr>
      <t xml:space="preserve">T4
</t>
    </r>
    <r>
      <rPr>
        <b/>
        <sz val="9"/>
        <color rgb="FF181A1C"/>
        <rFont val="Arial"/>
        <family val="2"/>
      </rPr>
      <t>(Sub Kelompok Peristiwa Risiko)</t>
    </r>
  </si>
  <si>
    <r>
      <rPr>
        <b/>
        <sz val="9"/>
        <color rgb="FF181A1C"/>
        <rFont val="Arial"/>
        <family val="2"/>
      </rPr>
      <t>KateQori Risiko)</t>
    </r>
  </si>
  <si>
    <r>
      <rPr>
        <sz val="10"/>
        <color rgb="FF2F2F31"/>
        <rFont val="Times New Roman"/>
        <family val="1"/>
      </rPr>
      <t>1.3.6.12</t>
    </r>
  </si>
  <si>
    <r>
      <rPr>
        <sz val="8"/>
        <color rgb="FF414144"/>
        <rFont val="Arial"/>
        <family val="2"/>
      </rPr>
      <t>Risiko k</t>
    </r>
    <r>
      <rPr>
        <sz val="8"/>
        <color rgb="FF59595D"/>
        <rFont val="Arial"/>
        <family val="2"/>
      </rPr>
      <t>o</t>
    </r>
    <r>
      <rPr>
        <sz val="8"/>
        <color rgb="FF2F2F31"/>
        <rFont val="Arial"/>
        <family val="2"/>
      </rPr>
      <t xml:space="preserve">nsentrasi </t>
    </r>
    <r>
      <rPr>
        <sz val="8"/>
        <color rgb="FF59595D"/>
        <rFont val="Arial"/>
        <family val="2"/>
      </rPr>
      <t>p</t>
    </r>
    <r>
      <rPr>
        <sz val="8"/>
        <color rgb="FF414144"/>
        <rFont val="Arial"/>
        <family val="2"/>
      </rPr>
      <t xml:space="preserve">ortfolio
</t>
    </r>
    <r>
      <rPr>
        <sz val="8"/>
        <color rgb="FF414144"/>
        <rFont val="Arial"/>
        <family val="2"/>
      </rPr>
      <t>pendapata</t>
    </r>
    <r>
      <rPr>
        <sz val="8"/>
        <color rgb="FF181A1C"/>
        <rFont val="Arial"/>
        <family val="2"/>
      </rPr>
      <t>n</t>
    </r>
  </si>
  <si>
    <r>
      <rPr>
        <sz val="10"/>
        <color rgb="FF2F2F31"/>
        <rFont val="Times New Roman"/>
        <family val="1"/>
      </rPr>
      <t>1.3.6.13</t>
    </r>
  </si>
  <si>
    <r>
      <rPr>
        <sz val="8"/>
        <color rgb="FF414144"/>
        <rFont val="Arial"/>
        <family val="2"/>
      </rPr>
      <t>Risiko konsentra</t>
    </r>
    <r>
      <rPr>
        <sz val="8"/>
        <color rgb="FF59595D"/>
        <rFont val="Arial"/>
        <family val="2"/>
      </rPr>
      <t>s</t>
    </r>
    <r>
      <rPr>
        <sz val="8"/>
        <color rgb="FF414144"/>
        <rFont val="Arial"/>
        <family val="2"/>
      </rPr>
      <t xml:space="preserve">i
</t>
    </r>
    <r>
      <rPr>
        <sz val="8"/>
        <color rgb="FF414144"/>
        <rFont val="Arial"/>
        <family val="2"/>
      </rPr>
      <t>operasional</t>
    </r>
  </si>
  <si>
    <r>
      <rPr>
        <sz val="8"/>
        <color rgb="FF2F2F31"/>
        <rFont val="Arial"/>
        <family val="2"/>
      </rPr>
      <t xml:space="preserve">Terna </t>
    </r>
    <r>
      <rPr>
        <sz val="8"/>
        <color rgb="FF414144"/>
        <rFont val="Arial"/>
        <family val="2"/>
      </rPr>
      <t>Risiko s</t>
    </r>
    <r>
      <rPr>
        <sz val="8"/>
        <color rgb="FF181A1C"/>
        <rFont val="Arial"/>
        <family val="2"/>
      </rPr>
      <t>truk</t>
    </r>
    <r>
      <rPr>
        <sz val="8"/>
        <color rgb="FF414144"/>
        <rFont val="Arial"/>
        <family val="2"/>
      </rPr>
      <t>tur korporasi dan organisas</t>
    </r>
    <r>
      <rPr>
        <sz val="8"/>
        <color rgb="FF181A1C"/>
        <rFont val="Arial"/>
        <family val="2"/>
      </rPr>
      <t>i</t>
    </r>
  </si>
  <si>
    <r>
      <rPr>
        <sz val="10"/>
        <color rgb="FF414144"/>
        <rFont val="Times New Roman"/>
        <family val="1"/>
      </rPr>
      <t>2.4</t>
    </r>
  </si>
  <si>
    <r>
      <rPr>
        <sz val="8"/>
        <color rgb="FF2F2F31"/>
        <rFont val="Arial"/>
        <family val="2"/>
      </rPr>
      <t xml:space="preserve">Kategori </t>
    </r>
    <r>
      <rPr>
        <sz val="8"/>
        <color rgb="FF414144"/>
        <rFont val="Arial"/>
        <family val="2"/>
      </rPr>
      <t>R</t>
    </r>
    <r>
      <rPr>
        <sz val="8"/>
        <color rgb="FF181A1C"/>
        <rFont val="Arial"/>
        <family val="2"/>
      </rPr>
      <t>i</t>
    </r>
    <r>
      <rPr>
        <sz val="8"/>
        <color rgb="FF414144"/>
        <rFont val="Arial"/>
        <family val="2"/>
      </rPr>
      <t>siko struktur korpora</t>
    </r>
    <r>
      <rPr>
        <sz val="8"/>
        <color rgb="FF59595D"/>
        <rFont val="Arial"/>
        <family val="2"/>
      </rPr>
      <t>s</t>
    </r>
    <r>
      <rPr>
        <sz val="8"/>
        <color rgb="FF414144"/>
        <rFont val="Arial"/>
        <family val="2"/>
      </rPr>
      <t>i</t>
    </r>
  </si>
  <si>
    <r>
      <rPr>
        <sz val="10"/>
        <color rgb="FF414144"/>
        <rFont val="Times New Roman"/>
        <family val="1"/>
      </rPr>
      <t>2.4</t>
    </r>
    <r>
      <rPr>
        <sz val="10"/>
        <color rgb="FF181A1C"/>
        <rFont val="Times New Roman"/>
        <family val="1"/>
      </rPr>
      <t>.</t>
    </r>
    <r>
      <rPr>
        <sz val="10"/>
        <color rgb="FF414144"/>
        <rFont val="Times New Roman"/>
        <family val="1"/>
      </rPr>
      <t>7</t>
    </r>
  </si>
  <si>
    <r>
      <rPr>
        <sz val="8"/>
        <color rgb="FF414144"/>
        <rFont val="Arial"/>
        <family val="2"/>
      </rPr>
      <t>Pe</t>
    </r>
    <r>
      <rPr>
        <sz val="8"/>
        <color rgb="FF181A1C"/>
        <rFont val="Arial"/>
        <family val="2"/>
      </rPr>
      <t>ri</t>
    </r>
    <r>
      <rPr>
        <sz val="8"/>
        <color rgb="FF414144"/>
        <rFont val="Arial"/>
        <family val="2"/>
      </rPr>
      <t xml:space="preserve">stiwa </t>
    </r>
    <r>
      <rPr>
        <sz val="8"/>
        <color rgb="FF2F2F31"/>
        <rFont val="Arial"/>
        <family val="2"/>
      </rPr>
      <t xml:space="preserve">Risiko terkait </t>
    </r>
    <r>
      <rPr>
        <sz val="8"/>
        <color rgb="FF59595D"/>
        <rFont val="Arial"/>
        <family val="2"/>
      </rPr>
      <t>s</t>
    </r>
    <r>
      <rPr>
        <sz val="8"/>
        <color rgb="FF414144"/>
        <rFont val="Arial"/>
        <family val="2"/>
      </rPr>
      <t>trukt</t>
    </r>
    <r>
      <rPr>
        <sz val="8"/>
        <color rgb="FF181A1C"/>
        <rFont val="Arial"/>
        <family val="2"/>
      </rPr>
      <t xml:space="preserve">ur </t>
    </r>
    <r>
      <rPr>
        <sz val="8"/>
        <color rgb="FF2F2F31"/>
        <rFont val="Arial"/>
        <family val="2"/>
      </rPr>
      <t>korporasi</t>
    </r>
  </si>
  <si>
    <r>
      <rPr>
        <sz val="10"/>
        <color rgb="FF2F2F31"/>
        <rFont val="Times New Roman"/>
        <family val="1"/>
      </rPr>
      <t>2.4.7.14</t>
    </r>
  </si>
  <si>
    <r>
      <rPr>
        <sz val="8"/>
        <color rgb="FF414144"/>
        <rFont val="Arial"/>
        <family val="2"/>
      </rPr>
      <t>Ri</t>
    </r>
    <r>
      <rPr>
        <sz val="8"/>
        <color rgb="FF59595D"/>
        <rFont val="Arial"/>
        <family val="2"/>
      </rPr>
      <t>s</t>
    </r>
    <r>
      <rPr>
        <sz val="8"/>
        <color rgb="FF2F2F31"/>
        <rFont val="Arial"/>
        <family val="2"/>
      </rPr>
      <t xml:space="preserve">iko </t>
    </r>
    <r>
      <rPr>
        <sz val="8"/>
        <color rgb="FF59595D"/>
        <rFont val="Arial"/>
        <family val="2"/>
      </rPr>
      <t>k</t>
    </r>
    <r>
      <rPr>
        <sz val="8"/>
        <color rgb="FF414144"/>
        <rFont val="Arial"/>
        <family val="2"/>
      </rPr>
      <t>omplek</t>
    </r>
    <r>
      <rPr>
        <sz val="8"/>
        <color rgb="FF59595D"/>
        <rFont val="Arial"/>
        <family val="2"/>
      </rPr>
      <t>si</t>
    </r>
    <r>
      <rPr>
        <sz val="8"/>
        <color rgb="FF414144"/>
        <rFont val="Arial"/>
        <family val="2"/>
      </rPr>
      <t>tas struk</t>
    </r>
    <r>
      <rPr>
        <sz val="8"/>
        <color rgb="FF181A1C"/>
        <rFont val="Arial"/>
        <family val="2"/>
      </rPr>
      <t>tu</t>
    </r>
    <r>
      <rPr>
        <sz val="8"/>
        <color rgb="FF414144"/>
        <rFont val="Arial"/>
        <family val="2"/>
      </rPr>
      <t xml:space="preserve">r
</t>
    </r>
    <r>
      <rPr>
        <sz val="8"/>
        <color rgb="FF414144"/>
        <rFont val="Arial"/>
        <family val="2"/>
      </rPr>
      <t>peru</t>
    </r>
    <r>
      <rPr>
        <sz val="8"/>
        <color rgb="FF59595D"/>
        <rFont val="Arial"/>
        <family val="2"/>
      </rPr>
      <t>s</t>
    </r>
    <r>
      <rPr>
        <sz val="8"/>
        <color rgb="FF414144"/>
        <rFont val="Arial"/>
        <family val="2"/>
      </rPr>
      <t>ahaan</t>
    </r>
  </si>
  <si>
    <r>
      <rPr>
        <sz val="10"/>
        <color rgb="FF414144"/>
        <rFont val="Times New Roman"/>
        <family val="1"/>
      </rPr>
      <t>2.4.7.15</t>
    </r>
  </si>
  <si>
    <r>
      <rPr>
        <sz val="8"/>
        <color rgb="FF414144"/>
        <rFont val="Arial"/>
        <family val="2"/>
      </rPr>
      <t>Risiko p</t>
    </r>
    <r>
      <rPr>
        <sz val="8"/>
        <color rgb="FF59595D"/>
        <rFont val="Arial"/>
        <family val="2"/>
      </rPr>
      <t>e</t>
    </r>
    <r>
      <rPr>
        <sz val="8"/>
        <color rgb="FF414144"/>
        <rFont val="Arial"/>
        <family val="2"/>
      </rPr>
      <t>nyertaan d</t>
    </r>
    <r>
      <rPr>
        <sz val="8"/>
        <color rgb="FF59595D"/>
        <rFont val="Arial"/>
        <family val="2"/>
      </rPr>
      <t>a</t>
    </r>
    <r>
      <rPr>
        <sz val="8"/>
        <color rgb="FF2F2F31"/>
        <rFont val="Arial"/>
        <family val="2"/>
      </rPr>
      <t xml:space="preserve">n </t>
    </r>
    <r>
      <rPr>
        <sz val="8"/>
        <color rgb="FF59595D"/>
        <rFont val="Arial"/>
        <family val="2"/>
      </rPr>
      <t>k</t>
    </r>
    <r>
      <rPr>
        <sz val="8"/>
        <color rgb="FF414144"/>
        <rFont val="Arial"/>
        <family val="2"/>
      </rPr>
      <t>e</t>
    </r>
    <r>
      <rPr>
        <sz val="8"/>
        <color rgb="FF59595D"/>
        <rFont val="Arial"/>
        <family val="2"/>
      </rPr>
      <t>rj</t>
    </r>
    <r>
      <rPr>
        <sz val="8"/>
        <color rgb="FF414144"/>
        <rFont val="Arial"/>
        <family val="2"/>
      </rPr>
      <t xml:space="preserve">a
</t>
    </r>
    <r>
      <rPr>
        <sz val="8"/>
        <color rgb="FF414144"/>
        <rFont val="Arial"/>
        <family val="2"/>
      </rPr>
      <t>sama</t>
    </r>
  </si>
  <si>
    <r>
      <rPr>
        <sz val="10"/>
        <color rgb="FF2F2F31"/>
        <rFont val="Times New Roman"/>
        <family val="1"/>
      </rPr>
      <t>2.5</t>
    </r>
  </si>
  <si>
    <r>
      <rPr>
        <sz val="8"/>
        <color rgb="FF2F2F31"/>
        <rFont val="Arial"/>
        <family val="2"/>
      </rPr>
      <t xml:space="preserve">Kategori Risiko </t>
    </r>
    <r>
      <rPr>
        <sz val="8"/>
        <color rgb="FF181A1C"/>
        <rFont val="Arial"/>
        <family val="2"/>
      </rPr>
      <t>re</t>
    </r>
    <r>
      <rPr>
        <sz val="8"/>
        <color rgb="FF414144"/>
        <rFont val="Arial"/>
        <family val="2"/>
      </rPr>
      <t xml:space="preserve">strukturisas </t>
    </r>
    <r>
      <rPr>
        <sz val="8"/>
        <color rgb="FF181A1C"/>
        <rFont val="Arial"/>
        <family val="2"/>
      </rPr>
      <t xml:space="preserve">i </t>
    </r>
    <r>
      <rPr>
        <sz val="8"/>
        <color rgb="FF414144"/>
        <rFont val="Arial"/>
        <family val="2"/>
      </rPr>
      <t xml:space="preserve">dan </t>
    </r>
    <r>
      <rPr>
        <sz val="8"/>
        <color rgb="FF181A1C"/>
        <rFont val="Arial"/>
        <family val="2"/>
      </rPr>
      <t>r</t>
    </r>
    <r>
      <rPr>
        <sz val="8"/>
        <color rgb="FF414144"/>
        <rFont val="Arial"/>
        <family val="2"/>
      </rPr>
      <t>eo</t>
    </r>
    <r>
      <rPr>
        <sz val="8"/>
        <color rgb="FF181A1C"/>
        <rFont val="Arial"/>
        <family val="2"/>
      </rPr>
      <t>r</t>
    </r>
    <r>
      <rPr>
        <sz val="8"/>
        <color rgb="FF414144"/>
        <rFont val="Arial"/>
        <family val="2"/>
      </rPr>
      <t>ga</t>
    </r>
    <r>
      <rPr>
        <sz val="8"/>
        <color rgb="FF181A1C"/>
        <rFont val="Arial"/>
        <family val="2"/>
      </rPr>
      <t>ni</t>
    </r>
    <r>
      <rPr>
        <sz val="8"/>
        <color rgb="FF414144"/>
        <rFont val="Arial"/>
        <family val="2"/>
      </rPr>
      <t>sas</t>
    </r>
    <r>
      <rPr>
        <sz val="8"/>
        <color rgb="FF181A1C"/>
        <rFont val="Arial"/>
        <family val="2"/>
      </rPr>
      <t>i</t>
    </r>
  </si>
  <si>
    <r>
      <rPr>
        <sz val="10"/>
        <color rgb="FF414144"/>
        <rFont val="Times New Roman"/>
        <family val="1"/>
      </rPr>
      <t>2.5</t>
    </r>
    <r>
      <rPr>
        <sz val="10"/>
        <color rgb="FF181A1C"/>
        <rFont val="Times New Roman"/>
        <family val="1"/>
      </rPr>
      <t>.</t>
    </r>
    <r>
      <rPr>
        <sz val="10"/>
        <color rgb="FF414144"/>
        <rFont val="Times New Roman"/>
        <family val="1"/>
      </rPr>
      <t>8</t>
    </r>
  </si>
  <si>
    <r>
      <rPr>
        <sz val="8"/>
        <color rgb="FF2F2F31"/>
        <rFont val="Arial"/>
        <family val="2"/>
      </rPr>
      <t xml:space="preserve">Peristiwa Risiko </t>
    </r>
    <r>
      <rPr>
        <sz val="8"/>
        <color rgb="FF414144"/>
        <rFont val="Arial"/>
        <family val="2"/>
      </rPr>
      <t>te</t>
    </r>
    <r>
      <rPr>
        <sz val="8"/>
        <color rgb="FF181A1C"/>
        <rFont val="Arial"/>
        <family val="2"/>
      </rPr>
      <t>r</t>
    </r>
    <r>
      <rPr>
        <sz val="8"/>
        <color rgb="FF414144"/>
        <rFont val="Arial"/>
        <family val="2"/>
      </rPr>
      <t>ka</t>
    </r>
    <r>
      <rPr>
        <sz val="8"/>
        <color rgb="FF181A1C"/>
        <rFont val="Arial"/>
        <family val="2"/>
      </rPr>
      <t xml:space="preserve">it </t>
    </r>
    <r>
      <rPr>
        <sz val="8"/>
        <color rgb="FF414144"/>
        <rFont val="Arial"/>
        <family val="2"/>
      </rPr>
      <t>penggabunga</t>
    </r>
    <r>
      <rPr>
        <sz val="8"/>
        <color rgb="FF181A1C"/>
        <rFont val="Arial"/>
        <family val="2"/>
      </rPr>
      <t>n</t>
    </r>
    <r>
      <rPr>
        <sz val="8"/>
        <color rgb="FF414144"/>
        <rFont val="Arial"/>
        <family val="2"/>
      </rPr>
      <t xml:space="preserve">, </t>
    </r>
    <r>
      <rPr>
        <sz val="8"/>
        <color rgb="FF2F2F31"/>
        <rFont val="Arial"/>
        <family val="2"/>
      </rPr>
      <t xml:space="preserve">pengambilalihan </t>
    </r>
    <r>
      <rPr>
        <sz val="8"/>
        <color rgb="FF59595D"/>
        <rFont val="Arial"/>
        <family val="2"/>
      </rPr>
      <t xml:space="preserve">, </t>
    </r>
    <r>
      <rPr>
        <sz val="8"/>
        <color rgb="FF2F2F31"/>
        <rFont val="Arial"/>
        <family val="2"/>
      </rPr>
      <t>peleburan, pemisahan</t>
    </r>
    <r>
      <rPr>
        <sz val="8"/>
        <color rgb="FF59595D"/>
        <rFont val="Arial"/>
        <family val="2"/>
      </rPr>
      <t xml:space="preserve">, </t>
    </r>
    <r>
      <rPr>
        <sz val="8"/>
        <color rgb="FF2F2F31"/>
        <rFont val="Arial"/>
        <family val="2"/>
      </rPr>
      <t>pembubaran</t>
    </r>
    <r>
      <rPr>
        <sz val="8"/>
        <color rgb="FF59595D"/>
        <rFont val="Arial"/>
        <family val="2"/>
      </rPr>
      <t xml:space="preserve">, </t>
    </r>
    <r>
      <rPr>
        <sz val="8"/>
        <color rgb="FF181A1C"/>
        <rFont val="Arial"/>
        <family val="2"/>
      </rPr>
      <t>likui</t>
    </r>
    <r>
      <rPr>
        <sz val="8"/>
        <color rgb="FF414144"/>
        <rFont val="Arial"/>
        <family val="2"/>
      </rPr>
      <t>dasi</t>
    </r>
    <r>
      <rPr>
        <sz val="8"/>
        <color rgb="FF59595D"/>
        <rFont val="Arial"/>
        <family val="2"/>
      </rPr>
      <t xml:space="preserve">,
</t>
    </r>
    <r>
      <rPr>
        <sz val="8"/>
        <color rgb="FF2F2F31"/>
        <rFont val="Arial"/>
        <family val="2"/>
      </rPr>
      <t xml:space="preserve">dan </t>
    </r>
    <r>
      <rPr>
        <sz val="8"/>
        <color rgb="FF414144"/>
        <rFont val="Arial"/>
        <family val="2"/>
      </rPr>
      <t>rest</t>
    </r>
    <r>
      <rPr>
        <sz val="8"/>
        <color rgb="FF181A1C"/>
        <rFont val="Arial"/>
        <family val="2"/>
      </rPr>
      <t>rukturi</t>
    </r>
    <r>
      <rPr>
        <sz val="8"/>
        <color rgb="FF414144"/>
        <rFont val="Arial"/>
        <family val="2"/>
      </rPr>
      <t>sasi</t>
    </r>
  </si>
  <si>
    <r>
      <rPr>
        <sz val="10"/>
        <color rgb="FF2F2F31"/>
        <rFont val="Times New Roman"/>
        <family val="1"/>
      </rPr>
      <t>2.5.8.16</t>
    </r>
  </si>
  <si>
    <r>
      <rPr>
        <sz val="8"/>
        <color rgb="FF414144"/>
        <rFont val="Arial"/>
        <family val="2"/>
      </rPr>
      <t>R</t>
    </r>
    <r>
      <rPr>
        <sz val="8"/>
        <color rgb="FF181A1C"/>
        <rFont val="Arial"/>
        <family val="2"/>
      </rPr>
      <t>i</t>
    </r>
    <r>
      <rPr>
        <sz val="8"/>
        <color rgb="FF414144"/>
        <rFont val="Arial"/>
        <family val="2"/>
      </rPr>
      <t xml:space="preserve">siko merg </t>
    </r>
    <r>
      <rPr>
        <sz val="8"/>
        <color rgb="FF59595D"/>
        <rFont val="Arial"/>
        <family val="2"/>
      </rPr>
      <t>e</t>
    </r>
    <r>
      <rPr>
        <sz val="8"/>
        <color rgb="FF2F2F31"/>
        <rFont val="Arial"/>
        <family val="2"/>
      </rPr>
      <t>r</t>
    </r>
    <r>
      <rPr>
        <sz val="8"/>
        <color rgb="FF757579"/>
        <rFont val="Arial"/>
        <family val="2"/>
      </rPr>
      <t xml:space="preserve">, </t>
    </r>
    <r>
      <rPr>
        <sz val="8"/>
        <color rgb="FF414144"/>
        <rFont val="Arial"/>
        <family val="2"/>
      </rPr>
      <t>akuisis</t>
    </r>
    <r>
      <rPr>
        <sz val="8"/>
        <color rgb="FF59595D"/>
        <rFont val="Arial"/>
        <family val="2"/>
      </rPr>
      <t xml:space="preserve">i, </t>
    </r>
    <r>
      <rPr>
        <sz val="8"/>
        <color rgb="FF414144"/>
        <rFont val="Arial"/>
        <family val="2"/>
      </rPr>
      <t>ke</t>
    </r>
    <r>
      <rPr>
        <sz val="8"/>
        <color rgb="FF181A1C"/>
        <rFont val="Arial"/>
        <family val="2"/>
      </rPr>
      <t>rj</t>
    </r>
    <r>
      <rPr>
        <sz val="8"/>
        <color rgb="FF414144"/>
        <rFont val="Arial"/>
        <family val="2"/>
      </rPr>
      <t xml:space="preserve">a sama </t>
    </r>
    <r>
      <rPr>
        <sz val="8"/>
        <color rgb="FF59595D"/>
        <rFont val="Arial"/>
        <family val="2"/>
      </rPr>
      <t>s</t>
    </r>
    <r>
      <rPr>
        <sz val="8"/>
        <color rgb="FF414144"/>
        <rFont val="Arial"/>
        <family val="2"/>
      </rPr>
      <t>t</t>
    </r>
    <r>
      <rPr>
        <sz val="8"/>
        <color rgb="FF181A1C"/>
        <rFont val="Arial"/>
        <family val="2"/>
      </rPr>
      <t>r</t>
    </r>
    <r>
      <rPr>
        <sz val="8"/>
        <color rgb="FF414144"/>
        <rFont val="Arial"/>
        <family val="2"/>
      </rPr>
      <t xml:space="preserve">ategis dan
</t>
    </r>
    <r>
      <rPr>
        <sz val="8"/>
        <color rgb="FF414144"/>
        <rFont val="Arial"/>
        <family val="2"/>
      </rPr>
      <t>privat</t>
    </r>
    <r>
      <rPr>
        <sz val="8"/>
        <color rgb="FF181A1C"/>
        <rFont val="Arial"/>
        <family val="2"/>
      </rPr>
      <t>i</t>
    </r>
    <r>
      <rPr>
        <sz val="8"/>
        <color rgb="FF414144"/>
        <rFont val="Arial"/>
        <family val="2"/>
      </rPr>
      <t>sas</t>
    </r>
    <r>
      <rPr>
        <sz val="8"/>
        <color rgb="FF181A1C"/>
        <rFont val="Arial"/>
        <family val="2"/>
      </rPr>
      <t>i</t>
    </r>
  </si>
  <si>
    <r>
      <rPr>
        <sz val="10"/>
        <color rgb="FF414144"/>
        <rFont val="Times New Roman"/>
        <family val="1"/>
      </rPr>
      <t>2.5.8</t>
    </r>
    <r>
      <rPr>
        <sz val="10"/>
        <color rgb="FF181A1C"/>
        <rFont val="Times New Roman"/>
        <family val="1"/>
      </rPr>
      <t>.17</t>
    </r>
  </si>
  <si>
    <r>
      <rPr>
        <sz val="8"/>
        <color rgb="FF181A1C"/>
        <rFont val="Arial"/>
        <family val="2"/>
      </rPr>
      <t>Ri</t>
    </r>
    <r>
      <rPr>
        <sz val="8"/>
        <color rgb="FF414144"/>
        <rFont val="Arial"/>
        <family val="2"/>
      </rPr>
      <t>s</t>
    </r>
    <r>
      <rPr>
        <sz val="8"/>
        <color rgb="FF181A1C"/>
        <rFont val="Arial"/>
        <family val="2"/>
      </rPr>
      <t>ik</t>
    </r>
    <r>
      <rPr>
        <sz val="8"/>
        <color rgb="FF414144"/>
        <rFont val="Arial"/>
        <family val="2"/>
      </rPr>
      <t xml:space="preserve">o </t>
    </r>
    <r>
      <rPr>
        <sz val="8"/>
        <color rgb="FF2F2F31"/>
        <rFont val="Arial"/>
        <family val="2"/>
      </rPr>
      <t xml:space="preserve">perubahan </t>
    </r>
    <r>
      <rPr>
        <sz val="8"/>
        <color rgb="FF414144"/>
        <rFont val="Arial"/>
        <family val="2"/>
      </rPr>
      <t>s</t>
    </r>
    <r>
      <rPr>
        <sz val="8"/>
        <color rgb="FF181A1C"/>
        <rFont val="Arial"/>
        <family val="2"/>
      </rPr>
      <t>trukt</t>
    </r>
    <r>
      <rPr>
        <sz val="8"/>
        <color rgb="FF414144"/>
        <rFont val="Arial"/>
        <family val="2"/>
      </rPr>
      <t>u</t>
    </r>
    <r>
      <rPr>
        <sz val="8"/>
        <color rgb="FF181A1C"/>
        <rFont val="Arial"/>
        <family val="2"/>
      </rPr>
      <t xml:space="preserve">r </t>
    </r>
    <r>
      <rPr>
        <sz val="8"/>
        <color rgb="FF414144"/>
        <rFont val="Arial"/>
        <family val="2"/>
      </rPr>
      <t>organ</t>
    </r>
    <r>
      <rPr>
        <sz val="8"/>
        <color rgb="FF181A1C"/>
        <rFont val="Arial"/>
        <family val="2"/>
      </rPr>
      <t>i</t>
    </r>
    <r>
      <rPr>
        <sz val="8"/>
        <color rgb="FF414144"/>
        <rFont val="Arial"/>
        <family val="2"/>
      </rPr>
      <t>sas</t>
    </r>
    <r>
      <rPr>
        <sz val="8"/>
        <color rgb="FF181A1C"/>
        <rFont val="Arial"/>
        <family val="2"/>
      </rPr>
      <t>i</t>
    </r>
  </si>
  <si>
    <r>
      <rPr>
        <sz val="8"/>
        <color rgb="FF181A1C"/>
        <rFont val="Arial"/>
        <family val="2"/>
      </rPr>
      <t>T</t>
    </r>
    <r>
      <rPr>
        <sz val="8"/>
        <color rgb="FF414144"/>
        <rFont val="Arial"/>
        <family val="2"/>
      </rPr>
      <t xml:space="preserve">erna </t>
    </r>
    <r>
      <rPr>
        <sz val="8"/>
        <color rgb="FF2F2F31"/>
        <rFont val="Arial"/>
        <family val="2"/>
      </rPr>
      <t>R</t>
    </r>
    <r>
      <rPr>
        <sz val="8"/>
        <color rgb="FF59595D"/>
        <rFont val="Arial"/>
        <family val="2"/>
      </rPr>
      <t>i</t>
    </r>
    <r>
      <rPr>
        <sz val="8"/>
        <color rgb="FF414144"/>
        <rFont val="Arial"/>
        <family val="2"/>
      </rPr>
      <t>s</t>
    </r>
    <r>
      <rPr>
        <sz val="8"/>
        <color rgb="FF181A1C"/>
        <rFont val="Arial"/>
        <family val="2"/>
      </rPr>
      <t>ik</t>
    </r>
    <r>
      <rPr>
        <sz val="8"/>
        <color rgb="FF414144"/>
        <rFont val="Arial"/>
        <family val="2"/>
      </rPr>
      <t xml:space="preserve">o bisnis </t>
    </r>
    <r>
      <rPr>
        <sz val="8"/>
        <color rgb="FF2F2F31"/>
        <rFont val="Arial"/>
        <family val="2"/>
      </rPr>
      <t>BUMN</t>
    </r>
  </si>
  <si>
    <r>
      <rPr>
        <sz val="10"/>
        <color rgb="FF2F2F31"/>
        <rFont val="Times New Roman"/>
        <family val="1"/>
      </rPr>
      <t>3.6</t>
    </r>
  </si>
  <si>
    <r>
      <rPr>
        <sz val="8"/>
        <color rgb="FF414144"/>
        <rFont val="Arial"/>
        <family val="2"/>
      </rPr>
      <t>Katego</t>
    </r>
    <r>
      <rPr>
        <sz val="8"/>
        <color rgb="FF181A1C"/>
        <rFont val="Arial"/>
        <family val="2"/>
      </rPr>
      <t>r</t>
    </r>
    <r>
      <rPr>
        <sz val="8"/>
        <color rgb="FF414144"/>
        <rFont val="Arial"/>
        <family val="2"/>
      </rPr>
      <t xml:space="preserve">i </t>
    </r>
    <r>
      <rPr>
        <sz val="8"/>
        <color rgb="FF2F2F31"/>
        <rFont val="Arial"/>
        <family val="2"/>
      </rPr>
      <t>Risiko industri umum</t>
    </r>
  </si>
  <si>
    <r>
      <rPr>
        <sz val="10"/>
        <color rgb="FF414144"/>
        <rFont val="Times New Roman"/>
        <family val="1"/>
      </rPr>
      <t>3</t>
    </r>
    <r>
      <rPr>
        <sz val="10"/>
        <color rgb="FF59595D"/>
        <rFont val="Times New Roman"/>
        <family val="1"/>
      </rPr>
      <t>.</t>
    </r>
    <r>
      <rPr>
        <sz val="10"/>
        <color rgb="FF414144"/>
        <rFont val="Times New Roman"/>
        <family val="1"/>
      </rPr>
      <t>6.9</t>
    </r>
  </si>
  <si>
    <r>
      <rPr>
        <sz val="8"/>
        <color rgb="FF2F2F31"/>
        <rFont val="Arial"/>
        <family val="2"/>
      </rPr>
      <t xml:space="preserve">Peristiwa </t>
    </r>
    <r>
      <rPr>
        <sz val="8"/>
        <color rgb="FF181A1C"/>
        <rFont val="Arial"/>
        <family val="2"/>
      </rPr>
      <t>Ri</t>
    </r>
    <r>
      <rPr>
        <sz val="8"/>
        <color rgb="FF414144"/>
        <rFont val="Arial"/>
        <family val="2"/>
      </rPr>
      <t xml:space="preserve">siko </t>
    </r>
    <r>
      <rPr>
        <sz val="8"/>
        <color rgb="FF2F2F31"/>
        <rFont val="Arial"/>
        <family val="2"/>
      </rPr>
      <t xml:space="preserve">terkait </t>
    </r>
    <r>
      <rPr>
        <sz val="8"/>
        <color rgb="FF414144"/>
        <rFont val="Arial"/>
        <family val="2"/>
      </rPr>
      <t>form</t>
    </r>
    <r>
      <rPr>
        <sz val="8"/>
        <color rgb="FF181A1C"/>
        <rFont val="Arial"/>
        <family val="2"/>
      </rPr>
      <t>ul</t>
    </r>
    <r>
      <rPr>
        <sz val="8"/>
        <color rgb="FF414144"/>
        <rFont val="Arial"/>
        <family val="2"/>
      </rPr>
      <t>as</t>
    </r>
    <r>
      <rPr>
        <sz val="8"/>
        <color rgb="FF181A1C"/>
        <rFont val="Arial"/>
        <family val="2"/>
      </rPr>
      <t xml:space="preserve">i </t>
    </r>
    <r>
      <rPr>
        <sz val="8"/>
        <color rgb="FF414144"/>
        <rFont val="Arial"/>
        <family val="2"/>
      </rPr>
      <t>st</t>
    </r>
    <r>
      <rPr>
        <sz val="8"/>
        <color rgb="FF181A1C"/>
        <rFont val="Arial"/>
        <family val="2"/>
      </rPr>
      <t>r</t>
    </r>
    <r>
      <rPr>
        <sz val="8"/>
        <color rgb="FF414144"/>
        <rFont val="Arial"/>
        <family val="2"/>
      </rPr>
      <t>ateg</t>
    </r>
    <r>
      <rPr>
        <sz val="8"/>
        <color rgb="FF59595D"/>
        <rFont val="Arial"/>
        <family val="2"/>
      </rPr>
      <t>i</t>
    </r>
    <r>
      <rPr>
        <sz val="8"/>
        <color rgb="FF414144"/>
        <rFont val="Arial"/>
        <family val="2"/>
      </rPr>
      <t>s</t>
    </r>
  </si>
  <si>
    <r>
      <rPr>
        <sz val="10"/>
        <color rgb="FF414144"/>
        <rFont val="Times New Roman"/>
        <family val="1"/>
      </rPr>
      <t>3</t>
    </r>
    <r>
      <rPr>
        <sz val="10"/>
        <color theme="1"/>
        <rFont val="Times New Roman"/>
        <family val="1"/>
      </rPr>
      <t>.</t>
    </r>
    <r>
      <rPr>
        <sz val="10"/>
        <color rgb="FF2F2F31"/>
        <rFont val="Times New Roman"/>
        <family val="1"/>
      </rPr>
      <t>6.9.18</t>
    </r>
  </si>
  <si>
    <r>
      <rPr>
        <sz val="8"/>
        <color rgb="FF2F2F31"/>
        <rFont val="Arial"/>
        <family val="2"/>
      </rPr>
      <t>Risik</t>
    </r>
    <r>
      <rPr>
        <sz val="8"/>
        <color rgb="FF59595D"/>
        <rFont val="Arial"/>
        <family val="2"/>
      </rPr>
      <t xml:space="preserve">o </t>
    </r>
    <r>
      <rPr>
        <sz val="8"/>
        <color rgb="FF414144"/>
        <rFont val="Arial"/>
        <family val="2"/>
      </rPr>
      <t>kine</t>
    </r>
    <r>
      <rPr>
        <sz val="8"/>
        <color rgb="FF181A1C"/>
        <rFont val="Arial"/>
        <family val="2"/>
      </rPr>
      <t>r</t>
    </r>
    <r>
      <rPr>
        <sz val="8"/>
        <color rgb="FF414144"/>
        <rFont val="Arial"/>
        <family val="2"/>
      </rPr>
      <t>ja P</t>
    </r>
    <r>
      <rPr>
        <sz val="8"/>
        <color rgb="FF59595D"/>
        <rFont val="Arial"/>
        <family val="2"/>
      </rPr>
      <t>e</t>
    </r>
    <r>
      <rPr>
        <sz val="8"/>
        <color rgb="FF181A1C"/>
        <rFont val="Arial"/>
        <family val="2"/>
      </rPr>
      <t>r</t>
    </r>
    <r>
      <rPr>
        <sz val="8"/>
        <color rgb="FF414144"/>
        <rFont val="Arial"/>
        <family val="2"/>
      </rPr>
      <t>u</t>
    </r>
    <r>
      <rPr>
        <sz val="8"/>
        <color rgb="FF59595D"/>
        <rFont val="Arial"/>
        <family val="2"/>
      </rPr>
      <t>s</t>
    </r>
    <r>
      <rPr>
        <sz val="8"/>
        <color rgb="FF414144"/>
        <rFont val="Arial"/>
        <family val="2"/>
      </rPr>
      <t>ahaan</t>
    </r>
  </si>
  <si>
    <r>
      <rPr>
        <sz val="10"/>
        <color rgb="FF414144"/>
        <rFont val="Times New Roman"/>
        <family val="1"/>
      </rPr>
      <t>3.6.9.19</t>
    </r>
  </si>
  <si>
    <r>
      <rPr>
        <sz val="8"/>
        <color rgb="FF2F2F31"/>
        <rFont val="Arial"/>
        <family val="2"/>
      </rPr>
      <t xml:space="preserve">Risiko </t>
    </r>
    <r>
      <rPr>
        <sz val="8"/>
        <color rgb="FF414144"/>
        <rFont val="Arial"/>
        <family val="2"/>
      </rPr>
      <t>ana</t>
    </r>
    <r>
      <rPr>
        <sz val="8"/>
        <color rgb="FF181A1C"/>
        <rFont val="Arial"/>
        <family val="2"/>
      </rPr>
      <t>l</t>
    </r>
    <r>
      <rPr>
        <sz val="8"/>
        <color rgb="FF414144"/>
        <rFont val="Arial"/>
        <family val="2"/>
      </rPr>
      <t>is</t>
    </r>
    <r>
      <rPr>
        <sz val="8"/>
        <color rgb="FF59595D"/>
        <rFont val="Arial"/>
        <family val="2"/>
      </rPr>
      <t xml:space="preserve">a </t>
    </r>
    <r>
      <rPr>
        <sz val="8"/>
        <color rgb="FF414144"/>
        <rFont val="Arial"/>
        <family val="2"/>
      </rPr>
      <t xml:space="preserve">lingkungan
</t>
    </r>
    <r>
      <rPr>
        <sz val="8"/>
        <color rgb="FF414144"/>
        <rFont val="Arial"/>
        <family val="2"/>
      </rPr>
      <t>b</t>
    </r>
    <r>
      <rPr>
        <sz val="8"/>
        <color rgb="FF59595D"/>
        <rFont val="Arial"/>
        <family val="2"/>
      </rPr>
      <t>i</t>
    </r>
    <r>
      <rPr>
        <sz val="8"/>
        <color rgb="FF414144"/>
        <rFont val="Arial"/>
        <family val="2"/>
      </rPr>
      <t>sni</t>
    </r>
    <r>
      <rPr>
        <sz val="8"/>
        <color rgb="FF59595D"/>
        <rFont val="Arial"/>
        <family val="2"/>
      </rPr>
      <t>s</t>
    </r>
  </si>
  <si>
    <r>
      <rPr>
        <sz val="10"/>
        <color rgb="FF414144"/>
        <rFont val="Times New Roman"/>
        <family val="1"/>
      </rPr>
      <t>3.6.9.20</t>
    </r>
  </si>
  <si>
    <r>
      <rPr>
        <sz val="8"/>
        <color rgb="FF2F2F31"/>
        <rFont val="Arial"/>
        <family val="2"/>
      </rPr>
      <t xml:space="preserve">Risiko </t>
    </r>
    <r>
      <rPr>
        <sz val="8"/>
        <color rgb="FF414144"/>
        <rFont val="Arial"/>
        <family val="2"/>
      </rPr>
      <t>p</t>
    </r>
    <r>
      <rPr>
        <sz val="8"/>
        <color rgb="FF59595D"/>
        <rFont val="Arial"/>
        <family val="2"/>
      </rPr>
      <t>e</t>
    </r>
    <r>
      <rPr>
        <sz val="8"/>
        <color rgb="FF181A1C"/>
        <rFont val="Arial"/>
        <family val="2"/>
      </rPr>
      <t>r</t>
    </r>
    <r>
      <rPr>
        <sz val="8"/>
        <color rgb="FF414144"/>
        <rFont val="Arial"/>
        <family val="2"/>
      </rPr>
      <t>en</t>
    </r>
    <r>
      <rPr>
        <sz val="8"/>
        <color rgb="FF59595D"/>
        <rFont val="Arial"/>
        <family val="2"/>
      </rPr>
      <t>ca</t>
    </r>
    <r>
      <rPr>
        <sz val="8"/>
        <color rgb="FF414144"/>
        <rFont val="Arial"/>
        <family val="2"/>
      </rPr>
      <t>n</t>
    </r>
    <r>
      <rPr>
        <sz val="8"/>
        <color rgb="FF59595D"/>
        <rFont val="Arial"/>
        <family val="2"/>
      </rPr>
      <t>a</t>
    </r>
    <r>
      <rPr>
        <sz val="8"/>
        <color rgb="FF414144"/>
        <rFont val="Arial"/>
        <family val="2"/>
      </rPr>
      <t xml:space="preserve">an
</t>
    </r>
    <r>
      <rPr>
        <sz val="8"/>
        <color rgb="FF59595D"/>
        <rFont val="Arial"/>
        <family val="2"/>
      </rPr>
      <t>s</t>
    </r>
    <r>
      <rPr>
        <sz val="8"/>
        <color rgb="FF414144"/>
        <rFont val="Arial"/>
        <family val="2"/>
      </rPr>
      <t>trat</t>
    </r>
    <r>
      <rPr>
        <sz val="8"/>
        <color rgb="FF59595D"/>
        <rFont val="Arial"/>
        <family val="2"/>
      </rPr>
      <t>e</t>
    </r>
    <r>
      <rPr>
        <sz val="8"/>
        <color rgb="FF414144"/>
        <rFont val="Arial"/>
        <family val="2"/>
      </rPr>
      <t>gi</t>
    </r>
    <r>
      <rPr>
        <sz val="8"/>
        <color rgb="FF59595D"/>
        <rFont val="Arial"/>
        <family val="2"/>
      </rPr>
      <t>s</t>
    </r>
  </si>
  <si>
    <r>
      <rPr>
        <sz val="10"/>
        <color rgb="FF414144"/>
        <rFont val="Times New Roman"/>
        <family val="1"/>
      </rPr>
      <t>3.6.9.21</t>
    </r>
  </si>
  <si>
    <r>
      <rPr>
        <sz val="8"/>
        <color rgb="FF414144"/>
        <rFont val="Arial"/>
        <family val="2"/>
      </rPr>
      <t xml:space="preserve">Risiko </t>
    </r>
    <r>
      <rPr>
        <sz val="8"/>
        <color rgb="FF59595D"/>
        <rFont val="Arial"/>
        <family val="2"/>
      </rPr>
      <t>e</t>
    </r>
    <r>
      <rPr>
        <sz val="8"/>
        <color rgb="FF414144"/>
        <rFont val="Arial"/>
        <family val="2"/>
      </rPr>
      <t>ks</t>
    </r>
    <r>
      <rPr>
        <sz val="8"/>
        <color rgb="FF59595D"/>
        <rFont val="Arial"/>
        <family val="2"/>
      </rPr>
      <t>e</t>
    </r>
    <r>
      <rPr>
        <sz val="8"/>
        <color rgb="FF414144"/>
        <rFont val="Arial"/>
        <family val="2"/>
      </rPr>
      <t>ku</t>
    </r>
    <r>
      <rPr>
        <sz val="8"/>
        <color rgb="FF59595D"/>
        <rFont val="Arial"/>
        <family val="2"/>
      </rPr>
      <t>s</t>
    </r>
    <r>
      <rPr>
        <sz val="8"/>
        <color rgb="FF414144"/>
        <rFont val="Arial"/>
        <family val="2"/>
      </rPr>
      <t xml:space="preserve">i </t>
    </r>
    <r>
      <rPr>
        <sz val="8"/>
        <color rgb="FF59595D"/>
        <rFont val="Arial"/>
        <family val="2"/>
      </rPr>
      <t>s</t>
    </r>
    <r>
      <rPr>
        <sz val="8"/>
        <color rgb="FF414144"/>
        <rFont val="Arial"/>
        <family val="2"/>
      </rPr>
      <t>trateg</t>
    </r>
    <r>
      <rPr>
        <sz val="8"/>
        <color rgb="FF59595D"/>
        <rFont val="Arial"/>
        <family val="2"/>
      </rPr>
      <t>i</t>
    </r>
    <r>
      <rPr>
        <sz val="8"/>
        <color rgb="FF414144"/>
        <rFont val="Arial"/>
        <family val="2"/>
      </rPr>
      <t>s</t>
    </r>
  </si>
  <si>
    <t>3.6.10</t>
  </si>
  <si>
    <r>
      <rPr>
        <sz val="8"/>
        <color rgb="FF2F2F31"/>
        <rFont val="Arial"/>
        <family val="2"/>
      </rPr>
      <t xml:space="preserve">Peristiwa </t>
    </r>
    <r>
      <rPr>
        <sz val="8"/>
        <color rgb="FF414144"/>
        <rFont val="Arial"/>
        <family val="2"/>
      </rPr>
      <t>Risik</t>
    </r>
    <r>
      <rPr>
        <sz val="8"/>
        <color rgb="FF59595D"/>
        <rFont val="Arial"/>
        <family val="2"/>
      </rPr>
      <t xml:space="preserve">o </t>
    </r>
    <r>
      <rPr>
        <sz val="8"/>
        <color rgb="FF2F2F31"/>
        <rFont val="Arial"/>
        <family val="2"/>
      </rPr>
      <t>terka</t>
    </r>
    <r>
      <rPr>
        <sz val="8"/>
        <color rgb="FF59595D"/>
        <rFont val="Arial"/>
        <family val="2"/>
      </rPr>
      <t>i</t>
    </r>
    <r>
      <rPr>
        <sz val="8"/>
        <color rgb="FF2F2F31"/>
        <rFont val="Arial"/>
        <family val="2"/>
      </rPr>
      <t xml:space="preserve">t </t>
    </r>
    <r>
      <rPr>
        <sz val="8"/>
        <color rgb="FF414144"/>
        <rFont val="Arial"/>
        <family val="2"/>
      </rPr>
      <t>pas</t>
    </r>
    <r>
      <rPr>
        <sz val="8"/>
        <color rgb="FF59595D"/>
        <rFont val="Arial"/>
        <family val="2"/>
      </rPr>
      <t>a</t>
    </r>
    <r>
      <rPr>
        <sz val="8"/>
        <color rgb="FF414144"/>
        <rFont val="Arial"/>
        <family val="2"/>
      </rPr>
      <t>r dan makro ekonomi</t>
    </r>
  </si>
  <si>
    <r>
      <rPr>
        <sz val="10"/>
        <color rgb="FF414144"/>
        <rFont val="Times New Roman"/>
        <family val="1"/>
      </rPr>
      <t>3.6.10.22</t>
    </r>
  </si>
  <si>
    <r>
      <rPr>
        <sz val="8"/>
        <color rgb="FF414144"/>
        <rFont val="Arial"/>
        <family val="2"/>
      </rPr>
      <t>R</t>
    </r>
    <r>
      <rPr>
        <sz val="8"/>
        <color rgb="FF59595D"/>
        <rFont val="Arial"/>
        <family val="2"/>
      </rPr>
      <t>i</t>
    </r>
    <r>
      <rPr>
        <sz val="8"/>
        <color rgb="FF414144"/>
        <rFont val="Arial"/>
        <family val="2"/>
      </rPr>
      <t xml:space="preserve">siko </t>
    </r>
    <r>
      <rPr>
        <sz val="8"/>
        <color rgb="FF2F2F31"/>
        <rFont val="Arial"/>
        <family val="2"/>
      </rPr>
      <t xml:space="preserve">harga </t>
    </r>
    <r>
      <rPr>
        <sz val="8"/>
        <color rgb="FF59595D"/>
        <rFont val="Arial"/>
        <family val="2"/>
      </rPr>
      <t>k</t>
    </r>
    <r>
      <rPr>
        <sz val="8"/>
        <color rgb="FF414144"/>
        <rFont val="Arial"/>
        <family val="2"/>
      </rPr>
      <t>om</t>
    </r>
    <r>
      <rPr>
        <sz val="8"/>
        <color rgb="FF59595D"/>
        <rFont val="Arial"/>
        <family val="2"/>
      </rPr>
      <t>o</t>
    </r>
    <r>
      <rPr>
        <sz val="8"/>
        <color rgb="FF414144"/>
        <rFont val="Arial"/>
        <family val="2"/>
      </rPr>
      <t>dit</t>
    </r>
    <r>
      <rPr>
        <sz val="8"/>
        <color rgb="FF59595D"/>
        <rFont val="Arial"/>
        <family val="2"/>
      </rPr>
      <t>as</t>
    </r>
  </si>
  <si>
    <r>
      <rPr>
        <sz val="10"/>
        <color rgb="FF414144"/>
        <rFont val="Times New Roman"/>
        <family val="1"/>
      </rPr>
      <t>3.6.10.23</t>
    </r>
  </si>
  <si>
    <r>
      <rPr>
        <sz val="8"/>
        <color rgb="FF414144"/>
        <rFont val="Arial"/>
        <family val="2"/>
      </rPr>
      <t>Risiko k</t>
    </r>
    <r>
      <rPr>
        <sz val="8"/>
        <color rgb="FF59595D"/>
        <rFont val="Arial"/>
        <family val="2"/>
      </rPr>
      <t>o</t>
    </r>
    <r>
      <rPr>
        <sz val="8"/>
        <color rgb="FF414144"/>
        <rFont val="Arial"/>
        <family val="2"/>
      </rPr>
      <t>ndi</t>
    </r>
    <r>
      <rPr>
        <sz val="8"/>
        <color rgb="FF59595D"/>
        <rFont val="Arial"/>
        <family val="2"/>
      </rPr>
      <t>s</t>
    </r>
    <r>
      <rPr>
        <sz val="8"/>
        <color rgb="FF414144"/>
        <rFont val="Arial"/>
        <family val="2"/>
      </rPr>
      <t xml:space="preserve">i </t>
    </r>
    <r>
      <rPr>
        <sz val="8"/>
        <color rgb="FF59595D"/>
        <rFont val="Arial"/>
        <family val="2"/>
      </rPr>
      <t>e</t>
    </r>
    <r>
      <rPr>
        <sz val="8"/>
        <color rgb="FF414144"/>
        <rFont val="Arial"/>
        <family val="2"/>
      </rPr>
      <t>k</t>
    </r>
    <r>
      <rPr>
        <sz val="8"/>
        <color rgb="FF59595D"/>
        <rFont val="Arial"/>
        <family val="2"/>
      </rPr>
      <t>o</t>
    </r>
    <r>
      <rPr>
        <sz val="8"/>
        <color rgb="FF181A1C"/>
        <rFont val="Arial"/>
        <family val="2"/>
      </rPr>
      <t>n</t>
    </r>
    <r>
      <rPr>
        <sz val="8"/>
        <color rgb="FF59595D"/>
        <rFont val="Arial"/>
        <family val="2"/>
      </rPr>
      <t>o</t>
    </r>
    <r>
      <rPr>
        <sz val="8"/>
        <color rgb="FF414144"/>
        <rFont val="Arial"/>
        <family val="2"/>
      </rPr>
      <t>m</t>
    </r>
    <r>
      <rPr>
        <sz val="8"/>
        <color rgb="FF59595D"/>
        <rFont val="Arial"/>
        <family val="2"/>
      </rPr>
      <t xml:space="preserve">i
</t>
    </r>
    <r>
      <rPr>
        <sz val="8"/>
        <color rgb="FF414144"/>
        <rFont val="Arial"/>
        <family val="2"/>
      </rPr>
      <t>globa</t>
    </r>
    <r>
      <rPr>
        <sz val="8"/>
        <color rgb="FF181A1C"/>
        <rFont val="Arial"/>
        <family val="2"/>
      </rPr>
      <t>l</t>
    </r>
  </si>
  <si>
    <r>
      <rPr>
        <sz val="10"/>
        <color rgb="FF2F2F31"/>
        <rFont val="Times New Roman"/>
        <family val="1"/>
      </rPr>
      <t>3.6.10.24</t>
    </r>
  </si>
  <si>
    <r>
      <rPr>
        <sz val="8"/>
        <color rgb="FF414144"/>
        <rFont val="Arial"/>
        <family val="2"/>
      </rPr>
      <t>Ris</t>
    </r>
    <r>
      <rPr>
        <sz val="8"/>
        <color rgb="FF181A1C"/>
        <rFont val="Arial"/>
        <family val="2"/>
      </rPr>
      <t>ik</t>
    </r>
    <r>
      <rPr>
        <sz val="8"/>
        <color rgb="FF414144"/>
        <rFont val="Arial"/>
        <family val="2"/>
      </rPr>
      <t xml:space="preserve">o </t>
    </r>
    <r>
      <rPr>
        <sz val="8"/>
        <color rgb="FF59595D"/>
        <rFont val="Arial"/>
        <family val="2"/>
      </rPr>
      <t>s</t>
    </r>
    <r>
      <rPr>
        <sz val="8"/>
        <color rgb="FF414144"/>
        <rFont val="Arial"/>
        <family val="2"/>
      </rPr>
      <t>uku bunga</t>
    </r>
  </si>
  <si>
    <r>
      <rPr>
        <sz val="10"/>
        <color rgb="FF2F2F31"/>
        <rFont val="Times New Roman"/>
        <family val="1"/>
      </rPr>
      <t>3.6.10.25</t>
    </r>
  </si>
  <si>
    <r>
      <rPr>
        <sz val="8"/>
        <color rgb="FF414144"/>
        <rFont val="Arial"/>
        <family val="2"/>
      </rPr>
      <t>Ris</t>
    </r>
    <r>
      <rPr>
        <sz val="8"/>
        <color rgb="FF181A1C"/>
        <rFont val="Arial"/>
        <family val="2"/>
      </rPr>
      <t>ik</t>
    </r>
    <r>
      <rPr>
        <sz val="8"/>
        <color rgb="FF414144"/>
        <rFont val="Arial"/>
        <family val="2"/>
      </rPr>
      <t xml:space="preserve">o </t>
    </r>
    <r>
      <rPr>
        <sz val="8"/>
        <color rgb="FF181A1C"/>
        <rFont val="Arial"/>
        <family val="2"/>
      </rPr>
      <t>n</t>
    </r>
    <r>
      <rPr>
        <sz val="8"/>
        <color rgb="FF59595D"/>
        <rFont val="Arial"/>
        <family val="2"/>
      </rPr>
      <t>i</t>
    </r>
    <r>
      <rPr>
        <sz val="8"/>
        <color rgb="FF414144"/>
        <rFont val="Arial"/>
        <family val="2"/>
      </rPr>
      <t xml:space="preserve">lai </t>
    </r>
    <r>
      <rPr>
        <sz val="8"/>
        <color rgb="FF2F2F31"/>
        <rFont val="Arial"/>
        <family val="2"/>
      </rPr>
      <t>tukar</t>
    </r>
  </si>
  <si>
    <r>
      <rPr>
        <sz val="10"/>
        <color rgb="FF414144"/>
        <rFont val="Times New Roman"/>
        <family val="1"/>
      </rPr>
      <t>3.6.10</t>
    </r>
    <r>
      <rPr>
        <sz val="10"/>
        <color rgb="FF59595D"/>
        <rFont val="Times New Roman"/>
        <family val="1"/>
      </rPr>
      <t>.</t>
    </r>
    <r>
      <rPr>
        <sz val="10"/>
        <color rgb="FF2F2F31"/>
        <rFont val="Times New Roman"/>
        <family val="1"/>
      </rPr>
      <t>26</t>
    </r>
  </si>
  <si>
    <r>
      <rPr>
        <sz val="8"/>
        <color rgb="FF414144"/>
        <rFont val="Arial"/>
        <family val="2"/>
      </rPr>
      <t>Ris</t>
    </r>
    <r>
      <rPr>
        <sz val="8"/>
        <color rgb="FF181A1C"/>
        <rFont val="Arial"/>
        <family val="2"/>
      </rPr>
      <t>ik</t>
    </r>
    <r>
      <rPr>
        <sz val="8"/>
        <color rgb="FF414144"/>
        <rFont val="Arial"/>
        <family val="2"/>
      </rPr>
      <t>o po</t>
    </r>
    <r>
      <rPr>
        <sz val="8"/>
        <color rgb="FF181A1C"/>
        <rFont val="Arial"/>
        <family val="2"/>
      </rPr>
      <t xml:space="preserve">litik </t>
    </r>
    <r>
      <rPr>
        <sz val="8"/>
        <color rgb="FF414144"/>
        <rFont val="Arial"/>
        <family val="2"/>
      </rPr>
      <t xml:space="preserve">&amp; </t>
    </r>
    <r>
      <rPr>
        <sz val="8"/>
        <color rgb="FF414144"/>
        <rFont val="Arial"/>
        <family val="2"/>
      </rPr>
      <t>ge</t>
    </r>
    <r>
      <rPr>
        <sz val="8"/>
        <color rgb="FF59595D"/>
        <rFont val="Arial"/>
        <family val="2"/>
      </rPr>
      <t>o</t>
    </r>
    <r>
      <rPr>
        <sz val="8"/>
        <color rgb="FF2F2F31"/>
        <rFont val="Arial"/>
        <family val="2"/>
      </rPr>
      <t>polit</t>
    </r>
    <r>
      <rPr>
        <sz val="8"/>
        <color rgb="FF59595D"/>
        <rFont val="Arial"/>
        <family val="2"/>
      </rPr>
      <t>i</t>
    </r>
    <r>
      <rPr>
        <sz val="8"/>
        <color rgb="FF2F2F31"/>
        <rFont val="Arial"/>
        <family val="2"/>
      </rPr>
      <t>k</t>
    </r>
  </si>
  <si>
    <r>
      <rPr>
        <b/>
        <sz val="9"/>
        <color rgb="FF131518"/>
        <rFont val="Arial"/>
        <family val="2"/>
      </rPr>
      <t xml:space="preserve">T1
</t>
    </r>
    <r>
      <rPr>
        <b/>
        <sz val="9"/>
        <color rgb="FF131518"/>
        <rFont val="Arial"/>
        <family val="2"/>
      </rPr>
      <t>(Terna Risiko)</t>
    </r>
  </si>
  <si>
    <r>
      <rPr>
        <b/>
        <sz val="9"/>
        <color rgb="FF131518"/>
        <rFont val="Arial"/>
        <family val="2"/>
      </rPr>
      <t>T2</t>
    </r>
  </si>
  <si>
    <r>
      <rPr>
        <b/>
        <sz val="9"/>
        <color rgb="FF232326"/>
        <rFont val="Arial"/>
        <family val="2"/>
      </rPr>
      <t xml:space="preserve">T3
</t>
    </r>
    <r>
      <rPr>
        <b/>
        <sz val="9"/>
        <color rgb="FF000000"/>
        <rFont val="Arial"/>
        <family val="2"/>
      </rPr>
      <t>(Kelo</t>
    </r>
    <r>
      <rPr>
        <b/>
        <sz val="9"/>
        <color rgb="FF232326"/>
        <rFont val="Arial"/>
        <family val="2"/>
      </rPr>
      <t>mp</t>
    </r>
    <r>
      <rPr>
        <b/>
        <sz val="9"/>
        <color rgb="FF000000"/>
        <rFont val="Arial"/>
        <family val="2"/>
      </rPr>
      <t xml:space="preserve">ok </t>
    </r>
    <r>
      <rPr>
        <b/>
        <sz val="9"/>
        <color rgb="FF131518"/>
        <rFont val="Arial"/>
        <family val="2"/>
      </rPr>
      <t>Peristiwa Ris</t>
    </r>
    <r>
      <rPr>
        <b/>
        <sz val="9"/>
        <color rgb="FF333336"/>
        <rFont val="Arial"/>
        <family val="2"/>
      </rPr>
      <t>i</t>
    </r>
    <r>
      <rPr>
        <b/>
        <sz val="9"/>
        <color rgb="FF131518"/>
        <rFont val="Arial"/>
        <family val="2"/>
      </rPr>
      <t>ko)</t>
    </r>
  </si>
  <si>
    <r>
      <rPr>
        <b/>
        <sz val="9"/>
        <color rgb="FF131518"/>
        <rFont val="Arial"/>
        <family val="2"/>
      </rPr>
      <t>T</t>
    </r>
    <r>
      <rPr>
        <b/>
        <sz val="9"/>
        <color rgb="FF333336"/>
        <rFont val="Arial"/>
        <family val="2"/>
      </rPr>
      <t xml:space="preserve">4
</t>
    </r>
    <r>
      <rPr>
        <b/>
        <sz val="9"/>
        <color rgb="FF000000"/>
        <rFont val="Arial"/>
        <family val="2"/>
      </rPr>
      <t xml:space="preserve">(Sub </t>
    </r>
    <r>
      <rPr>
        <b/>
        <sz val="9"/>
        <color rgb="FF232326"/>
        <rFont val="Arial"/>
        <family val="2"/>
      </rPr>
      <t xml:space="preserve">Kelompok </t>
    </r>
    <r>
      <rPr>
        <b/>
        <sz val="9"/>
        <color rgb="FF131518"/>
        <rFont val="Arial"/>
        <family val="2"/>
      </rPr>
      <t xml:space="preserve">Peristiwa </t>
    </r>
    <r>
      <rPr>
        <b/>
        <sz val="9"/>
        <color rgb="FF232326"/>
        <rFont val="Arial"/>
        <family val="2"/>
      </rPr>
      <t>Risik</t>
    </r>
    <r>
      <rPr>
        <b/>
        <sz val="9"/>
        <color rgb="FF000000"/>
        <rFont val="Arial"/>
        <family val="2"/>
      </rPr>
      <t>o)</t>
    </r>
  </si>
  <si>
    <r>
      <rPr>
        <b/>
        <sz val="9"/>
        <color rgb="FF232326"/>
        <rFont val="Arial"/>
        <family val="2"/>
      </rPr>
      <t>Katea</t>
    </r>
    <r>
      <rPr>
        <b/>
        <sz val="9"/>
        <color theme="1"/>
        <rFont val="Arial"/>
        <family val="2"/>
      </rPr>
      <t>or</t>
    </r>
    <r>
      <rPr>
        <b/>
        <sz val="9"/>
        <color rgb="FF232326"/>
        <rFont val="Arial"/>
        <family val="2"/>
      </rPr>
      <t xml:space="preserve">i </t>
    </r>
    <r>
      <rPr>
        <b/>
        <sz val="9"/>
        <color rgb="FF131518"/>
        <rFont val="Arial"/>
        <family val="2"/>
      </rPr>
      <t>Risiko)</t>
    </r>
  </si>
  <si>
    <r>
      <rPr>
        <sz val="10"/>
        <color rgb="FF333336"/>
        <rFont val="Times New Roman"/>
        <family val="1"/>
      </rPr>
      <t>3</t>
    </r>
    <r>
      <rPr>
        <sz val="10"/>
        <color rgb="FF131518"/>
        <rFont val="Times New Roman"/>
        <family val="1"/>
      </rPr>
      <t>.</t>
    </r>
    <r>
      <rPr>
        <sz val="10"/>
        <color rgb="FF333336"/>
        <rFont val="Times New Roman"/>
        <family val="1"/>
      </rPr>
      <t>6</t>
    </r>
    <r>
      <rPr>
        <sz val="10"/>
        <color rgb="FF131518"/>
        <rFont val="Times New Roman"/>
        <family val="1"/>
      </rPr>
      <t>.1</t>
    </r>
    <r>
      <rPr>
        <sz val="10"/>
        <color rgb="FF333336"/>
        <rFont val="Times New Roman"/>
        <family val="1"/>
      </rPr>
      <t>0.27</t>
    </r>
  </si>
  <si>
    <r>
      <rPr>
        <sz val="9"/>
        <color rgb="FF333336"/>
        <rFont val="Arial"/>
        <family val="2"/>
      </rPr>
      <t xml:space="preserve">Risiko perdagangan
</t>
    </r>
    <r>
      <rPr>
        <sz val="9"/>
        <color rgb="FF333336"/>
        <rFont val="Arial"/>
        <family val="2"/>
      </rPr>
      <t>internasional</t>
    </r>
  </si>
  <si>
    <r>
      <rPr>
        <sz val="10"/>
        <color rgb="FF444448"/>
        <rFont val="Times New Roman"/>
        <family val="1"/>
      </rPr>
      <t>3.6.10.28</t>
    </r>
  </si>
  <si>
    <r>
      <rPr>
        <sz val="9"/>
        <color rgb="FF333336"/>
        <rFont val="Arial"/>
        <family val="2"/>
      </rPr>
      <t xml:space="preserve">Risiko </t>
    </r>
    <r>
      <rPr>
        <sz val="9"/>
        <color rgb="FF444448"/>
        <rFont val="Arial"/>
        <family val="2"/>
      </rPr>
      <t xml:space="preserve">kebijakan moneter &amp;
</t>
    </r>
    <r>
      <rPr>
        <sz val="9"/>
        <color rgb="FF333336"/>
        <rFont val="Arial"/>
        <family val="2"/>
      </rPr>
      <t>fiskal</t>
    </r>
  </si>
  <si>
    <t>3.6.11</t>
  </si>
  <si>
    <r>
      <rPr>
        <sz val="9"/>
        <color rgb="FF333336"/>
        <rFont val="Arial"/>
        <family val="2"/>
      </rPr>
      <t>Per</t>
    </r>
    <r>
      <rPr>
        <sz val="9"/>
        <color rgb="FF131518"/>
        <rFont val="Arial"/>
        <family val="2"/>
      </rPr>
      <t>i</t>
    </r>
    <r>
      <rPr>
        <sz val="9"/>
        <color rgb="FF333336"/>
        <rFont val="Arial"/>
        <family val="2"/>
      </rPr>
      <t xml:space="preserve">stiwa Risiko </t>
    </r>
    <r>
      <rPr>
        <sz val="9"/>
        <color rgb="FF131518"/>
        <rFont val="Arial"/>
        <family val="2"/>
      </rPr>
      <t>t</t>
    </r>
    <r>
      <rPr>
        <sz val="9"/>
        <color rgb="FF333336"/>
        <rFont val="Arial"/>
        <family val="2"/>
      </rPr>
      <t xml:space="preserve">erkait </t>
    </r>
    <r>
      <rPr>
        <sz val="9"/>
        <color rgb="FF232326"/>
        <rFont val="Arial"/>
        <family val="2"/>
      </rPr>
      <t>k</t>
    </r>
    <r>
      <rPr>
        <sz val="9"/>
        <color rgb="FF444448"/>
        <rFont val="Arial"/>
        <family val="2"/>
      </rPr>
      <t>e</t>
    </r>
    <r>
      <rPr>
        <sz val="9"/>
        <color rgb="FF232326"/>
        <rFont val="Arial"/>
        <family val="2"/>
      </rPr>
      <t>uan</t>
    </r>
    <r>
      <rPr>
        <sz val="9"/>
        <color rgb="FF444448"/>
        <rFont val="Arial"/>
        <family val="2"/>
      </rPr>
      <t>gan</t>
    </r>
  </si>
  <si>
    <r>
      <rPr>
        <sz val="10"/>
        <color rgb="FF444448"/>
        <rFont val="Times New Roman"/>
        <family val="1"/>
      </rPr>
      <t>3.6.</t>
    </r>
    <r>
      <rPr>
        <sz val="10"/>
        <color rgb="FF131518"/>
        <rFont val="Times New Roman"/>
        <family val="1"/>
      </rPr>
      <t>11</t>
    </r>
    <r>
      <rPr>
        <sz val="10"/>
        <color rgb="FF333336"/>
        <rFont val="Times New Roman"/>
        <family val="1"/>
      </rPr>
      <t>.29</t>
    </r>
  </si>
  <si>
    <r>
      <rPr>
        <sz val="9"/>
        <color rgb="FF232326"/>
        <rFont val="Arial"/>
        <family val="2"/>
      </rPr>
      <t>Ri</t>
    </r>
    <r>
      <rPr>
        <sz val="9"/>
        <color rgb="FF444448"/>
        <rFont val="Arial"/>
        <family val="2"/>
      </rPr>
      <t>s</t>
    </r>
    <r>
      <rPr>
        <sz val="9"/>
        <color rgb="FF232326"/>
        <rFont val="Arial"/>
        <family val="2"/>
      </rPr>
      <t>i</t>
    </r>
    <r>
      <rPr>
        <sz val="9"/>
        <color rgb="FF444448"/>
        <rFont val="Arial"/>
        <family val="2"/>
      </rPr>
      <t>ko asu</t>
    </r>
    <r>
      <rPr>
        <sz val="9"/>
        <color rgb="FF131518"/>
        <rFont val="Arial"/>
        <family val="2"/>
      </rPr>
      <t>r</t>
    </r>
    <r>
      <rPr>
        <sz val="9"/>
        <color rgb="FF444448"/>
        <rFont val="Arial"/>
        <family val="2"/>
      </rPr>
      <t>ansi</t>
    </r>
  </si>
  <si>
    <r>
      <rPr>
        <sz val="10"/>
        <color rgb="FF444448"/>
        <rFont val="Times New Roman"/>
        <family val="1"/>
      </rPr>
      <t>3.6.</t>
    </r>
    <r>
      <rPr>
        <sz val="10"/>
        <color rgb="FF232326"/>
        <rFont val="Times New Roman"/>
        <family val="1"/>
      </rPr>
      <t>11</t>
    </r>
    <r>
      <rPr>
        <sz val="10"/>
        <color theme="1"/>
        <rFont val="Times New Roman"/>
        <family val="1"/>
      </rPr>
      <t>.</t>
    </r>
    <r>
      <rPr>
        <sz val="10"/>
        <color rgb="FF444448"/>
        <rFont val="Times New Roman"/>
        <family val="1"/>
      </rPr>
      <t>30</t>
    </r>
  </si>
  <si>
    <r>
      <rPr>
        <sz val="9"/>
        <color rgb="FF333336"/>
        <rFont val="Arial"/>
        <family val="2"/>
      </rPr>
      <t xml:space="preserve">Risiko </t>
    </r>
    <r>
      <rPr>
        <sz val="9"/>
        <color rgb="FF444448"/>
        <rFont val="Arial"/>
        <family val="2"/>
      </rPr>
      <t>p</t>
    </r>
    <r>
      <rPr>
        <sz val="9"/>
        <color rgb="FF606064"/>
        <rFont val="Arial"/>
        <family val="2"/>
      </rPr>
      <t>e</t>
    </r>
    <r>
      <rPr>
        <sz val="9"/>
        <color rgb="FF444448"/>
        <rFont val="Arial"/>
        <family val="2"/>
      </rPr>
      <t>ndanaa</t>
    </r>
    <r>
      <rPr>
        <sz val="9"/>
        <color rgb="FF232326"/>
        <rFont val="Arial"/>
        <family val="2"/>
      </rPr>
      <t>n</t>
    </r>
  </si>
  <si>
    <r>
      <rPr>
        <sz val="10"/>
        <color rgb="FF333336"/>
        <rFont val="Times New Roman"/>
        <family val="1"/>
      </rPr>
      <t>3.6.11.31</t>
    </r>
  </si>
  <si>
    <r>
      <rPr>
        <sz val="9"/>
        <color rgb="FF333336"/>
        <rFont val="Arial"/>
        <family val="2"/>
      </rPr>
      <t xml:space="preserve">Risiko </t>
    </r>
    <r>
      <rPr>
        <sz val="9"/>
        <color rgb="FF444448"/>
        <rFont val="Arial"/>
        <family val="2"/>
      </rPr>
      <t>p</t>
    </r>
    <r>
      <rPr>
        <sz val="9"/>
        <color rgb="FF606064"/>
        <rFont val="Arial"/>
        <family val="2"/>
      </rPr>
      <t>e</t>
    </r>
    <r>
      <rPr>
        <sz val="9"/>
        <color rgb="FF444448"/>
        <rFont val="Arial"/>
        <family val="2"/>
      </rPr>
      <t>rpa</t>
    </r>
    <r>
      <rPr>
        <sz val="9"/>
        <color rgb="FF727277"/>
        <rFont val="Arial"/>
        <family val="2"/>
      </rPr>
      <t>j</t>
    </r>
    <r>
      <rPr>
        <sz val="9"/>
        <color rgb="FF444448"/>
        <rFont val="Arial"/>
        <family val="2"/>
      </rPr>
      <t>a</t>
    </r>
    <r>
      <rPr>
        <sz val="9"/>
        <color rgb="FF606064"/>
        <rFont val="Arial"/>
        <family val="2"/>
      </rPr>
      <t>k</t>
    </r>
    <r>
      <rPr>
        <sz val="9"/>
        <color rgb="FF444448"/>
        <rFont val="Arial"/>
        <family val="2"/>
      </rPr>
      <t>an</t>
    </r>
  </si>
  <si>
    <r>
      <rPr>
        <sz val="10"/>
        <color rgb="FF333336"/>
        <rFont val="Times New Roman"/>
        <family val="1"/>
      </rPr>
      <t>3.6</t>
    </r>
    <r>
      <rPr>
        <sz val="10"/>
        <color rgb="FF606064"/>
        <rFont val="Times New Roman"/>
        <family val="1"/>
      </rPr>
      <t>.</t>
    </r>
    <r>
      <rPr>
        <sz val="10"/>
        <color rgb="FF232326"/>
        <rFont val="Times New Roman"/>
        <family val="1"/>
      </rPr>
      <t>11.</t>
    </r>
    <r>
      <rPr>
        <sz val="10"/>
        <color rgb="FF444448"/>
        <rFont val="Times New Roman"/>
        <family val="1"/>
      </rPr>
      <t>32</t>
    </r>
  </si>
  <si>
    <r>
      <rPr>
        <sz val="9"/>
        <color rgb="FF333336"/>
        <rFont val="Arial"/>
        <family val="2"/>
      </rPr>
      <t xml:space="preserve">Risiko </t>
    </r>
    <r>
      <rPr>
        <sz val="9"/>
        <color rgb="FF444448"/>
        <rFont val="Arial"/>
        <family val="2"/>
      </rPr>
      <t>anggara</t>
    </r>
    <r>
      <rPr>
        <sz val="9"/>
        <color rgb="FF232326"/>
        <rFont val="Arial"/>
        <family val="2"/>
      </rPr>
      <t xml:space="preserve">n </t>
    </r>
    <r>
      <rPr>
        <sz val="9"/>
        <color rgb="FF444448"/>
        <rFont val="Arial"/>
        <family val="2"/>
      </rPr>
      <t xml:space="preserve">&amp;
</t>
    </r>
    <r>
      <rPr>
        <sz val="9"/>
        <color rgb="FF444448"/>
        <rFont val="Arial"/>
        <family val="2"/>
      </rPr>
      <t>aku</t>
    </r>
    <r>
      <rPr>
        <sz val="9"/>
        <color rgb="FF232326"/>
        <rFont val="Arial"/>
        <family val="2"/>
      </rPr>
      <t>n</t>
    </r>
    <r>
      <rPr>
        <sz val="9"/>
        <color rgb="FF444448"/>
        <rFont val="Arial"/>
        <family val="2"/>
      </rPr>
      <t>ta</t>
    </r>
    <r>
      <rPr>
        <sz val="9"/>
        <color rgb="FF232326"/>
        <rFont val="Arial"/>
        <family val="2"/>
      </rPr>
      <t>n</t>
    </r>
    <r>
      <rPr>
        <sz val="9"/>
        <color rgb="FF444448"/>
        <rFont val="Arial"/>
        <family val="2"/>
      </rPr>
      <t>si</t>
    </r>
  </si>
  <si>
    <r>
      <rPr>
        <sz val="10"/>
        <color rgb="FF444448"/>
        <rFont val="Times New Roman"/>
        <family val="1"/>
      </rPr>
      <t>3.6</t>
    </r>
    <r>
      <rPr>
        <sz val="10"/>
        <color rgb="FF606064"/>
        <rFont val="Times New Roman"/>
        <family val="1"/>
      </rPr>
      <t>.</t>
    </r>
    <r>
      <rPr>
        <sz val="10"/>
        <color rgb="FF333336"/>
        <rFont val="Times New Roman"/>
        <family val="1"/>
      </rPr>
      <t>11</t>
    </r>
    <r>
      <rPr>
        <sz val="10"/>
        <color rgb="FF606064"/>
        <rFont val="Times New Roman"/>
        <family val="1"/>
      </rPr>
      <t>.</t>
    </r>
    <r>
      <rPr>
        <sz val="10"/>
        <color rgb="FF444448"/>
        <rFont val="Times New Roman"/>
        <family val="1"/>
      </rPr>
      <t>33</t>
    </r>
  </si>
  <si>
    <r>
      <rPr>
        <sz val="9"/>
        <color rgb="FF232326"/>
        <rFont val="Arial"/>
        <family val="2"/>
      </rPr>
      <t>Ri</t>
    </r>
    <r>
      <rPr>
        <sz val="9"/>
        <color rgb="FF444448"/>
        <rFont val="Arial"/>
        <family val="2"/>
      </rPr>
      <t>s</t>
    </r>
    <r>
      <rPr>
        <sz val="9"/>
        <color rgb="FF131518"/>
        <rFont val="Arial"/>
        <family val="2"/>
      </rPr>
      <t>i</t>
    </r>
    <r>
      <rPr>
        <sz val="9"/>
        <color rgb="FF444448"/>
        <rFont val="Arial"/>
        <family val="2"/>
      </rPr>
      <t>k</t>
    </r>
    <r>
      <rPr>
        <sz val="9"/>
        <color rgb="FF606064"/>
        <rFont val="Arial"/>
        <family val="2"/>
      </rPr>
      <t xml:space="preserve">o </t>
    </r>
    <r>
      <rPr>
        <sz val="9"/>
        <color rgb="FF444448"/>
        <rFont val="Arial"/>
        <family val="2"/>
      </rPr>
      <t>penge</t>
    </r>
    <r>
      <rPr>
        <sz val="9"/>
        <color rgb="FF000000"/>
        <rFont val="Arial"/>
        <family val="2"/>
      </rPr>
      <t>l</t>
    </r>
    <r>
      <rPr>
        <sz val="9"/>
        <color rgb="FF444448"/>
        <rFont val="Arial"/>
        <family val="2"/>
      </rPr>
      <t>o</t>
    </r>
    <r>
      <rPr>
        <sz val="9"/>
        <color rgb="FF232326"/>
        <rFont val="Arial"/>
        <family val="2"/>
      </rPr>
      <t>l</t>
    </r>
    <r>
      <rPr>
        <sz val="9"/>
        <color rgb="FF444448"/>
        <rFont val="Arial"/>
        <family val="2"/>
      </rPr>
      <t xml:space="preserve">aan </t>
    </r>
    <r>
      <rPr>
        <sz val="9"/>
        <color rgb="FF333336"/>
        <rFont val="Arial"/>
        <family val="2"/>
      </rPr>
      <t xml:space="preserve">modal
</t>
    </r>
    <r>
      <rPr>
        <sz val="9"/>
        <color rgb="FF606064"/>
        <rFont val="Arial"/>
        <family val="2"/>
      </rPr>
      <t>k</t>
    </r>
    <r>
      <rPr>
        <sz val="9"/>
        <color rgb="FF444448"/>
        <rFont val="Arial"/>
        <family val="2"/>
      </rPr>
      <t>erja</t>
    </r>
  </si>
  <si>
    <r>
      <rPr>
        <sz val="10"/>
        <color rgb="FF333336"/>
        <rFont val="Times New Roman"/>
        <family val="1"/>
      </rPr>
      <t>3</t>
    </r>
    <r>
      <rPr>
        <sz val="10"/>
        <color rgb="FF131518"/>
        <rFont val="Times New Roman"/>
        <family val="1"/>
      </rPr>
      <t>.</t>
    </r>
    <r>
      <rPr>
        <sz val="10"/>
        <color rgb="FF333336"/>
        <rFont val="Times New Roman"/>
        <family val="1"/>
      </rPr>
      <t>6.11.34</t>
    </r>
  </si>
  <si>
    <r>
      <rPr>
        <sz val="9"/>
        <color rgb="FF444448"/>
        <rFont val="Arial"/>
        <family val="2"/>
      </rPr>
      <t>R</t>
    </r>
    <r>
      <rPr>
        <sz val="9"/>
        <color rgb="FF232326"/>
        <rFont val="Arial"/>
        <family val="2"/>
      </rPr>
      <t>i</t>
    </r>
    <r>
      <rPr>
        <sz val="9"/>
        <color rgb="FF444448"/>
        <rFont val="Arial"/>
        <family val="2"/>
      </rPr>
      <t>s</t>
    </r>
    <r>
      <rPr>
        <sz val="9"/>
        <color theme="1"/>
        <rFont val="Arial"/>
        <family val="2"/>
      </rPr>
      <t>i</t>
    </r>
    <r>
      <rPr>
        <sz val="9"/>
        <color rgb="FF444448"/>
        <rFont val="Arial"/>
        <family val="2"/>
      </rPr>
      <t>ko arus kas</t>
    </r>
  </si>
  <si>
    <r>
      <rPr>
        <sz val="10"/>
        <color rgb="FF333336"/>
        <rFont val="Times New Roman"/>
        <family val="1"/>
      </rPr>
      <t>3.6.</t>
    </r>
    <r>
      <rPr>
        <sz val="10"/>
        <color rgb="FF131518"/>
        <rFont val="Times New Roman"/>
        <family val="1"/>
      </rPr>
      <t>1</t>
    </r>
    <r>
      <rPr>
        <sz val="10"/>
        <color rgb="FF333336"/>
        <rFont val="Times New Roman"/>
        <family val="1"/>
      </rPr>
      <t>1</t>
    </r>
    <r>
      <rPr>
        <sz val="10"/>
        <color rgb="FF131518"/>
        <rFont val="Times New Roman"/>
        <family val="1"/>
      </rPr>
      <t>.</t>
    </r>
    <r>
      <rPr>
        <sz val="10"/>
        <color rgb="FF444448"/>
        <rFont val="Times New Roman"/>
        <family val="1"/>
      </rPr>
      <t>35</t>
    </r>
  </si>
  <si>
    <r>
      <rPr>
        <sz val="9"/>
        <color rgb="FF333336"/>
        <rFont val="Arial"/>
        <family val="2"/>
      </rPr>
      <t>R</t>
    </r>
    <r>
      <rPr>
        <sz val="9"/>
        <color rgb="FF131518"/>
        <rFont val="Arial"/>
        <family val="2"/>
      </rPr>
      <t>i</t>
    </r>
    <r>
      <rPr>
        <sz val="9"/>
        <color rgb="FF444448"/>
        <rFont val="Arial"/>
        <family val="2"/>
      </rPr>
      <t>s</t>
    </r>
    <r>
      <rPr>
        <sz val="9"/>
        <color rgb="FF131518"/>
        <rFont val="Arial"/>
        <family val="2"/>
      </rPr>
      <t>i</t>
    </r>
    <r>
      <rPr>
        <sz val="9"/>
        <color rgb="FF333336"/>
        <rFont val="Arial"/>
        <family val="2"/>
      </rPr>
      <t>ko piutang</t>
    </r>
  </si>
  <si>
    <r>
      <rPr>
        <sz val="10"/>
        <color rgb="FF333336"/>
        <rFont val="Times New Roman"/>
        <family val="1"/>
      </rPr>
      <t>3.6.11.36</t>
    </r>
  </si>
  <si>
    <r>
      <rPr>
        <sz val="9"/>
        <color rgb="FF232326"/>
        <rFont val="Arial"/>
        <family val="2"/>
      </rPr>
      <t>Ri</t>
    </r>
    <r>
      <rPr>
        <sz val="9"/>
        <color rgb="FF444448"/>
        <rFont val="Arial"/>
        <family val="2"/>
      </rPr>
      <t xml:space="preserve">siko </t>
    </r>
    <r>
      <rPr>
        <sz val="9"/>
        <color rgb="FF131518"/>
        <rFont val="Arial"/>
        <family val="2"/>
      </rPr>
      <t>i</t>
    </r>
    <r>
      <rPr>
        <sz val="9"/>
        <color rgb="FF444448"/>
        <rFont val="Arial"/>
        <family val="2"/>
      </rPr>
      <t>ntegritas penyu</t>
    </r>
    <r>
      <rPr>
        <sz val="9"/>
        <color rgb="FF606064"/>
        <rFont val="Arial"/>
        <family val="2"/>
      </rPr>
      <t>s</t>
    </r>
    <r>
      <rPr>
        <sz val="9"/>
        <color rgb="FF131518"/>
        <rFont val="Arial"/>
        <family val="2"/>
      </rPr>
      <t>u</t>
    </r>
    <r>
      <rPr>
        <sz val="9"/>
        <color rgb="FF333336"/>
        <rFont val="Arial"/>
        <family val="2"/>
      </rPr>
      <t xml:space="preserve">nan </t>
    </r>
    <r>
      <rPr>
        <sz val="9"/>
        <color rgb="FF131518"/>
        <rFont val="Arial"/>
        <family val="2"/>
      </rPr>
      <t>l</t>
    </r>
    <r>
      <rPr>
        <sz val="9"/>
        <color rgb="FF444448"/>
        <rFont val="Arial"/>
        <family val="2"/>
      </rPr>
      <t>ap</t>
    </r>
    <r>
      <rPr>
        <sz val="9"/>
        <color rgb="FF606064"/>
        <rFont val="Arial"/>
        <family val="2"/>
      </rPr>
      <t>o</t>
    </r>
    <r>
      <rPr>
        <sz val="9"/>
        <color rgb="FF333336"/>
        <rFont val="Arial"/>
        <family val="2"/>
      </rPr>
      <t>ra</t>
    </r>
    <r>
      <rPr>
        <sz val="9"/>
        <color rgb="FF606064"/>
        <rFont val="Arial"/>
        <family val="2"/>
      </rPr>
      <t xml:space="preserve">n
</t>
    </r>
    <r>
      <rPr>
        <sz val="9"/>
        <color rgb="FF444448"/>
        <rFont val="Arial"/>
        <family val="2"/>
      </rPr>
      <t>keuangan</t>
    </r>
  </si>
  <si>
    <t>3.6.12</t>
  </si>
  <si>
    <r>
      <rPr>
        <sz val="9"/>
        <color rgb="FF333336"/>
        <rFont val="Arial"/>
        <family val="2"/>
      </rPr>
      <t>Peristiwa Ris</t>
    </r>
    <r>
      <rPr>
        <sz val="9"/>
        <color rgb="FF131518"/>
        <rFont val="Arial"/>
        <family val="2"/>
      </rPr>
      <t>i</t>
    </r>
    <r>
      <rPr>
        <sz val="9"/>
        <color rgb="FF333336"/>
        <rFont val="Arial"/>
        <family val="2"/>
      </rPr>
      <t xml:space="preserve">ko </t>
    </r>
    <r>
      <rPr>
        <sz val="9"/>
        <color rgb="FF232326"/>
        <rFont val="Arial"/>
        <family val="2"/>
      </rPr>
      <t>terk</t>
    </r>
    <r>
      <rPr>
        <sz val="9"/>
        <color rgb="FF444448"/>
        <rFont val="Arial"/>
        <family val="2"/>
      </rPr>
      <t>a</t>
    </r>
    <r>
      <rPr>
        <sz val="9"/>
        <color rgb="FF232326"/>
        <rFont val="Arial"/>
        <family val="2"/>
      </rPr>
      <t>i</t>
    </r>
    <r>
      <rPr>
        <sz val="9"/>
        <color rgb="FF444448"/>
        <rFont val="Arial"/>
        <family val="2"/>
      </rPr>
      <t>t hukum</t>
    </r>
    <r>
      <rPr>
        <sz val="9"/>
        <color rgb="FF727277"/>
        <rFont val="Arial"/>
        <family val="2"/>
      </rPr>
      <t xml:space="preserve">, </t>
    </r>
    <r>
      <rPr>
        <sz val="9"/>
        <color rgb="FF444448"/>
        <rFont val="Arial"/>
        <family val="2"/>
      </rPr>
      <t>reput</t>
    </r>
    <r>
      <rPr>
        <sz val="9"/>
        <color rgb="FF606064"/>
        <rFont val="Arial"/>
        <family val="2"/>
      </rPr>
      <t>a</t>
    </r>
    <r>
      <rPr>
        <sz val="9"/>
        <color rgb="FF444448"/>
        <rFont val="Arial"/>
        <family val="2"/>
      </rPr>
      <t>si</t>
    </r>
    <r>
      <rPr>
        <sz val="9"/>
        <color rgb="FF606064"/>
        <rFont val="Arial"/>
        <family val="2"/>
      </rPr>
      <t xml:space="preserve">, </t>
    </r>
    <r>
      <rPr>
        <sz val="9"/>
        <color rgb="FF444448"/>
        <rFont val="Arial"/>
        <family val="2"/>
      </rPr>
      <t>dan kepatuhan</t>
    </r>
  </si>
  <si>
    <r>
      <rPr>
        <sz val="10"/>
        <color rgb="FF333336"/>
        <rFont val="Times New Roman"/>
        <family val="1"/>
      </rPr>
      <t>3.6.12.37</t>
    </r>
  </si>
  <si>
    <r>
      <rPr>
        <sz val="9"/>
        <color rgb="FF333336"/>
        <rFont val="Arial"/>
        <family val="2"/>
      </rPr>
      <t>R</t>
    </r>
    <r>
      <rPr>
        <sz val="9"/>
        <color rgb="FF131518"/>
        <rFont val="Arial"/>
        <family val="2"/>
      </rPr>
      <t>i</t>
    </r>
    <r>
      <rPr>
        <sz val="9"/>
        <color rgb="FF444448"/>
        <rFont val="Arial"/>
        <family val="2"/>
      </rPr>
      <t>siko</t>
    </r>
    <r>
      <rPr>
        <sz val="9"/>
        <color rgb="FF232326"/>
        <rFont val="Arial"/>
        <family val="2"/>
      </rPr>
      <t>r</t>
    </r>
    <r>
      <rPr>
        <sz val="9"/>
        <color rgb="FF606064"/>
        <rFont val="Arial"/>
        <family val="2"/>
      </rPr>
      <t>e</t>
    </r>
    <r>
      <rPr>
        <sz val="9"/>
        <color rgb="FF444448"/>
        <rFont val="Arial"/>
        <family val="2"/>
      </rPr>
      <t>p</t>
    </r>
    <r>
      <rPr>
        <sz val="9"/>
        <color rgb="FF232326"/>
        <rFont val="Arial"/>
        <family val="2"/>
      </rPr>
      <t>u</t>
    </r>
    <r>
      <rPr>
        <sz val="9"/>
        <color rgb="FF444448"/>
        <rFont val="Arial"/>
        <family val="2"/>
      </rPr>
      <t>tasi</t>
    </r>
  </si>
  <si>
    <r>
      <rPr>
        <sz val="10"/>
        <color rgb="FF333336"/>
        <rFont val="Times New Roman"/>
        <family val="1"/>
      </rPr>
      <t>3.6.12.38</t>
    </r>
  </si>
  <si>
    <r>
      <rPr>
        <sz val="9"/>
        <color rgb="FF444448"/>
        <rFont val="Arial"/>
        <family val="2"/>
      </rPr>
      <t>Risik</t>
    </r>
    <r>
      <rPr>
        <sz val="9"/>
        <color rgb="FF606064"/>
        <rFont val="Arial"/>
        <family val="2"/>
      </rPr>
      <t xml:space="preserve">o </t>
    </r>
    <r>
      <rPr>
        <sz val="9"/>
        <color rgb="FF333336"/>
        <rFont val="Arial"/>
        <family val="2"/>
      </rPr>
      <t>k</t>
    </r>
    <r>
      <rPr>
        <sz val="9"/>
        <color rgb="FF606064"/>
        <rFont val="Arial"/>
        <family val="2"/>
      </rPr>
      <t>e</t>
    </r>
    <r>
      <rPr>
        <sz val="9"/>
        <color rgb="FF444448"/>
        <rFont val="Arial"/>
        <family val="2"/>
      </rPr>
      <t xml:space="preserve">patuhanterhadap
</t>
    </r>
    <r>
      <rPr>
        <sz val="9"/>
        <color rgb="FF444448"/>
        <rFont val="Arial"/>
        <family val="2"/>
      </rPr>
      <t>pera</t>
    </r>
    <r>
      <rPr>
        <sz val="9"/>
        <color rgb="FF606064"/>
        <rFont val="Arial"/>
        <family val="2"/>
      </rPr>
      <t>t</t>
    </r>
    <r>
      <rPr>
        <sz val="9"/>
        <color rgb="FF444448"/>
        <rFont val="Arial"/>
        <family val="2"/>
      </rPr>
      <t>ur</t>
    </r>
    <r>
      <rPr>
        <sz val="9"/>
        <color rgb="FF606064"/>
        <rFont val="Arial"/>
        <family val="2"/>
      </rPr>
      <t>a</t>
    </r>
    <r>
      <rPr>
        <sz val="9"/>
        <color rgb="FF333336"/>
        <rFont val="Arial"/>
        <family val="2"/>
      </rPr>
      <t xml:space="preserve">n </t>
    </r>
    <r>
      <rPr>
        <sz val="9"/>
        <color rgb="FF444448"/>
        <rFont val="Arial"/>
        <family val="2"/>
      </rPr>
      <t xml:space="preserve">dan </t>
    </r>
    <r>
      <rPr>
        <sz val="9"/>
        <color rgb="FF232326"/>
        <rFont val="Arial"/>
        <family val="2"/>
      </rPr>
      <t>k</t>
    </r>
    <r>
      <rPr>
        <sz val="9"/>
        <color rgb="FF606064"/>
        <rFont val="Arial"/>
        <family val="2"/>
      </rPr>
      <t>e</t>
    </r>
    <r>
      <rPr>
        <sz val="9"/>
        <color rgb="FF444448"/>
        <rFont val="Arial"/>
        <family val="2"/>
      </rPr>
      <t>bijakan</t>
    </r>
  </si>
  <si>
    <r>
      <rPr>
        <sz val="10"/>
        <color rgb="FF333336"/>
        <rFont val="Times New Roman"/>
        <family val="1"/>
      </rPr>
      <t>3.6</t>
    </r>
    <r>
      <rPr>
        <sz val="10"/>
        <color rgb="FF606064"/>
        <rFont val="Times New Roman"/>
        <family val="1"/>
      </rPr>
      <t>.</t>
    </r>
    <r>
      <rPr>
        <sz val="10"/>
        <color rgb="FF333336"/>
        <rFont val="Times New Roman"/>
        <family val="1"/>
      </rPr>
      <t>12.39</t>
    </r>
  </si>
  <si>
    <r>
      <rPr>
        <sz val="9"/>
        <color rgb="FF333336"/>
        <rFont val="Arial"/>
        <family val="2"/>
      </rPr>
      <t xml:space="preserve">Risiko </t>
    </r>
    <r>
      <rPr>
        <sz val="9"/>
        <color rgb="FF131518"/>
        <rFont val="Arial"/>
        <family val="2"/>
      </rPr>
      <t>li</t>
    </r>
    <r>
      <rPr>
        <sz val="9"/>
        <color rgb="FF333336"/>
        <rFont val="Arial"/>
        <family val="2"/>
      </rPr>
      <t>tigas</t>
    </r>
    <r>
      <rPr>
        <sz val="9"/>
        <color rgb="FF606064"/>
        <rFont val="Arial"/>
        <family val="2"/>
      </rPr>
      <t>i/</t>
    </r>
    <r>
      <rPr>
        <sz val="9"/>
        <color rgb="FF232326"/>
        <rFont val="Arial"/>
        <family val="2"/>
      </rPr>
      <t>huk</t>
    </r>
    <r>
      <rPr>
        <sz val="9"/>
        <color rgb="FF444448"/>
        <rFont val="Arial"/>
        <family val="2"/>
      </rPr>
      <t>um</t>
    </r>
  </si>
  <si>
    <r>
      <rPr>
        <sz val="10"/>
        <color rgb="FF333336"/>
        <rFont val="Times New Roman"/>
        <family val="1"/>
      </rPr>
      <t>3.6.12.40</t>
    </r>
  </si>
  <si>
    <r>
      <rPr>
        <sz val="9"/>
        <color rgb="FF232326"/>
        <rFont val="Arial"/>
        <family val="2"/>
      </rPr>
      <t>Ri</t>
    </r>
    <r>
      <rPr>
        <sz val="9"/>
        <color rgb="FF444448"/>
        <rFont val="Arial"/>
        <family val="2"/>
      </rPr>
      <t>s</t>
    </r>
    <r>
      <rPr>
        <sz val="9"/>
        <color rgb="FF232326"/>
        <rFont val="Arial"/>
        <family val="2"/>
      </rPr>
      <t>ik</t>
    </r>
    <r>
      <rPr>
        <sz val="9"/>
        <color rgb="FF444448"/>
        <rFont val="Arial"/>
        <family val="2"/>
      </rPr>
      <t xml:space="preserve">o </t>
    </r>
    <r>
      <rPr>
        <i/>
        <sz val="8"/>
        <color rgb="FF606064"/>
        <rFont val="Arial"/>
        <family val="2"/>
      </rPr>
      <t>f</t>
    </r>
    <r>
      <rPr>
        <i/>
        <sz val="8"/>
        <color rgb="FF444448"/>
        <rFont val="Arial"/>
        <family val="2"/>
      </rPr>
      <t>raud</t>
    </r>
  </si>
  <si>
    <t>3.6.13</t>
  </si>
  <si>
    <r>
      <rPr>
        <sz val="9"/>
        <color rgb="FF444448"/>
        <rFont val="Arial"/>
        <family val="2"/>
      </rPr>
      <t xml:space="preserve">Peristiwa </t>
    </r>
    <r>
      <rPr>
        <sz val="9"/>
        <color rgb="FF333336"/>
        <rFont val="Arial"/>
        <family val="2"/>
      </rPr>
      <t xml:space="preserve">Risiko </t>
    </r>
    <r>
      <rPr>
        <sz val="9"/>
        <color rgb="FF444448"/>
        <rFont val="Arial"/>
        <family val="2"/>
      </rPr>
      <t>ter</t>
    </r>
    <r>
      <rPr>
        <sz val="9"/>
        <color rgb="FF606064"/>
        <rFont val="Arial"/>
        <family val="2"/>
      </rPr>
      <t>k</t>
    </r>
    <r>
      <rPr>
        <sz val="9"/>
        <color rgb="FF444448"/>
        <rFont val="Arial"/>
        <family val="2"/>
      </rPr>
      <t>ait proyek</t>
    </r>
  </si>
  <si>
    <r>
      <rPr>
        <sz val="10"/>
        <color rgb="FF444448"/>
        <rFont val="Times New Roman"/>
        <family val="1"/>
      </rPr>
      <t>3.6.13.4</t>
    </r>
    <r>
      <rPr>
        <sz val="10"/>
        <color rgb="FF131518"/>
        <rFont val="Times New Roman"/>
        <family val="1"/>
      </rPr>
      <t>1</t>
    </r>
  </si>
  <si>
    <r>
      <rPr>
        <sz val="9"/>
        <color rgb="FF333336"/>
        <rFont val="Arial"/>
        <family val="2"/>
      </rPr>
      <t>Risik</t>
    </r>
    <r>
      <rPr>
        <sz val="9"/>
        <color rgb="FF606064"/>
        <rFont val="Arial"/>
        <family val="2"/>
      </rPr>
      <t xml:space="preserve">o </t>
    </r>
    <r>
      <rPr>
        <sz val="9"/>
        <color rgb="FF444448"/>
        <rFont val="Arial"/>
        <family val="2"/>
      </rPr>
      <t>p</t>
    </r>
    <r>
      <rPr>
        <sz val="9"/>
        <color rgb="FF606064"/>
        <rFont val="Arial"/>
        <family val="2"/>
      </rPr>
      <t>e</t>
    </r>
    <r>
      <rPr>
        <sz val="9"/>
        <color rgb="FF444448"/>
        <rFont val="Arial"/>
        <family val="2"/>
      </rPr>
      <t>rencanaanproyek</t>
    </r>
  </si>
  <si>
    <r>
      <rPr>
        <sz val="10"/>
        <color rgb="FF333336"/>
        <rFont val="Times New Roman"/>
        <family val="1"/>
      </rPr>
      <t>3.6.13.42</t>
    </r>
  </si>
  <si>
    <r>
      <rPr>
        <sz val="9"/>
        <color rgb="FF333336"/>
        <rFont val="Arial"/>
        <family val="2"/>
      </rPr>
      <t xml:space="preserve">Risiko </t>
    </r>
    <r>
      <rPr>
        <sz val="9"/>
        <color rgb="FF444448"/>
        <rFont val="Arial"/>
        <family val="2"/>
      </rPr>
      <t>pemiliha</t>
    </r>
    <r>
      <rPr>
        <sz val="9"/>
        <color rgb="FF606064"/>
        <rFont val="Arial"/>
        <family val="2"/>
      </rPr>
      <t xml:space="preserve">n </t>
    </r>
    <r>
      <rPr>
        <sz val="9"/>
        <color rgb="FF444448"/>
        <rFont val="Arial"/>
        <family val="2"/>
      </rPr>
      <t>p</t>
    </r>
    <r>
      <rPr>
        <sz val="9"/>
        <color rgb="FF606064"/>
        <rFont val="Arial"/>
        <family val="2"/>
      </rPr>
      <t>e</t>
    </r>
    <r>
      <rPr>
        <sz val="9"/>
        <color rgb="FF444448"/>
        <rFont val="Arial"/>
        <family val="2"/>
      </rPr>
      <t>nyed</t>
    </r>
    <r>
      <rPr>
        <sz val="9"/>
        <color rgb="FF232326"/>
        <rFont val="Arial"/>
        <family val="2"/>
      </rPr>
      <t>i</t>
    </r>
    <r>
      <rPr>
        <sz val="9"/>
        <color rgb="FF444448"/>
        <rFont val="Arial"/>
        <family val="2"/>
      </rPr>
      <t xml:space="preserve">a </t>
    </r>
    <r>
      <rPr>
        <sz val="9"/>
        <color rgb="FF333336"/>
        <rFont val="Arial"/>
        <family val="2"/>
      </rPr>
      <t xml:space="preserve">barang </t>
    </r>
    <r>
      <rPr>
        <sz val="9"/>
        <color rgb="FF131518"/>
        <rFont val="Arial"/>
        <family val="2"/>
      </rPr>
      <t>j</t>
    </r>
    <r>
      <rPr>
        <sz val="9"/>
        <color rgb="FF444448"/>
        <rFont val="Arial"/>
        <family val="2"/>
      </rPr>
      <t>asa/</t>
    </r>
    <r>
      <rPr>
        <sz val="9"/>
        <color rgb="FF232326"/>
        <rFont val="Arial"/>
        <family val="2"/>
      </rPr>
      <t>mi</t>
    </r>
    <r>
      <rPr>
        <sz val="9"/>
        <color rgb="FF444448"/>
        <rFont val="Arial"/>
        <family val="2"/>
      </rPr>
      <t>t</t>
    </r>
    <r>
      <rPr>
        <sz val="9"/>
        <color rgb="FF232326"/>
        <rFont val="Arial"/>
        <family val="2"/>
      </rPr>
      <t>r</t>
    </r>
    <r>
      <rPr>
        <sz val="9"/>
        <color rgb="FF444448"/>
        <rFont val="Arial"/>
        <family val="2"/>
      </rPr>
      <t xml:space="preserve">a/
</t>
    </r>
    <r>
      <rPr>
        <sz val="9"/>
        <color rgb="FF444448"/>
        <rFont val="Arial"/>
        <family val="2"/>
      </rPr>
      <t>konso</t>
    </r>
    <r>
      <rPr>
        <sz val="9"/>
        <color rgb="FF232326"/>
        <rFont val="Arial"/>
        <family val="2"/>
      </rPr>
      <t>r</t>
    </r>
    <r>
      <rPr>
        <sz val="9"/>
        <color rgb="FF444448"/>
        <rFont val="Arial"/>
        <family val="2"/>
      </rPr>
      <t>s</t>
    </r>
    <r>
      <rPr>
        <sz val="9"/>
        <color rgb="FF131518"/>
        <rFont val="Arial"/>
        <family val="2"/>
      </rPr>
      <t>i</t>
    </r>
    <r>
      <rPr>
        <sz val="9"/>
        <color rgb="FF333336"/>
        <rFont val="Arial"/>
        <family val="2"/>
      </rPr>
      <t>um</t>
    </r>
  </si>
  <si>
    <r>
      <rPr>
        <sz val="10"/>
        <color rgb="FF333336"/>
        <rFont val="Times New Roman"/>
        <family val="1"/>
      </rPr>
      <t>3</t>
    </r>
    <r>
      <rPr>
        <sz val="10"/>
        <color theme="1"/>
        <rFont val="Times New Roman"/>
        <family val="1"/>
      </rPr>
      <t>.</t>
    </r>
    <r>
      <rPr>
        <sz val="10"/>
        <color rgb="FF444448"/>
        <rFont val="Times New Roman"/>
        <family val="1"/>
      </rPr>
      <t>6.13.43</t>
    </r>
  </si>
  <si>
    <r>
      <rPr>
        <sz val="9"/>
        <color rgb="FF444448"/>
        <rFont val="Arial"/>
        <family val="2"/>
      </rPr>
      <t>R</t>
    </r>
    <r>
      <rPr>
        <sz val="9"/>
        <color rgb="FF232326"/>
        <rFont val="Arial"/>
        <family val="2"/>
      </rPr>
      <t>i</t>
    </r>
    <r>
      <rPr>
        <sz val="9"/>
        <color rgb="FF444448"/>
        <rFont val="Arial"/>
        <family val="2"/>
      </rPr>
      <t>s</t>
    </r>
    <r>
      <rPr>
        <sz val="9"/>
        <color rgb="FF232326"/>
        <rFont val="Arial"/>
        <family val="2"/>
      </rPr>
      <t>ik</t>
    </r>
    <r>
      <rPr>
        <sz val="9"/>
        <color rgb="FF444448"/>
        <rFont val="Arial"/>
        <family val="2"/>
      </rPr>
      <t>o eksekusi p</t>
    </r>
    <r>
      <rPr>
        <sz val="9"/>
        <color rgb="FF232326"/>
        <rFont val="Arial"/>
        <family val="2"/>
      </rPr>
      <t>r</t>
    </r>
    <r>
      <rPr>
        <sz val="9"/>
        <color rgb="FF444448"/>
        <rFont val="Arial"/>
        <family val="2"/>
      </rPr>
      <t>oyek</t>
    </r>
  </si>
  <si>
    <r>
      <rPr>
        <sz val="10"/>
        <color rgb="FF333336"/>
        <rFont val="Times New Roman"/>
        <family val="1"/>
      </rPr>
      <t>3.6.13.44</t>
    </r>
  </si>
  <si>
    <r>
      <rPr>
        <sz val="9"/>
        <color rgb="FF333336"/>
        <rFont val="Arial"/>
        <family val="2"/>
      </rPr>
      <t>Ris</t>
    </r>
    <r>
      <rPr>
        <sz val="9"/>
        <color rgb="FF606064"/>
        <rFont val="Arial"/>
        <family val="2"/>
      </rPr>
      <t>i</t>
    </r>
    <r>
      <rPr>
        <sz val="9"/>
        <color rgb="FF232326"/>
        <rFont val="Arial"/>
        <family val="2"/>
      </rPr>
      <t>k</t>
    </r>
    <r>
      <rPr>
        <sz val="9"/>
        <color rgb="FF444448"/>
        <rFont val="Arial"/>
        <family val="2"/>
      </rPr>
      <t>o p</t>
    </r>
    <r>
      <rPr>
        <sz val="9"/>
        <color rgb="FF606064"/>
        <rFont val="Arial"/>
        <family val="2"/>
      </rPr>
      <t>e</t>
    </r>
    <r>
      <rPr>
        <sz val="9"/>
        <color rgb="FF333336"/>
        <rFont val="Arial"/>
        <family val="2"/>
      </rPr>
      <t>nyelesaian</t>
    </r>
    <r>
      <rPr>
        <sz val="9"/>
        <color rgb="FF444448"/>
        <rFont val="Arial"/>
        <family val="2"/>
      </rPr>
      <t>proyek</t>
    </r>
  </si>
  <si>
    <r>
      <rPr>
        <b/>
        <sz val="9"/>
        <color rgb="FF1C1C21"/>
        <rFont val="Arial"/>
        <family val="2"/>
      </rPr>
      <t xml:space="preserve">T1
</t>
    </r>
    <r>
      <rPr>
        <b/>
        <sz val="9"/>
        <color rgb="FF1C1C21"/>
        <rFont val="Arial"/>
        <family val="2"/>
      </rPr>
      <t>(Terna Risiko)</t>
    </r>
  </si>
  <si>
    <r>
      <rPr>
        <b/>
        <sz val="9"/>
        <color rgb="FF1C1C21"/>
        <rFont val="Arial"/>
        <family val="2"/>
      </rPr>
      <t>T2</t>
    </r>
  </si>
  <si>
    <r>
      <rPr>
        <b/>
        <sz val="9"/>
        <color rgb="FF1C1C21"/>
        <rFont val="Arial"/>
        <family val="2"/>
      </rPr>
      <t xml:space="preserve">T3
</t>
    </r>
    <r>
      <rPr>
        <b/>
        <sz val="9"/>
        <color rgb="FF1C1C21"/>
        <rFont val="Arial"/>
        <family val="2"/>
      </rPr>
      <t>(Kelomook Peristiwa Risiko)</t>
    </r>
  </si>
  <si>
    <r>
      <rPr>
        <b/>
        <sz val="9"/>
        <color rgb="FF1C1C21"/>
        <rFont val="Arial"/>
        <family val="2"/>
      </rPr>
      <t xml:space="preserve">T4
</t>
    </r>
    <r>
      <rPr>
        <b/>
        <sz val="9"/>
        <color rgb="FF1C1C21"/>
        <rFont val="Arial"/>
        <family val="2"/>
      </rPr>
      <t>(Sub Kelomook Peristiwa Risiko)</t>
    </r>
  </si>
  <si>
    <r>
      <rPr>
        <b/>
        <sz val="9"/>
        <color rgb="FF1C1C21"/>
        <rFont val="Arial"/>
        <family val="2"/>
      </rPr>
      <t>Kateaori Risiko)</t>
    </r>
  </si>
  <si>
    <t>3.6.14</t>
  </si>
  <si>
    <r>
      <rPr>
        <sz val="8"/>
        <color rgb="FF48484B"/>
        <rFont val="Arial"/>
        <family val="2"/>
      </rPr>
      <t>Pe</t>
    </r>
    <r>
      <rPr>
        <sz val="8"/>
        <color rgb="FF1C1C21"/>
        <rFont val="Arial"/>
        <family val="2"/>
      </rPr>
      <t>r</t>
    </r>
    <r>
      <rPr>
        <sz val="8"/>
        <color rgb="FF48484B"/>
        <rFont val="Arial"/>
        <family val="2"/>
      </rPr>
      <t>istiwa Ris</t>
    </r>
    <r>
      <rPr>
        <sz val="8"/>
        <color rgb="FF1C1C21"/>
        <rFont val="Arial"/>
        <family val="2"/>
      </rPr>
      <t>i</t>
    </r>
    <r>
      <rPr>
        <sz val="8"/>
        <color rgb="FF5B5B5E"/>
        <rFont val="Arial"/>
        <family val="2"/>
      </rPr>
      <t xml:space="preserve">ko </t>
    </r>
    <r>
      <rPr>
        <sz val="8"/>
        <color rgb="FF1C1C21"/>
        <rFont val="Arial"/>
        <family val="2"/>
      </rPr>
      <t>t</t>
    </r>
    <r>
      <rPr>
        <sz val="8"/>
        <color rgb="FF48484B"/>
        <rFont val="Arial"/>
        <family val="2"/>
      </rPr>
      <t>e</t>
    </r>
    <r>
      <rPr>
        <sz val="8"/>
        <color rgb="FF1C1C21"/>
        <rFont val="Arial"/>
        <family val="2"/>
      </rPr>
      <t>r</t>
    </r>
    <r>
      <rPr>
        <sz val="8"/>
        <color rgb="FF48484B"/>
        <rFont val="Arial"/>
        <family val="2"/>
      </rPr>
      <t>ka</t>
    </r>
    <r>
      <rPr>
        <sz val="8"/>
        <color rgb="FF1C1C21"/>
        <rFont val="Arial"/>
        <family val="2"/>
      </rPr>
      <t>i</t>
    </r>
    <r>
      <rPr>
        <sz val="8"/>
        <color rgb="FF48484B"/>
        <rFont val="Arial"/>
        <family val="2"/>
      </rPr>
      <t xml:space="preserve">t
</t>
    </r>
    <r>
      <rPr>
        <sz val="8"/>
        <color rgb="FF48484B"/>
        <rFont val="Arial"/>
        <family val="2"/>
      </rPr>
      <t>tekno</t>
    </r>
    <r>
      <rPr>
        <sz val="8"/>
        <color rgb="FF1C1C21"/>
        <rFont val="Arial"/>
        <family val="2"/>
      </rPr>
      <t>l</t>
    </r>
    <r>
      <rPr>
        <sz val="8"/>
        <color rgb="FF48484B"/>
        <rFont val="Arial"/>
        <family val="2"/>
      </rPr>
      <t>og</t>
    </r>
    <r>
      <rPr>
        <sz val="8"/>
        <color rgb="FF1C1C21"/>
        <rFont val="Arial"/>
        <family val="2"/>
      </rPr>
      <t xml:space="preserve">i </t>
    </r>
    <r>
      <rPr>
        <sz val="8"/>
        <color rgb="FF48484B"/>
        <rFont val="Arial"/>
        <family val="2"/>
      </rPr>
      <t>info</t>
    </r>
    <r>
      <rPr>
        <sz val="8"/>
        <color rgb="FF1C1C21"/>
        <rFont val="Arial"/>
        <family val="2"/>
      </rPr>
      <t>r</t>
    </r>
    <r>
      <rPr>
        <sz val="8"/>
        <color rgb="FF48484B"/>
        <rFont val="Arial"/>
        <family val="2"/>
      </rPr>
      <t>mas</t>
    </r>
    <r>
      <rPr>
        <sz val="8"/>
        <color rgb="FF1C1C21"/>
        <rFont val="Arial"/>
        <family val="2"/>
      </rPr>
      <t xml:space="preserve">i </t>
    </r>
    <r>
      <rPr>
        <sz val="8"/>
        <color rgb="FF48484B"/>
        <rFont val="Arial"/>
        <family val="2"/>
      </rPr>
      <t xml:space="preserve">dan </t>
    </r>
    <r>
      <rPr>
        <sz val="8"/>
        <color rgb="FF5B5B5E"/>
        <rFont val="Arial"/>
        <family val="2"/>
      </rPr>
      <t>kea</t>
    </r>
    <r>
      <rPr>
        <sz val="8"/>
        <color rgb="FF343438"/>
        <rFont val="Arial"/>
        <family val="2"/>
      </rPr>
      <t xml:space="preserve">manan </t>
    </r>
    <r>
      <rPr>
        <sz val="8"/>
        <color rgb="FF48484B"/>
        <rFont val="Arial"/>
        <family val="2"/>
      </rPr>
      <t>siber</t>
    </r>
  </si>
  <si>
    <r>
      <rPr>
        <sz val="10"/>
        <color rgb="FF48484B"/>
        <rFont val="Times New Roman"/>
        <family val="1"/>
      </rPr>
      <t>3</t>
    </r>
    <r>
      <rPr>
        <sz val="10"/>
        <color rgb="FF1C1C21"/>
        <rFont val="Times New Roman"/>
        <family val="1"/>
      </rPr>
      <t>.</t>
    </r>
    <r>
      <rPr>
        <sz val="10"/>
        <color rgb="FF48484B"/>
        <rFont val="Times New Roman"/>
        <family val="1"/>
      </rPr>
      <t>6.14.45</t>
    </r>
  </si>
  <si>
    <r>
      <rPr>
        <sz val="8"/>
        <color rgb="FF48484B"/>
        <rFont val="Arial"/>
        <family val="2"/>
      </rPr>
      <t>Ris</t>
    </r>
    <r>
      <rPr>
        <sz val="8"/>
        <color rgb="FF6E6E74"/>
        <rFont val="Arial"/>
        <family val="2"/>
      </rPr>
      <t>i</t>
    </r>
    <r>
      <rPr>
        <sz val="8"/>
        <color rgb="FF48484B"/>
        <rFont val="Arial"/>
        <family val="2"/>
      </rPr>
      <t>ko tek</t>
    </r>
    <r>
      <rPr>
        <sz val="8"/>
        <color rgb="FF6E6E74"/>
        <rFont val="Arial"/>
        <family val="2"/>
      </rPr>
      <t>no</t>
    </r>
    <r>
      <rPr>
        <sz val="8"/>
        <color rgb="FF48484B"/>
        <rFont val="Arial"/>
        <family val="2"/>
      </rPr>
      <t>log</t>
    </r>
    <r>
      <rPr>
        <sz val="8"/>
        <color rgb="FF1C1C21"/>
        <rFont val="Arial"/>
        <family val="2"/>
      </rPr>
      <t xml:space="preserve">i </t>
    </r>
    <r>
      <rPr>
        <sz val="8"/>
        <color rgb="FF5B5B5E"/>
        <rFont val="Arial"/>
        <family val="2"/>
      </rPr>
      <t>informasi</t>
    </r>
  </si>
  <si>
    <r>
      <rPr>
        <sz val="10"/>
        <color rgb="FF48484B"/>
        <rFont val="Times New Roman"/>
        <family val="1"/>
      </rPr>
      <t>3.6.14.46</t>
    </r>
  </si>
  <si>
    <r>
      <rPr>
        <sz val="8"/>
        <color rgb="FF48484B"/>
        <rFont val="Arial"/>
        <family val="2"/>
      </rPr>
      <t>Ris</t>
    </r>
    <r>
      <rPr>
        <sz val="8"/>
        <color rgb="FF6E6E74"/>
        <rFont val="Arial"/>
        <family val="2"/>
      </rPr>
      <t>i</t>
    </r>
    <r>
      <rPr>
        <sz val="8"/>
        <color rgb="FF48484B"/>
        <rFont val="Arial"/>
        <family val="2"/>
      </rPr>
      <t xml:space="preserve">ko </t>
    </r>
    <r>
      <rPr>
        <sz val="8"/>
        <color rgb="FF5B5B5E"/>
        <rFont val="Arial"/>
        <family val="2"/>
      </rPr>
      <t xml:space="preserve">keamanan </t>
    </r>
    <r>
      <rPr>
        <sz val="8"/>
        <color rgb="FF48484B"/>
        <rFont val="Arial"/>
        <family val="2"/>
      </rPr>
      <t>siber</t>
    </r>
  </si>
  <si>
    <t>3.6.15</t>
  </si>
  <si>
    <r>
      <rPr>
        <sz val="8"/>
        <color rgb="FF48484B"/>
        <rFont val="Arial"/>
        <family val="2"/>
      </rPr>
      <t>Perist</t>
    </r>
    <r>
      <rPr>
        <sz val="8"/>
        <color rgb="FF6E6E74"/>
        <rFont val="Arial"/>
        <family val="2"/>
      </rPr>
      <t>i</t>
    </r>
    <r>
      <rPr>
        <sz val="8"/>
        <color rgb="FF48484B"/>
        <rFont val="Arial"/>
        <family val="2"/>
      </rPr>
      <t>wa Ris</t>
    </r>
    <r>
      <rPr>
        <sz val="8"/>
        <color rgb="FF1C1C21"/>
        <rFont val="Arial"/>
        <family val="2"/>
      </rPr>
      <t>i</t>
    </r>
    <r>
      <rPr>
        <sz val="8"/>
        <color rgb="FF6E6E74"/>
        <rFont val="Arial"/>
        <family val="2"/>
      </rPr>
      <t>k</t>
    </r>
    <r>
      <rPr>
        <sz val="8"/>
        <color rgb="FF48484B"/>
        <rFont val="Arial"/>
        <family val="2"/>
      </rPr>
      <t xml:space="preserve">o </t>
    </r>
    <r>
      <rPr>
        <sz val="8"/>
        <color rgb="FF1C1C21"/>
        <rFont val="Arial"/>
        <family val="2"/>
      </rPr>
      <t>t</t>
    </r>
    <r>
      <rPr>
        <sz val="8"/>
        <color rgb="FF48484B"/>
        <rFont val="Arial"/>
        <family val="2"/>
      </rPr>
      <t>e</t>
    </r>
    <r>
      <rPr>
        <sz val="8"/>
        <color rgb="FF1C1C21"/>
        <rFont val="Arial"/>
        <family val="2"/>
      </rPr>
      <t>r</t>
    </r>
    <r>
      <rPr>
        <sz val="8"/>
        <color rgb="FF48484B"/>
        <rFont val="Arial"/>
        <family val="2"/>
      </rPr>
      <t>kait sosia</t>
    </r>
    <r>
      <rPr>
        <sz val="8"/>
        <color rgb="FF1C1C21"/>
        <rFont val="Arial"/>
        <family val="2"/>
      </rPr>
      <t xml:space="preserve">l </t>
    </r>
    <r>
      <rPr>
        <sz val="8"/>
        <color rgb="FF48484B"/>
        <rFont val="Arial"/>
        <family val="2"/>
      </rPr>
      <t xml:space="preserve">dan </t>
    </r>
    <r>
      <rPr>
        <sz val="8"/>
        <color rgb="FF343438"/>
        <rFont val="Arial"/>
        <family val="2"/>
      </rPr>
      <t>ling</t>
    </r>
    <r>
      <rPr>
        <sz val="8"/>
        <color rgb="FF5B5B5E"/>
        <rFont val="Arial"/>
        <family val="2"/>
      </rPr>
      <t>kungan</t>
    </r>
  </si>
  <si>
    <r>
      <rPr>
        <sz val="10"/>
        <color rgb="FF343438"/>
        <rFont val="Times New Roman"/>
        <family val="1"/>
      </rPr>
      <t>3.6.15.47</t>
    </r>
  </si>
  <si>
    <r>
      <rPr>
        <sz val="8"/>
        <color rgb="FF48484B"/>
        <rFont val="Arial"/>
        <family val="2"/>
      </rPr>
      <t>R</t>
    </r>
    <r>
      <rPr>
        <sz val="8"/>
        <color rgb="FF1C1C21"/>
        <rFont val="Arial"/>
        <family val="2"/>
      </rPr>
      <t>i</t>
    </r>
    <r>
      <rPr>
        <sz val="8"/>
        <color rgb="FF48484B"/>
        <rFont val="Arial"/>
        <family val="2"/>
      </rPr>
      <t>siko sosia</t>
    </r>
    <r>
      <rPr>
        <sz val="8"/>
        <color rgb="FF1C1C21"/>
        <rFont val="Arial"/>
        <family val="2"/>
      </rPr>
      <t>l</t>
    </r>
  </si>
  <si>
    <r>
      <rPr>
        <sz val="10"/>
        <color rgb="FF48484B"/>
        <rFont val="Times New Roman"/>
        <family val="1"/>
      </rPr>
      <t>3.6.15</t>
    </r>
    <r>
      <rPr>
        <sz val="10"/>
        <color rgb="FF1C1C21"/>
        <rFont val="Times New Roman"/>
        <family val="1"/>
      </rPr>
      <t>.4</t>
    </r>
    <r>
      <rPr>
        <sz val="10"/>
        <color rgb="FF48484B"/>
        <rFont val="Times New Roman"/>
        <family val="1"/>
      </rPr>
      <t>8</t>
    </r>
  </si>
  <si>
    <r>
      <rPr>
        <sz val="8"/>
        <color rgb="FF48484B"/>
        <rFont val="Arial"/>
        <family val="2"/>
      </rPr>
      <t>R</t>
    </r>
    <r>
      <rPr>
        <sz val="8"/>
        <color rgb="FF1C1C21"/>
        <rFont val="Arial"/>
        <family val="2"/>
      </rPr>
      <t>i</t>
    </r>
    <r>
      <rPr>
        <sz val="8"/>
        <color rgb="FF48484B"/>
        <rFont val="Arial"/>
        <family val="2"/>
      </rPr>
      <t xml:space="preserve">siko </t>
    </r>
    <r>
      <rPr>
        <sz val="8"/>
        <color rgb="FF6E6E74"/>
        <rFont val="Arial"/>
        <family val="2"/>
      </rPr>
      <t>l</t>
    </r>
    <r>
      <rPr>
        <sz val="8"/>
        <color rgb="FF1C1C21"/>
        <rFont val="Arial"/>
        <family val="2"/>
      </rPr>
      <t>i</t>
    </r>
    <r>
      <rPr>
        <sz val="8"/>
        <color rgb="FF48484B"/>
        <rFont val="Arial"/>
        <family val="2"/>
      </rPr>
      <t>ngkungan</t>
    </r>
  </si>
  <si>
    <r>
      <rPr>
        <sz val="10"/>
        <color rgb="FF48484B"/>
        <rFont val="Times New Roman"/>
        <family val="1"/>
      </rPr>
      <t>3</t>
    </r>
    <r>
      <rPr>
        <sz val="10"/>
        <color rgb="FF1C1C21"/>
        <rFont val="Times New Roman"/>
        <family val="1"/>
      </rPr>
      <t>.</t>
    </r>
    <r>
      <rPr>
        <sz val="10"/>
        <color rgb="FF48484B"/>
        <rFont val="Times New Roman"/>
        <family val="1"/>
      </rPr>
      <t>6.15.49</t>
    </r>
  </si>
  <si>
    <r>
      <rPr>
        <sz val="8"/>
        <color rgb="FF48484B"/>
        <rFont val="Arial"/>
        <family val="2"/>
      </rPr>
      <t>R</t>
    </r>
    <r>
      <rPr>
        <sz val="8"/>
        <color rgb="FF1C1C21"/>
        <rFont val="Arial"/>
        <family val="2"/>
      </rPr>
      <t>i</t>
    </r>
    <r>
      <rPr>
        <sz val="8"/>
        <color rgb="FF48484B"/>
        <rFont val="Arial"/>
        <family val="2"/>
      </rPr>
      <t xml:space="preserve">siko </t>
    </r>
    <r>
      <rPr>
        <sz val="8"/>
        <color rgb="FF5B5B5E"/>
        <rFont val="Arial"/>
        <family val="2"/>
      </rPr>
      <t xml:space="preserve">transisi </t>
    </r>
    <r>
      <rPr>
        <sz val="8"/>
        <color rgb="FF48484B"/>
        <rFont val="Arial"/>
        <family val="2"/>
      </rPr>
      <t>ene</t>
    </r>
    <r>
      <rPr>
        <sz val="8"/>
        <color rgb="FF1C1C21"/>
        <rFont val="Arial"/>
        <family val="2"/>
      </rPr>
      <t>r</t>
    </r>
    <r>
      <rPr>
        <sz val="8"/>
        <color rgb="FF48484B"/>
        <rFont val="Arial"/>
        <family val="2"/>
      </rPr>
      <t>gi</t>
    </r>
  </si>
  <si>
    <t>3.6.16</t>
  </si>
  <si>
    <r>
      <rPr>
        <sz val="8"/>
        <color rgb="FF48484B"/>
        <rFont val="Arial"/>
        <family val="2"/>
      </rPr>
      <t>Per</t>
    </r>
    <r>
      <rPr>
        <sz val="8"/>
        <color rgb="FF1C1C21"/>
        <rFont val="Arial"/>
        <family val="2"/>
      </rPr>
      <t>i</t>
    </r>
    <r>
      <rPr>
        <sz val="8"/>
        <color rgb="FF48484B"/>
        <rFont val="Arial"/>
        <family val="2"/>
      </rPr>
      <t>st</t>
    </r>
    <r>
      <rPr>
        <sz val="8"/>
        <color rgb="FF6E6E74"/>
        <rFont val="Arial"/>
        <family val="2"/>
      </rPr>
      <t>i</t>
    </r>
    <r>
      <rPr>
        <sz val="8"/>
        <color rgb="FF48484B"/>
        <rFont val="Arial"/>
        <family val="2"/>
      </rPr>
      <t>wa Ris</t>
    </r>
    <r>
      <rPr>
        <sz val="8"/>
        <color rgb="FF1C1C21"/>
        <rFont val="Arial"/>
        <family val="2"/>
      </rPr>
      <t>i</t>
    </r>
    <r>
      <rPr>
        <sz val="8"/>
        <color rgb="FF6E6E74"/>
        <rFont val="Arial"/>
        <family val="2"/>
      </rPr>
      <t>k</t>
    </r>
    <r>
      <rPr>
        <sz val="8"/>
        <color rgb="FF48484B"/>
        <rFont val="Arial"/>
        <family val="2"/>
      </rPr>
      <t xml:space="preserve">o </t>
    </r>
    <r>
      <rPr>
        <sz val="8"/>
        <color rgb="FF1C1C21"/>
        <rFont val="Arial"/>
        <family val="2"/>
      </rPr>
      <t>t</t>
    </r>
    <r>
      <rPr>
        <sz val="8"/>
        <color rgb="FF48484B"/>
        <rFont val="Arial"/>
        <family val="2"/>
      </rPr>
      <t>e</t>
    </r>
    <r>
      <rPr>
        <sz val="8"/>
        <color rgb="FF1C1C21"/>
        <rFont val="Arial"/>
        <family val="2"/>
      </rPr>
      <t>r</t>
    </r>
    <r>
      <rPr>
        <sz val="8"/>
        <color rgb="FF48484B"/>
        <rFont val="Arial"/>
        <family val="2"/>
      </rPr>
      <t>ka</t>
    </r>
    <r>
      <rPr>
        <sz val="8"/>
        <color rgb="FF1C1C21"/>
        <rFont val="Arial"/>
        <family val="2"/>
      </rPr>
      <t>i</t>
    </r>
    <r>
      <rPr>
        <sz val="8"/>
        <color rgb="FF48484B"/>
        <rFont val="Arial"/>
        <family val="2"/>
      </rPr>
      <t>t operas</t>
    </r>
    <r>
      <rPr>
        <sz val="8"/>
        <color rgb="FF1C1C21"/>
        <rFont val="Arial"/>
        <family val="2"/>
      </rPr>
      <t>i</t>
    </r>
    <r>
      <rPr>
        <sz val="8"/>
        <color rgb="FF48484B"/>
        <rFont val="Arial"/>
        <family val="2"/>
      </rPr>
      <t>onal</t>
    </r>
  </si>
  <si>
    <r>
      <rPr>
        <sz val="10"/>
        <color rgb="FF48484B"/>
        <rFont val="Times New Roman"/>
        <family val="1"/>
      </rPr>
      <t>3.6.16.50</t>
    </r>
  </si>
  <si>
    <r>
      <rPr>
        <sz val="8"/>
        <color rgb="FF48484B"/>
        <rFont val="Arial"/>
        <family val="2"/>
      </rPr>
      <t>R</t>
    </r>
    <r>
      <rPr>
        <sz val="8"/>
        <color rgb="FF1C1C21"/>
        <rFont val="Arial"/>
        <family val="2"/>
      </rPr>
      <t>i</t>
    </r>
    <r>
      <rPr>
        <sz val="8"/>
        <color rgb="FF48484B"/>
        <rFont val="Arial"/>
        <family val="2"/>
      </rPr>
      <t>siko ran</t>
    </r>
    <r>
      <rPr>
        <sz val="8"/>
        <color rgb="FF1C1C21"/>
        <rFont val="Arial"/>
        <family val="2"/>
      </rPr>
      <t>t</t>
    </r>
    <r>
      <rPr>
        <sz val="8"/>
        <color rgb="FF48484B"/>
        <rFont val="Arial"/>
        <family val="2"/>
      </rPr>
      <t>a</t>
    </r>
    <r>
      <rPr>
        <sz val="8"/>
        <color rgb="FF828285"/>
        <rFont val="Arial"/>
        <family val="2"/>
      </rPr>
      <t xml:space="preserve">i </t>
    </r>
    <r>
      <rPr>
        <sz val="8"/>
        <color rgb="FF5B5B5E"/>
        <rFont val="Arial"/>
        <family val="2"/>
      </rPr>
      <t>paso</t>
    </r>
    <r>
      <rPr>
        <sz val="8"/>
        <color rgb="FF343438"/>
        <rFont val="Arial"/>
        <family val="2"/>
      </rPr>
      <t>k</t>
    </r>
  </si>
  <si>
    <r>
      <rPr>
        <sz val="10"/>
        <color rgb="FF343438"/>
        <rFont val="Times New Roman"/>
        <family val="1"/>
      </rPr>
      <t>3.6.16.51</t>
    </r>
  </si>
  <si>
    <r>
      <rPr>
        <sz val="8"/>
        <color rgb="FF48484B"/>
        <rFont val="Arial"/>
        <family val="2"/>
      </rPr>
      <t>R</t>
    </r>
    <r>
      <rPr>
        <sz val="8"/>
        <color rgb="FF1C1C21"/>
        <rFont val="Arial"/>
        <family val="2"/>
      </rPr>
      <t>i</t>
    </r>
    <r>
      <rPr>
        <sz val="8"/>
        <color rgb="FF48484B"/>
        <rFont val="Arial"/>
        <family val="2"/>
      </rPr>
      <t>siko Kese</t>
    </r>
    <r>
      <rPr>
        <sz val="8"/>
        <color rgb="FF1C1C21"/>
        <rFont val="Arial"/>
        <family val="2"/>
      </rPr>
      <t>h</t>
    </r>
    <r>
      <rPr>
        <sz val="8"/>
        <color rgb="FF48484B"/>
        <rFont val="Arial"/>
        <family val="2"/>
      </rPr>
      <t xml:space="preserve">atan
</t>
    </r>
    <r>
      <rPr>
        <sz val="8"/>
        <color rgb="FF48484B"/>
        <rFont val="Arial"/>
        <family val="2"/>
      </rPr>
      <t xml:space="preserve">Keselamatan </t>
    </r>
    <r>
      <rPr>
        <sz val="8"/>
        <color rgb="FF1C1C21"/>
        <rFont val="Arial"/>
        <family val="2"/>
      </rPr>
      <t>K</t>
    </r>
    <r>
      <rPr>
        <sz val="8"/>
        <color rgb="FF48484B"/>
        <rFont val="Arial"/>
        <family val="2"/>
      </rPr>
      <t xml:space="preserve">erja </t>
    </r>
    <r>
      <rPr>
        <sz val="8"/>
        <color rgb="FF5B5B5E"/>
        <rFont val="Arial"/>
        <family val="2"/>
      </rPr>
      <t>(</t>
    </r>
    <r>
      <rPr>
        <sz val="8"/>
        <color rgb="FF343438"/>
        <rFont val="Arial"/>
        <family val="2"/>
      </rPr>
      <t>K3)</t>
    </r>
  </si>
  <si>
    <r>
      <rPr>
        <sz val="10"/>
        <color rgb="FF343438"/>
        <rFont val="Times New Roman"/>
        <family val="1"/>
      </rPr>
      <t>3</t>
    </r>
    <r>
      <rPr>
        <sz val="10"/>
        <color rgb="FF5B5B5E"/>
        <rFont val="Times New Roman"/>
        <family val="1"/>
      </rPr>
      <t>.6</t>
    </r>
    <r>
      <rPr>
        <sz val="10"/>
        <color rgb="FF343438"/>
        <rFont val="Times New Roman"/>
        <family val="1"/>
      </rPr>
      <t>.16.52</t>
    </r>
  </si>
  <si>
    <r>
      <rPr>
        <sz val="8"/>
        <color rgb="FF48484B"/>
        <rFont val="Arial"/>
        <family val="2"/>
      </rPr>
      <t>R</t>
    </r>
    <r>
      <rPr>
        <sz val="8"/>
        <color rgb="FF1C1C21"/>
        <rFont val="Arial"/>
        <family val="2"/>
      </rPr>
      <t>i</t>
    </r>
    <r>
      <rPr>
        <sz val="8"/>
        <color rgb="FF48484B"/>
        <rFont val="Arial"/>
        <family val="2"/>
      </rPr>
      <t xml:space="preserve">siko proses </t>
    </r>
    <r>
      <rPr>
        <sz val="8"/>
        <color rgb="FF1C1C21"/>
        <rFont val="Arial"/>
        <family val="2"/>
      </rPr>
      <t>in</t>
    </r>
    <r>
      <rPr>
        <sz val="8"/>
        <color rgb="FF5B5B5E"/>
        <rFont val="Arial"/>
        <family val="2"/>
      </rPr>
      <t>ternal</t>
    </r>
  </si>
  <si>
    <r>
      <rPr>
        <sz val="10"/>
        <color rgb="FF343438"/>
        <rFont val="Times New Roman"/>
        <family val="1"/>
      </rPr>
      <t>3.6.16.53</t>
    </r>
  </si>
  <si>
    <r>
      <rPr>
        <sz val="8"/>
        <color rgb="FF343438"/>
        <rFont val="Arial"/>
        <family val="2"/>
      </rPr>
      <t xml:space="preserve">Risiko </t>
    </r>
    <r>
      <rPr>
        <sz val="8"/>
        <color rgb="FF48484B"/>
        <rFont val="Arial"/>
        <family val="2"/>
      </rPr>
      <t>s</t>
    </r>
    <r>
      <rPr>
        <sz val="8"/>
        <color rgb="FF1C1C21"/>
        <rFont val="Arial"/>
        <family val="2"/>
      </rPr>
      <t>i</t>
    </r>
    <r>
      <rPr>
        <sz val="8"/>
        <color rgb="FF48484B"/>
        <rFont val="Arial"/>
        <family val="2"/>
      </rPr>
      <t>stem</t>
    </r>
  </si>
  <si>
    <r>
      <rPr>
        <sz val="10"/>
        <color rgb="FF343438"/>
        <rFont val="Times New Roman"/>
        <family val="1"/>
      </rPr>
      <t>3.6.16.54</t>
    </r>
  </si>
  <si>
    <r>
      <rPr>
        <sz val="8"/>
        <color rgb="FF343438"/>
        <rFont val="Arial"/>
        <family val="2"/>
      </rPr>
      <t>Risi</t>
    </r>
    <r>
      <rPr>
        <sz val="8"/>
        <color rgb="FF5B5B5E"/>
        <rFont val="Arial"/>
        <family val="2"/>
      </rPr>
      <t>ko energ</t>
    </r>
    <r>
      <rPr>
        <sz val="8"/>
        <color rgb="FF343438"/>
        <rFont val="Arial"/>
        <family val="2"/>
      </rPr>
      <t xml:space="preserve">i </t>
    </r>
    <r>
      <rPr>
        <sz val="8"/>
        <color rgb="FF48484B"/>
        <rFont val="Arial"/>
        <family val="2"/>
      </rPr>
      <t>primer</t>
    </r>
  </si>
  <si>
    <r>
      <rPr>
        <sz val="10"/>
        <color rgb="FF48484B"/>
        <rFont val="Times New Roman"/>
        <family val="1"/>
      </rPr>
      <t>3</t>
    </r>
    <r>
      <rPr>
        <sz val="10"/>
        <color rgb="FF1C1C21"/>
        <rFont val="Times New Roman"/>
        <family val="1"/>
      </rPr>
      <t>.</t>
    </r>
    <r>
      <rPr>
        <sz val="10"/>
        <color rgb="FF48484B"/>
        <rFont val="Times New Roman"/>
        <family val="1"/>
      </rPr>
      <t>6.16.55</t>
    </r>
  </si>
  <si>
    <r>
      <rPr>
        <sz val="8"/>
        <color rgb="FF343438"/>
        <rFont val="Arial"/>
        <family val="2"/>
      </rPr>
      <t>Risi</t>
    </r>
    <r>
      <rPr>
        <sz val="8"/>
        <color rgb="FF5B5B5E"/>
        <rFont val="Arial"/>
        <family val="2"/>
      </rPr>
      <t>ko pembangk</t>
    </r>
    <r>
      <rPr>
        <sz val="8"/>
        <color rgb="FF343438"/>
        <rFont val="Arial"/>
        <family val="2"/>
      </rPr>
      <t>it</t>
    </r>
  </si>
  <si>
    <r>
      <rPr>
        <sz val="10"/>
        <color rgb="FF48484B"/>
        <rFont val="Times New Roman"/>
        <family val="1"/>
      </rPr>
      <t>3.6.16.56</t>
    </r>
  </si>
  <si>
    <r>
      <rPr>
        <sz val="8"/>
        <color rgb="FF343438"/>
        <rFont val="Arial"/>
        <family val="2"/>
      </rPr>
      <t>R</t>
    </r>
    <r>
      <rPr>
        <sz val="8"/>
        <color rgb="FF6E6E74"/>
        <rFont val="Arial"/>
        <family val="2"/>
      </rPr>
      <t>i</t>
    </r>
    <r>
      <rPr>
        <sz val="8"/>
        <color rgb="FF48484B"/>
        <rFont val="Arial"/>
        <family val="2"/>
      </rPr>
      <t xml:space="preserve">siko </t>
    </r>
    <r>
      <rPr>
        <sz val="8"/>
        <color rgb="FF6E6E74"/>
        <rFont val="Arial"/>
        <family val="2"/>
      </rPr>
      <t>t</t>
    </r>
    <r>
      <rPr>
        <sz val="8"/>
        <color rgb="FF48484B"/>
        <rFont val="Arial"/>
        <family val="2"/>
      </rPr>
      <t>ransm</t>
    </r>
    <r>
      <rPr>
        <sz val="8"/>
        <color rgb="FF1C1C21"/>
        <rFont val="Arial"/>
        <family val="2"/>
      </rPr>
      <t>i</t>
    </r>
    <r>
      <rPr>
        <sz val="8"/>
        <color rgb="FF48484B"/>
        <rFont val="Arial"/>
        <family val="2"/>
      </rPr>
      <t>s</t>
    </r>
    <r>
      <rPr>
        <sz val="8"/>
        <color rgb="FF1C1C21"/>
        <rFont val="Arial"/>
        <family val="2"/>
      </rPr>
      <t>i</t>
    </r>
  </si>
  <si>
    <r>
      <rPr>
        <sz val="10"/>
        <color rgb="FF343438"/>
        <rFont val="Times New Roman"/>
        <family val="1"/>
      </rPr>
      <t>3.6.16.57</t>
    </r>
  </si>
  <si>
    <r>
      <rPr>
        <sz val="8"/>
        <color rgb="FF48484B"/>
        <rFont val="Arial"/>
        <family val="2"/>
      </rPr>
      <t>Risiko dis</t>
    </r>
    <r>
      <rPr>
        <sz val="8"/>
        <color rgb="FF1C1C21"/>
        <rFont val="Arial"/>
        <family val="2"/>
      </rPr>
      <t>tr</t>
    </r>
    <r>
      <rPr>
        <sz val="8"/>
        <color rgb="FF5B5B5E"/>
        <rFont val="Arial"/>
        <family val="2"/>
      </rPr>
      <t>ibusi</t>
    </r>
  </si>
  <si>
    <r>
      <rPr>
        <sz val="10"/>
        <color rgb="FF48484B"/>
        <rFont val="Times New Roman"/>
        <family val="1"/>
      </rPr>
      <t>3.6.16.58</t>
    </r>
  </si>
  <si>
    <r>
      <rPr>
        <sz val="8"/>
        <color rgb="FF48484B"/>
        <rFont val="Arial"/>
        <family val="2"/>
      </rPr>
      <t xml:space="preserve">Risiko </t>
    </r>
    <r>
      <rPr>
        <sz val="8"/>
        <color rgb="FF5B5B5E"/>
        <rFont val="Arial"/>
        <family val="2"/>
      </rPr>
      <t>niaga</t>
    </r>
  </si>
  <si>
    <r>
      <rPr>
        <sz val="9"/>
        <color rgb="FF212124"/>
        <rFont val="Arial"/>
        <family val="2"/>
      </rPr>
      <t xml:space="preserve">LAMPIRAN </t>
    </r>
    <r>
      <rPr>
        <sz val="9"/>
        <color rgb="FF000000"/>
        <rFont val="Arial"/>
        <family val="2"/>
      </rPr>
      <t xml:space="preserve">II </t>
    </r>
    <r>
      <rPr>
        <sz val="9"/>
        <color rgb="FF212124"/>
        <rFont val="Arial"/>
        <family val="2"/>
      </rPr>
      <t>PE</t>
    </r>
    <r>
      <rPr>
        <sz val="9"/>
        <color rgb="FF000000"/>
        <rFont val="Arial"/>
        <family val="2"/>
      </rPr>
      <t>T</t>
    </r>
    <r>
      <rPr>
        <sz val="9"/>
        <color rgb="FF212124"/>
        <rFont val="Arial"/>
        <family val="2"/>
      </rPr>
      <t>UNJUK TEKN</t>
    </r>
    <r>
      <rPr>
        <sz val="9"/>
        <color rgb="FF000000"/>
        <rFont val="Arial"/>
        <family val="2"/>
      </rPr>
      <t>I</t>
    </r>
    <r>
      <rPr>
        <sz val="9"/>
        <color rgb="FF363438"/>
        <rFont val="Arial"/>
        <family val="2"/>
      </rPr>
      <t xml:space="preserve">S </t>
    </r>
    <r>
      <rPr>
        <sz val="9"/>
        <color rgb="FF212124"/>
        <rFont val="Arial"/>
        <family val="2"/>
      </rPr>
      <t xml:space="preserve">NOMOR
</t>
    </r>
    <r>
      <rPr>
        <b/>
        <sz val="9"/>
        <color rgb="FF212124"/>
        <rFont val="Arial"/>
        <family val="2"/>
      </rPr>
      <t>TAKSONOMI RI</t>
    </r>
    <r>
      <rPr>
        <b/>
        <sz val="9"/>
        <color rgb="FF000000"/>
        <rFont val="Arial"/>
        <family val="2"/>
      </rPr>
      <t>S</t>
    </r>
    <r>
      <rPr>
        <b/>
        <sz val="9"/>
        <color rgb="FF212124"/>
        <rFont val="Arial"/>
        <family val="2"/>
      </rPr>
      <t>IKO PLN T</t>
    </r>
    <r>
      <rPr>
        <b/>
        <sz val="9"/>
        <color rgb="FF000000"/>
        <rFont val="Arial"/>
        <family val="2"/>
      </rPr>
      <t>I</t>
    </r>
    <r>
      <rPr>
        <b/>
        <sz val="9"/>
        <color rgb="FF212124"/>
        <rFont val="Arial"/>
        <family val="2"/>
      </rPr>
      <t>NGKAT 3 (</t>
    </r>
    <r>
      <rPr>
        <b/>
        <sz val="9"/>
        <color rgb="FF000000"/>
        <rFont val="Arial"/>
        <family val="2"/>
      </rPr>
      <t>T</t>
    </r>
    <r>
      <rPr>
        <b/>
        <sz val="9"/>
        <color rgb="FF212124"/>
        <rFont val="Arial"/>
        <family val="2"/>
      </rPr>
      <t>3)</t>
    </r>
  </si>
  <si>
    <r>
      <rPr>
        <b/>
        <sz val="8"/>
        <color rgb="FF212124"/>
        <rFont val="Arial"/>
        <family val="2"/>
      </rPr>
      <t>No</t>
    </r>
  </si>
  <si>
    <r>
      <rPr>
        <b/>
        <sz val="8"/>
        <color rgb="FF212124"/>
        <rFont val="Arial"/>
        <family val="2"/>
      </rPr>
      <t>Kelompok Per</t>
    </r>
    <r>
      <rPr>
        <b/>
        <sz val="8"/>
        <color theme="1"/>
        <rFont val="Arial"/>
        <family val="2"/>
      </rPr>
      <t>i</t>
    </r>
    <r>
      <rPr>
        <b/>
        <sz val="8"/>
        <color rgb="FF212124"/>
        <rFont val="Arial"/>
        <family val="2"/>
      </rPr>
      <t>stiwa Risiko {T3)</t>
    </r>
  </si>
  <si>
    <r>
      <rPr>
        <b/>
        <sz val="8"/>
        <color rgb="FF212124"/>
        <rFont val="Arial"/>
        <family val="2"/>
      </rPr>
      <t>Pengertian</t>
    </r>
  </si>
  <si>
    <r>
      <rPr>
        <sz val="9"/>
        <color rgb="FF212124"/>
        <rFont val="Arial"/>
        <family val="2"/>
      </rPr>
      <t>Ri</t>
    </r>
    <r>
      <rPr>
        <sz val="9"/>
        <color rgb="FF484649"/>
        <rFont val="Arial"/>
        <family val="2"/>
      </rPr>
      <t xml:space="preserve">siko </t>
    </r>
    <r>
      <rPr>
        <sz val="9"/>
        <color rgb="FF212124"/>
        <rFont val="Arial"/>
        <family val="2"/>
      </rPr>
      <t>t</t>
    </r>
    <r>
      <rPr>
        <sz val="9"/>
        <color rgb="FF484649"/>
        <rFont val="Arial"/>
        <family val="2"/>
      </rPr>
      <t>erka</t>
    </r>
    <r>
      <rPr>
        <sz val="9"/>
        <color rgb="FF212124"/>
        <rFont val="Arial"/>
        <family val="2"/>
      </rPr>
      <t>i</t>
    </r>
    <r>
      <rPr>
        <sz val="9"/>
        <color rgb="FF484649"/>
        <rFont val="Arial"/>
        <family val="2"/>
      </rPr>
      <t>t dividen</t>
    </r>
  </si>
  <si>
    <r>
      <rPr>
        <sz val="9"/>
        <color rgb="FF363438"/>
        <rFont val="Arial"/>
        <family val="2"/>
      </rPr>
      <t xml:space="preserve">Peristiwa   </t>
    </r>
    <r>
      <rPr>
        <sz val="9"/>
        <color rgb="FF484649"/>
        <rFont val="Arial"/>
        <family val="2"/>
      </rPr>
      <t>Risiko  yang  disebabkan   oleh  kegagalan  dalam  pembayaran   div</t>
    </r>
    <r>
      <rPr>
        <sz val="9"/>
        <color rgb="FF66666B"/>
        <rFont val="Arial"/>
        <family val="2"/>
      </rPr>
      <t>i</t>
    </r>
    <r>
      <rPr>
        <sz val="9"/>
        <color rgb="FF484649"/>
        <rFont val="Arial"/>
        <family val="2"/>
      </rPr>
      <t xml:space="preserve">den  kepada
</t>
    </r>
    <r>
      <rPr>
        <sz val="9"/>
        <color rgb="FF484649"/>
        <rFont val="Arial"/>
        <family val="2"/>
      </rPr>
      <t>A</t>
    </r>
    <r>
      <rPr>
        <sz val="9"/>
        <color rgb="FF212124"/>
        <rFont val="Arial"/>
        <family val="2"/>
      </rPr>
      <t>n</t>
    </r>
    <r>
      <rPr>
        <sz val="9"/>
        <color rgb="FF484649"/>
        <rFont val="Arial"/>
        <family val="2"/>
      </rPr>
      <t xml:space="preserve">ggaran </t>
    </r>
    <r>
      <rPr>
        <sz val="9"/>
        <color rgb="FF363438"/>
        <rFont val="Arial"/>
        <family val="2"/>
      </rPr>
      <t xml:space="preserve">Pendapatan dan </t>
    </r>
    <r>
      <rPr>
        <sz val="9"/>
        <color rgb="FF484649"/>
        <rFont val="Arial"/>
        <family val="2"/>
      </rPr>
      <t>Be</t>
    </r>
    <r>
      <rPr>
        <sz val="9"/>
        <color rgb="FF212124"/>
        <rFont val="Arial"/>
        <family val="2"/>
      </rPr>
      <t>l</t>
    </r>
    <r>
      <rPr>
        <sz val="9"/>
        <color rgb="FF484649"/>
        <rFont val="Arial"/>
        <family val="2"/>
      </rPr>
      <t>anja Negara (APBN</t>
    </r>
    <r>
      <rPr>
        <sz val="9"/>
        <color rgb="FF66666B"/>
        <rFont val="Arial"/>
        <family val="2"/>
      </rPr>
      <t>)</t>
    </r>
  </si>
  <si>
    <r>
      <rPr>
        <sz val="9"/>
        <color rgb="FF363438"/>
        <rFont val="Arial"/>
        <family val="2"/>
      </rPr>
      <t xml:space="preserve">Risiko </t>
    </r>
    <r>
      <rPr>
        <sz val="9"/>
        <color rgb="FF212124"/>
        <rFont val="Arial"/>
        <family val="2"/>
      </rPr>
      <t>t</t>
    </r>
    <r>
      <rPr>
        <sz val="9"/>
        <color rgb="FF484649"/>
        <rFont val="Arial"/>
        <family val="2"/>
      </rPr>
      <t xml:space="preserve">erkait </t>
    </r>
    <r>
      <rPr>
        <sz val="9"/>
        <color rgb="FF363438"/>
        <rFont val="Arial"/>
        <family val="2"/>
      </rPr>
      <t>Penyertaan Moda</t>
    </r>
    <r>
      <rPr>
        <sz val="9"/>
        <color rgb="FF000000"/>
        <rFont val="Arial"/>
        <family val="2"/>
      </rPr>
      <t xml:space="preserve">l </t>
    </r>
    <r>
      <rPr>
        <sz val="9"/>
        <color rgb="FF363438"/>
        <rFont val="Arial"/>
        <family val="2"/>
      </rPr>
      <t xml:space="preserve">Negara
</t>
    </r>
    <r>
      <rPr>
        <sz val="9"/>
        <color rgb="FF363438"/>
        <rFont val="Arial"/>
        <family val="2"/>
      </rPr>
      <t>(PMN)</t>
    </r>
  </si>
  <si>
    <r>
      <rPr>
        <sz val="9"/>
        <color rgb="FF363438"/>
        <rFont val="Arial"/>
        <family val="2"/>
      </rPr>
      <t xml:space="preserve">Peristiwa </t>
    </r>
    <r>
      <rPr>
        <sz val="9"/>
        <color rgb="FF484649"/>
        <rFont val="Arial"/>
        <family val="2"/>
      </rPr>
      <t>Ris</t>
    </r>
    <r>
      <rPr>
        <sz val="9"/>
        <color rgb="FF212124"/>
        <rFont val="Arial"/>
        <family val="2"/>
      </rPr>
      <t>ik</t>
    </r>
    <r>
      <rPr>
        <sz val="9"/>
        <color rgb="FF484649"/>
        <rFont val="Arial"/>
        <family val="2"/>
      </rPr>
      <t xml:space="preserve">o yang </t>
    </r>
    <r>
      <rPr>
        <sz val="9"/>
        <color rgb="FF363438"/>
        <rFont val="Arial"/>
        <family val="2"/>
      </rPr>
      <t xml:space="preserve">disebabkan oleh </t>
    </r>
    <r>
      <rPr>
        <sz val="9"/>
        <color rgb="FF484649"/>
        <rFont val="Arial"/>
        <family val="2"/>
      </rPr>
      <t xml:space="preserve">proses </t>
    </r>
    <r>
      <rPr>
        <sz val="9"/>
        <color rgb="FF363438"/>
        <rFont val="Arial"/>
        <family val="2"/>
      </rPr>
      <t xml:space="preserve">penerimaan </t>
    </r>
    <r>
      <rPr>
        <sz val="9"/>
        <color rgb="FF484649"/>
        <rFont val="Arial"/>
        <family val="2"/>
      </rPr>
      <t>dan penggunaa</t>
    </r>
    <r>
      <rPr>
        <sz val="9"/>
        <color rgb="FF66666B"/>
        <rFont val="Arial"/>
        <family val="2"/>
      </rPr>
      <t xml:space="preserve">n </t>
    </r>
    <r>
      <rPr>
        <sz val="9"/>
        <color rgb="FF484649"/>
        <rFont val="Arial"/>
        <family val="2"/>
      </rPr>
      <t>PMN</t>
    </r>
  </si>
  <si>
    <r>
      <rPr>
        <sz val="9"/>
        <color rgb="FF212124"/>
        <rFont val="Arial"/>
        <family val="2"/>
      </rPr>
      <t>Ri</t>
    </r>
    <r>
      <rPr>
        <sz val="9"/>
        <color rgb="FF484649"/>
        <rFont val="Arial"/>
        <family val="2"/>
      </rPr>
      <t>s</t>
    </r>
    <r>
      <rPr>
        <sz val="9"/>
        <color rgb="FF212124"/>
        <rFont val="Arial"/>
        <family val="2"/>
      </rPr>
      <t>i</t>
    </r>
    <r>
      <rPr>
        <sz val="9"/>
        <color rgb="FF484649"/>
        <rFont val="Arial"/>
        <family val="2"/>
      </rPr>
      <t xml:space="preserve">ko </t>
    </r>
    <r>
      <rPr>
        <sz val="9"/>
        <color rgb="FF212124"/>
        <rFont val="Arial"/>
        <family val="2"/>
      </rPr>
      <t>t</t>
    </r>
    <r>
      <rPr>
        <sz val="9"/>
        <color rgb="FF484649"/>
        <rFont val="Arial"/>
        <family val="2"/>
      </rPr>
      <t xml:space="preserve">erkaitsubsidi dan </t>
    </r>
    <r>
      <rPr>
        <sz val="9"/>
        <color rgb="FF363438"/>
        <rFont val="Arial"/>
        <family val="2"/>
      </rPr>
      <t>kompensasi</t>
    </r>
  </si>
  <si>
    <r>
      <rPr>
        <sz val="9"/>
        <color rgb="FF484649"/>
        <rFont val="Arial"/>
        <family val="2"/>
      </rPr>
      <t>Per</t>
    </r>
    <r>
      <rPr>
        <sz val="9"/>
        <color rgb="FF212124"/>
        <rFont val="Arial"/>
        <family val="2"/>
      </rPr>
      <t>i</t>
    </r>
    <r>
      <rPr>
        <sz val="9"/>
        <color rgb="FF484649"/>
        <rFont val="Arial"/>
        <family val="2"/>
      </rPr>
      <t>stiwa</t>
    </r>
    <r>
      <rPr>
        <sz val="9"/>
        <color rgb="FF363438"/>
        <rFont val="Arial"/>
        <family val="2"/>
      </rPr>
      <t xml:space="preserve">Risiko </t>
    </r>
    <r>
      <rPr>
        <sz val="9"/>
        <color rgb="FF484649"/>
        <rFont val="Arial"/>
        <family val="2"/>
      </rPr>
      <t xml:space="preserve">yang </t>
    </r>
    <r>
      <rPr>
        <sz val="9"/>
        <color rgb="FF363438"/>
        <rFont val="Arial"/>
        <family val="2"/>
      </rPr>
      <t xml:space="preserve">disebabkan </t>
    </r>
    <r>
      <rPr>
        <sz val="9"/>
        <color rgb="FF484649"/>
        <rFont val="Arial"/>
        <family val="2"/>
      </rPr>
      <t xml:space="preserve">oleh kekurangan </t>
    </r>
    <r>
      <rPr>
        <sz val="9"/>
        <color rgb="FF363438"/>
        <rFont val="Arial"/>
        <family val="2"/>
      </rPr>
      <t xml:space="preserve">dan </t>
    </r>
    <r>
      <rPr>
        <sz val="9"/>
        <color rgb="FF484649"/>
        <rFont val="Arial"/>
        <family val="2"/>
      </rPr>
      <t>keter</t>
    </r>
    <r>
      <rPr>
        <sz val="9"/>
        <color rgb="FF212124"/>
        <rFont val="Arial"/>
        <family val="2"/>
      </rPr>
      <t>l</t>
    </r>
    <r>
      <rPr>
        <sz val="9"/>
        <color rgb="FF484649"/>
        <rFont val="Arial"/>
        <family val="2"/>
      </rPr>
      <t>ambatan</t>
    </r>
    <r>
      <rPr>
        <sz val="9"/>
        <color rgb="FF363438"/>
        <rFont val="Arial"/>
        <family val="2"/>
      </rPr>
      <t xml:space="preserve">penerimaan </t>
    </r>
    <r>
      <rPr>
        <sz val="9"/>
        <color rgb="FF484649"/>
        <rFont val="Arial"/>
        <family val="2"/>
      </rPr>
      <t>subsidi d</t>
    </r>
    <r>
      <rPr>
        <sz val="9"/>
        <color rgb="FF66666B"/>
        <rFont val="Arial"/>
        <family val="2"/>
      </rPr>
      <t>a</t>
    </r>
    <r>
      <rPr>
        <sz val="9"/>
        <color rgb="FF484649"/>
        <rFont val="Arial"/>
        <family val="2"/>
      </rPr>
      <t xml:space="preserve">n
</t>
    </r>
    <r>
      <rPr>
        <sz val="9"/>
        <color rgb="FF484649"/>
        <rFont val="Arial"/>
        <family val="2"/>
      </rPr>
      <t>kompensasi</t>
    </r>
  </si>
  <si>
    <r>
      <rPr>
        <sz val="9"/>
        <color rgb="FF363438"/>
        <rFont val="Arial"/>
        <family val="2"/>
      </rPr>
      <t xml:space="preserve">Risiko </t>
    </r>
    <r>
      <rPr>
        <sz val="9"/>
        <color rgb="FF212124"/>
        <rFont val="Arial"/>
        <family val="2"/>
      </rPr>
      <t>t</t>
    </r>
    <r>
      <rPr>
        <sz val="9"/>
        <color rgb="FF484649"/>
        <rFont val="Arial"/>
        <family val="2"/>
      </rPr>
      <t>erkait kebijakan SOM</t>
    </r>
  </si>
  <si>
    <r>
      <rPr>
        <sz val="9"/>
        <color rgb="FF363438"/>
        <rFont val="Arial"/>
        <family val="2"/>
      </rPr>
      <t xml:space="preserve">Peristiwa  </t>
    </r>
    <r>
      <rPr>
        <sz val="9"/>
        <color rgb="FF484649"/>
        <rFont val="Arial"/>
        <family val="2"/>
      </rPr>
      <t>Risiko  yang disebabkan  o</t>
    </r>
    <r>
      <rPr>
        <sz val="9"/>
        <color rgb="FF212124"/>
        <rFont val="Arial"/>
        <family val="2"/>
      </rPr>
      <t>l</t>
    </r>
    <r>
      <rPr>
        <sz val="9"/>
        <color rgb="FF484649"/>
        <rFont val="Arial"/>
        <family val="2"/>
      </rPr>
      <t>eh pene</t>
    </r>
    <r>
      <rPr>
        <sz val="9"/>
        <color rgb="FF66666B"/>
        <rFont val="Arial"/>
        <family val="2"/>
      </rPr>
      <t>r</t>
    </r>
    <r>
      <rPr>
        <sz val="9"/>
        <color rgb="FF484649"/>
        <rFont val="Arial"/>
        <family val="2"/>
      </rPr>
      <t xml:space="preserve">apan </t>
    </r>
    <r>
      <rPr>
        <sz val="9"/>
        <color rgb="FF363438"/>
        <rFont val="Arial"/>
        <family val="2"/>
      </rPr>
      <t>kebi</t>
    </r>
    <r>
      <rPr>
        <sz val="9"/>
        <color rgb="FF66666B"/>
        <rFont val="Arial"/>
        <family val="2"/>
      </rPr>
      <t>j</t>
    </r>
    <r>
      <rPr>
        <sz val="9"/>
        <color rgb="FF484649"/>
        <rFont val="Arial"/>
        <family val="2"/>
      </rPr>
      <t>akan pemi</t>
    </r>
    <r>
      <rPr>
        <sz val="9"/>
        <color rgb="FF212124"/>
        <rFont val="Arial"/>
        <family val="2"/>
      </rPr>
      <t>l</t>
    </r>
    <r>
      <rPr>
        <sz val="9"/>
        <color rgb="FF484649"/>
        <rFont val="Arial"/>
        <family val="2"/>
      </rPr>
      <t>ihan</t>
    </r>
    <r>
      <rPr>
        <sz val="9"/>
        <color rgb="FF797980"/>
        <rFont val="Arial"/>
        <family val="2"/>
      </rPr>
      <t xml:space="preserve">,  </t>
    </r>
    <r>
      <rPr>
        <sz val="9"/>
        <color rgb="FF484649"/>
        <rFont val="Arial"/>
        <family val="2"/>
      </rPr>
      <t>p</t>
    </r>
    <r>
      <rPr>
        <sz val="9"/>
        <color rgb="FF66666B"/>
        <rFont val="Arial"/>
        <family val="2"/>
      </rPr>
      <t>e</t>
    </r>
    <r>
      <rPr>
        <sz val="9"/>
        <color rgb="FF363438"/>
        <rFont val="Arial"/>
        <family val="2"/>
      </rPr>
      <t>ngangka</t>
    </r>
    <r>
      <rPr>
        <sz val="9"/>
        <color rgb="FF66666B"/>
        <rFont val="Arial"/>
        <family val="2"/>
      </rPr>
      <t>t</t>
    </r>
    <r>
      <rPr>
        <sz val="9"/>
        <color rgb="FF484649"/>
        <rFont val="Arial"/>
        <family val="2"/>
      </rPr>
      <t>an da</t>
    </r>
    <r>
      <rPr>
        <sz val="9"/>
        <color rgb="FF66666B"/>
        <rFont val="Arial"/>
        <family val="2"/>
      </rPr>
      <t xml:space="preserve">n </t>
    </r>
    <r>
      <rPr>
        <sz val="9"/>
        <color rgb="FF484649"/>
        <rFont val="Arial"/>
        <family val="2"/>
      </rPr>
      <t>pe</t>
    </r>
    <r>
      <rPr>
        <sz val="9"/>
        <color rgb="FF212124"/>
        <rFont val="Arial"/>
        <family val="2"/>
      </rPr>
      <t>n</t>
    </r>
    <r>
      <rPr>
        <sz val="9"/>
        <color rgb="FF484649"/>
        <rFont val="Arial"/>
        <family val="2"/>
      </rPr>
      <t>etapa</t>
    </r>
    <r>
      <rPr>
        <sz val="9"/>
        <color rgb="FF212124"/>
        <rFont val="Arial"/>
        <family val="2"/>
      </rPr>
      <t>n KP</t>
    </r>
    <r>
      <rPr>
        <sz val="9"/>
        <color rgb="FF000000"/>
        <rFont val="Arial"/>
        <family val="2"/>
      </rPr>
      <t xml:space="preserve">I </t>
    </r>
    <r>
      <rPr>
        <sz val="9"/>
        <color rgb="FF363438"/>
        <rFont val="Arial"/>
        <family val="2"/>
      </rPr>
      <t>Direks</t>
    </r>
    <r>
      <rPr>
        <sz val="9"/>
        <color rgb="FF66666B"/>
        <rFont val="Arial"/>
        <family val="2"/>
      </rPr>
      <t xml:space="preserve">i </t>
    </r>
    <r>
      <rPr>
        <sz val="9"/>
        <color rgb="FF363438"/>
        <rFont val="Arial"/>
        <family val="2"/>
      </rPr>
      <t xml:space="preserve">dan Dewan Komisaris </t>
    </r>
    <r>
      <rPr>
        <sz val="9"/>
        <color rgb="FF484649"/>
        <rFont val="Arial"/>
        <family val="2"/>
      </rPr>
      <t xml:space="preserve">atau </t>
    </r>
    <r>
      <rPr>
        <sz val="9"/>
        <color rgb="FF212124"/>
        <rFont val="Arial"/>
        <family val="2"/>
      </rPr>
      <t>D</t>
    </r>
    <r>
      <rPr>
        <sz val="9"/>
        <color rgb="FF484649"/>
        <rFont val="Arial"/>
        <family val="2"/>
      </rPr>
      <t>ewan P</t>
    </r>
    <r>
      <rPr>
        <sz val="9"/>
        <color rgb="FF66666B"/>
        <rFont val="Arial"/>
        <family val="2"/>
      </rPr>
      <t>e</t>
    </r>
    <r>
      <rPr>
        <sz val="9"/>
        <color rgb="FF484649"/>
        <rFont val="Arial"/>
        <family val="2"/>
      </rPr>
      <t>ngawas</t>
    </r>
    <r>
      <rPr>
        <sz val="9"/>
        <color rgb="FF363438"/>
        <rFont val="Arial"/>
        <family val="2"/>
      </rPr>
      <t xml:space="preserve">BUMN </t>
    </r>
    <r>
      <rPr>
        <sz val="9"/>
        <color rgb="FF484649"/>
        <rFont val="Arial"/>
        <family val="2"/>
      </rPr>
      <t>serta keb</t>
    </r>
    <r>
      <rPr>
        <sz val="9"/>
        <color rgb="FF212124"/>
        <rFont val="Arial"/>
        <family val="2"/>
      </rPr>
      <t>ij</t>
    </r>
    <r>
      <rPr>
        <sz val="9"/>
        <color rgb="FF484649"/>
        <rFont val="Arial"/>
        <family val="2"/>
      </rPr>
      <t xml:space="preserve">akan
</t>
    </r>
    <r>
      <rPr>
        <sz val="9"/>
        <color rgb="FF484649"/>
        <rFont val="Arial"/>
        <family val="2"/>
      </rPr>
      <t>SO</t>
    </r>
    <r>
      <rPr>
        <sz val="9"/>
        <color rgb="FF212124"/>
        <rFont val="Arial"/>
        <family val="2"/>
      </rPr>
      <t xml:space="preserve">M </t>
    </r>
    <r>
      <rPr>
        <sz val="9"/>
        <color rgb="FF363438"/>
        <rFont val="Arial"/>
        <family val="2"/>
      </rPr>
      <t>BUMN</t>
    </r>
  </si>
  <si>
    <r>
      <rPr>
        <sz val="9"/>
        <color rgb="FF363438"/>
        <rFont val="Arial"/>
        <family val="2"/>
      </rPr>
      <t xml:space="preserve">Risiko </t>
    </r>
    <r>
      <rPr>
        <sz val="9"/>
        <color rgb="FF212124"/>
        <rFont val="Arial"/>
        <family val="2"/>
      </rPr>
      <t>t</t>
    </r>
    <r>
      <rPr>
        <sz val="9"/>
        <color rgb="FF484649"/>
        <rFont val="Arial"/>
        <family val="2"/>
      </rPr>
      <t>erkait kebijaka</t>
    </r>
    <r>
      <rPr>
        <sz val="9"/>
        <color rgb="FF212124"/>
        <rFont val="Arial"/>
        <family val="2"/>
      </rPr>
      <t xml:space="preserve">n </t>
    </r>
    <r>
      <rPr>
        <sz val="9"/>
        <color rgb="FF484649"/>
        <rFont val="Arial"/>
        <family val="2"/>
      </rPr>
      <t>sektoral</t>
    </r>
  </si>
  <si>
    <r>
      <rPr>
        <sz val="9"/>
        <color rgb="FF363438"/>
        <rFont val="Arial"/>
        <family val="2"/>
      </rPr>
      <t xml:space="preserve">Peristiwa  </t>
    </r>
    <r>
      <rPr>
        <sz val="9"/>
        <color rgb="FF484649"/>
        <rFont val="Arial"/>
        <family val="2"/>
      </rPr>
      <t>Ris</t>
    </r>
    <r>
      <rPr>
        <sz val="9"/>
        <color rgb="FF212124"/>
        <rFont val="Arial"/>
        <family val="2"/>
      </rPr>
      <t>i</t>
    </r>
    <r>
      <rPr>
        <sz val="9"/>
        <color rgb="FF484649"/>
        <rFont val="Arial"/>
        <family val="2"/>
      </rPr>
      <t xml:space="preserve">ko  yang  </t>
    </r>
    <r>
      <rPr>
        <sz val="9"/>
        <color rgb="FF363438"/>
        <rFont val="Arial"/>
        <family val="2"/>
      </rPr>
      <t xml:space="preserve">disebabkan  oleh  </t>
    </r>
    <r>
      <rPr>
        <sz val="9"/>
        <color rgb="FF484649"/>
        <rFont val="Arial"/>
        <family val="2"/>
      </rPr>
      <t>ketidakselarasan  kebijakan  yang  dikeluarkan  ole</t>
    </r>
    <r>
      <rPr>
        <sz val="9"/>
        <color rgb="FF66666B"/>
        <rFont val="Arial"/>
        <family val="2"/>
      </rPr>
      <t xml:space="preserve">h
</t>
    </r>
    <r>
      <rPr>
        <vertAlign val="superscript"/>
        <sz val="9"/>
        <color rgb="FF363438"/>
        <rFont val="Arial"/>
        <family val="2"/>
      </rPr>
      <t>Kementer</t>
    </r>
    <r>
      <rPr>
        <vertAlign val="superscript"/>
        <sz val="9"/>
        <color rgb="FF66666B"/>
        <rFont val="Arial"/>
        <family val="2"/>
      </rPr>
      <t>i</t>
    </r>
    <r>
      <rPr>
        <vertAlign val="superscript"/>
        <sz val="9"/>
        <color rgb="FF484649"/>
        <rFont val="Arial"/>
        <family val="2"/>
      </rPr>
      <t xml:space="preserve">an  </t>
    </r>
    <r>
      <rPr>
        <sz val="9"/>
        <color rgb="FF484649"/>
        <rFont val="Arial"/>
        <family val="2"/>
      </rPr>
      <t>Teknis   dan  lembaga   regulator   yang  dapat   mempen</t>
    </r>
    <r>
      <rPr>
        <sz val="9"/>
        <color rgb="FF66666B"/>
        <rFont val="Arial"/>
        <family val="2"/>
      </rPr>
      <t>g</t>
    </r>
    <r>
      <rPr>
        <sz val="9"/>
        <color rgb="FF484649"/>
        <rFont val="Arial"/>
        <family val="2"/>
      </rPr>
      <t>aruhi  ke</t>
    </r>
    <r>
      <rPr>
        <sz val="9"/>
        <color rgb="FF66666B"/>
        <rFont val="Arial"/>
        <family val="2"/>
      </rPr>
      <t>t</t>
    </r>
    <r>
      <rPr>
        <sz val="9"/>
        <color rgb="FF363438"/>
        <rFont val="Arial"/>
        <family val="2"/>
      </rPr>
      <t>ida</t>
    </r>
    <r>
      <rPr>
        <sz val="9"/>
        <color rgb="FF66666B"/>
        <rFont val="Arial"/>
        <family val="2"/>
      </rPr>
      <t>k</t>
    </r>
    <r>
      <rPr>
        <sz val="9"/>
        <color rgb="FF484649"/>
        <rFont val="Arial"/>
        <family val="2"/>
      </rPr>
      <t>past</t>
    </r>
    <r>
      <rPr>
        <sz val="9"/>
        <color rgb="FF66666B"/>
        <rFont val="Arial"/>
        <family val="2"/>
      </rPr>
      <t>i</t>
    </r>
    <r>
      <rPr>
        <sz val="9"/>
        <color rgb="FF484649"/>
        <rFont val="Arial"/>
        <family val="2"/>
      </rPr>
      <t>a</t>
    </r>
    <r>
      <rPr>
        <sz val="9"/>
        <color rgb="FF66666B"/>
        <rFont val="Arial"/>
        <family val="2"/>
      </rPr>
      <t xml:space="preserve">n </t>
    </r>
    <r>
      <rPr>
        <sz val="9"/>
        <color rgb="FF484649"/>
        <rFont val="Arial"/>
        <family val="2"/>
      </rPr>
      <t>p</t>
    </r>
    <r>
      <rPr>
        <sz val="9"/>
        <color rgb="FF66666B"/>
        <rFont val="Arial"/>
        <family val="2"/>
      </rPr>
      <t>e</t>
    </r>
    <r>
      <rPr>
        <sz val="9"/>
        <color rgb="FF363438"/>
        <rFont val="Arial"/>
        <family val="2"/>
      </rPr>
      <t>nerimaan</t>
    </r>
    <r>
      <rPr>
        <sz val="9"/>
        <color rgb="FF484649"/>
        <rFont val="Arial"/>
        <family val="2"/>
      </rPr>
      <t>atau operasi BUMN secara ma</t>
    </r>
    <r>
      <rPr>
        <sz val="9"/>
        <color rgb="FF66666B"/>
        <rFont val="Arial"/>
        <family val="2"/>
      </rPr>
      <t>te</t>
    </r>
    <r>
      <rPr>
        <sz val="9"/>
        <color rgb="FF363438"/>
        <rFont val="Arial"/>
        <family val="2"/>
      </rPr>
      <t>r</t>
    </r>
    <r>
      <rPr>
        <sz val="9"/>
        <color rgb="FF66666B"/>
        <rFont val="Arial"/>
        <family val="2"/>
      </rPr>
      <t>i</t>
    </r>
    <r>
      <rPr>
        <sz val="9"/>
        <color rgb="FF484649"/>
        <rFont val="Arial"/>
        <family val="2"/>
      </rPr>
      <t>al</t>
    </r>
  </si>
  <si>
    <r>
      <rPr>
        <sz val="9"/>
        <color rgb="FF363438"/>
        <rFont val="Arial"/>
        <family val="2"/>
      </rPr>
      <t xml:space="preserve">Risiko </t>
    </r>
    <r>
      <rPr>
        <sz val="9"/>
        <color rgb="FF212124"/>
        <rFont val="Arial"/>
        <family val="2"/>
      </rPr>
      <t>t</t>
    </r>
    <r>
      <rPr>
        <sz val="9"/>
        <color rgb="FF484649"/>
        <rFont val="Arial"/>
        <family val="2"/>
      </rPr>
      <t>erka</t>
    </r>
    <r>
      <rPr>
        <sz val="9"/>
        <color rgb="FF212124"/>
        <rFont val="Arial"/>
        <family val="2"/>
      </rPr>
      <t xml:space="preserve">it </t>
    </r>
    <r>
      <rPr>
        <sz val="9"/>
        <color rgb="FF363438"/>
        <rFont val="Arial"/>
        <family val="2"/>
      </rPr>
      <t xml:space="preserve">konsentrasi </t>
    </r>
    <r>
      <rPr>
        <sz val="9"/>
        <color rgb="FF484649"/>
        <rFont val="Arial"/>
        <family val="2"/>
      </rPr>
      <t>portofo</t>
    </r>
    <r>
      <rPr>
        <sz val="9"/>
        <color theme="1"/>
        <rFont val="Arial"/>
        <family val="2"/>
      </rPr>
      <t>li</t>
    </r>
    <r>
      <rPr>
        <sz val="9"/>
        <color rgb="FF363438"/>
        <rFont val="Arial"/>
        <family val="2"/>
      </rPr>
      <t>o</t>
    </r>
  </si>
  <si>
    <r>
      <rPr>
        <sz val="9"/>
        <color rgb="FF363438"/>
        <rFont val="Arial"/>
        <family val="2"/>
      </rPr>
      <t xml:space="preserve">Peristiwa </t>
    </r>
    <r>
      <rPr>
        <sz val="9"/>
        <color rgb="FF484649"/>
        <rFont val="Arial"/>
        <family val="2"/>
      </rPr>
      <t>R</t>
    </r>
    <r>
      <rPr>
        <sz val="9"/>
        <color rgb="FF212124"/>
        <rFont val="Arial"/>
        <family val="2"/>
      </rPr>
      <t>i</t>
    </r>
    <r>
      <rPr>
        <sz val="9"/>
        <color rgb="FF484649"/>
        <rFont val="Arial"/>
        <family val="2"/>
      </rPr>
      <t>s</t>
    </r>
    <r>
      <rPr>
        <sz val="9"/>
        <color rgb="FF66666B"/>
        <rFont val="Arial"/>
        <family val="2"/>
      </rPr>
      <t>i</t>
    </r>
    <r>
      <rPr>
        <sz val="9"/>
        <color rgb="FF363438"/>
        <rFont val="Arial"/>
        <family val="2"/>
      </rPr>
      <t xml:space="preserve">ko </t>
    </r>
    <r>
      <rPr>
        <sz val="9"/>
        <color rgb="FF484649"/>
        <rFont val="Arial"/>
        <family val="2"/>
      </rPr>
      <t xml:space="preserve">yang </t>
    </r>
    <r>
      <rPr>
        <sz val="9"/>
        <color rgb="FF363438"/>
        <rFont val="Arial"/>
        <family val="2"/>
      </rPr>
      <t xml:space="preserve">ditimbulkan </t>
    </r>
    <r>
      <rPr>
        <sz val="9"/>
        <color rgb="FF484649"/>
        <rFont val="Arial"/>
        <family val="2"/>
      </rPr>
      <t>o</t>
    </r>
    <r>
      <rPr>
        <sz val="9"/>
        <color rgb="FF212124"/>
        <rFont val="Arial"/>
        <family val="2"/>
      </rPr>
      <t xml:space="preserve">leh </t>
    </r>
    <r>
      <rPr>
        <sz val="9"/>
        <color rgb="FF484649"/>
        <rFont val="Arial"/>
        <family val="2"/>
      </rPr>
      <t>kompos</t>
    </r>
    <r>
      <rPr>
        <sz val="9"/>
        <color rgb="FF212124"/>
        <rFont val="Arial"/>
        <family val="2"/>
      </rPr>
      <t>i</t>
    </r>
    <r>
      <rPr>
        <sz val="9"/>
        <color rgb="FF484649"/>
        <rFont val="Arial"/>
        <family val="2"/>
      </rPr>
      <t>s</t>
    </r>
    <r>
      <rPr>
        <sz val="9"/>
        <color rgb="FF212124"/>
        <rFont val="Arial"/>
        <family val="2"/>
      </rPr>
      <t>i P</t>
    </r>
    <r>
      <rPr>
        <sz val="9"/>
        <color rgb="FF484649"/>
        <rFont val="Arial"/>
        <family val="2"/>
      </rPr>
      <t>o</t>
    </r>
    <r>
      <rPr>
        <sz val="9"/>
        <color rgb="FF212124"/>
        <rFont val="Arial"/>
        <family val="2"/>
      </rPr>
      <t>rt</t>
    </r>
    <r>
      <rPr>
        <sz val="9"/>
        <color rgb="FF484649"/>
        <rFont val="Arial"/>
        <family val="2"/>
      </rPr>
      <t>ofo</t>
    </r>
    <r>
      <rPr>
        <sz val="9"/>
        <color rgb="FF66666B"/>
        <rFont val="Arial"/>
        <family val="2"/>
      </rPr>
      <t>l</t>
    </r>
    <r>
      <rPr>
        <sz val="9"/>
        <color rgb="FF484649"/>
        <rFont val="Arial"/>
        <family val="2"/>
      </rPr>
      <t>i</t>
    </r>
    <r>
      <rPr>
        <sz val="9"/>
        <color rgb="FF66666B"/>
        <rFont val="Arial"/>
        <family val="2"/>
      </rPr>
      <t xml:space="preserve">o </t>
    </r>
    <r>
      <rPr>
        <sz val="9"/>
        <color rgb="FF363438"/>
        <rFont val="Arial"/>
        <family val="2"/>
      </rPr>
      <t xml:space="preserve">BUMN </t>
    </r>
    <r>
      <rPr>
        <sz val="9"/>
        <color rgb="FF484649"/>
        <rFont val="Arial"/>
        <family val="2"/>
      </rPr>
      <t xml:space="preserve">yang </t>
    </r>
    <r>
      <rPr>
        <sz val="9"/>
        <color rgb="FF212124"/>
        <rFont val="Arial"/>
        <family val="2"/>
      </rPr>
      <t>t</t>
    </r>
    <r>
      <rPr>
        <sz val="9"/>
        <color rgb="FF484649"/>
        <rFont val="Arial"/>
        <family val="2"/>
      </rPr>
      <t>e</t>
    </r>
    <r>
      <rPr>
        <sz val="9"/>
        <color rgb="FF66666B"/>
        <rFont val="Arial"/>
        <family val="2"/>
      </rPr>
      <t>r</t>
    </r>
    <r>
      <rPr>
        <sz val="9"/>
        <color rgb="FF363438"/>
        <rFont val="Arial"/>
        <family val="2"/>
      </rPr>
      <t>konsentrasi</t>
    </r>
    <r>
      <rPr>
        <sz val="9"/>
        <color rgb="FF484649"/>
        <rFont val="Arial"/>
        <family val="2"/>
      </rPr>
      <t>pad</t>
    </r>
    <r>
      <rPr>
        <sz val="9"/>
        <color rgb="FF66666B"/>
        <rFont val="Arial"/>
        <family val="2"/>
      </rPr>
      <t xml:space="preserve">a
</t>
    </r>
    <r>
      <rPr>
        <sz val="9"/>
        <color rgb="FF212124"/>
        <rFont val="Arial"/>
        <family val="2"/>
      </rPr>
      <t>industri t</t>
    </r>
    <r>
      <rPr>
        <sz val="9"/>
        <color rgb="FF484649"/>
        <rFont val="Arial"/>
        <family val="2"/>
      </rPr>
      <t>ertent</t>
    </r>
    <r>
      <rPr>
        <sz val="9"/>
        <color rgb="FF212124"/>
        <rFont val="Arial"/>
        <family val="2"/>
      </rPr>
      <t>u</t>
    </r>
  </si>
  <si>
    <r>
      <rPr>
        <sz val="9"/>
        <color rgb="FF363438"/>
        <rFont val="Arial"/>
        <family val="2"/>
      </rPr>
      <t xml:space="preserve">Risiko </t>
    </r>
    <r>
      <rPr>
        <sz val="9"/>
        <color rgb="FF212124"/>
        <rFont val="Arial"/>
        <family val="2"/>
      </rPr>
      <t>t</t>
    </r>
    <r>
      <rPr>
        <sz val="9"/>
        <color rgb="FF484649"/>
        <rFont val="Arial"/>
        <family val="2"/>
      </rPr>
      <t>e</t>
    </r>
    <r>
      <rPr>
        <sz val="9"/>
        <color rgb="FF212124"/>
        <rFont val="Arial"/>
        <family val="2"/>
      </rPr>
      <t>r</t>
    </r>
    <r>
      <rPr>
        <sz val="9"/>
        <color rgb="FF484649"/>
        <rFont val="Arial"/>
        <family val="2"/>
      </rPr>
      <t>ka</t>
    </r>
    <r>
      <rPr>
        <sz val="9"/>
        <color rgb="FF212124"/>
        <rFont val="Arial"/>
        <family val="2"/>
      </rPr>
      <t>i</t>
    </r>
    <r>
      <rPr>
        <sz val="9"/>
        <color rgb="FF484649"/>
        <rFont val="Arial"/>
        <family val="2"/>
      </rPr>
      <t>t s</t>
    </r>
    <r>
      <rPr>
        <sz val="9"/>
        <color rgb="FF212124"/>
        <rFont val="Arial"/>
        <family val="2"/>
      </rPr>
      <t>truktur</t>
    </r>
    <r>
      <rPr>
        <sz val="9"/>
        <color rgb="FF363438"/>
        <rFont val="Arial"/>
        <family val="2"/>
      </rPr>
      <t>korporasi</t>
    </r>
  </si>
  <si>
    <r>
      <rPr>
        <sz val="9"/>
        <color rgb="FF363438"/>
        <rFont val="Arial"/>
        <family val="2"/>
      </rPr>
      <t xml:space="preserve">Peristiwa  Risiko  </t>
    </r>
    <r>
      <rPr>
        <sz val="9"/>
        <color rgb="FF484649"/>
        <rFont val="Arial"/>
        <family val="2"/>
      </rPr>
      <t>yang di</t>
    </r>
    <r>
      <rPr>
        <sz val="9"/>
        <color rgb="FF212124"/>
        <rFont val="Arial"/>
        <family val="2"/>
      </rPr>
      <t>t</t>
    </r>
    <r>
      <rPr>
        <sz val="9"/>
        <color rgb="FF484649"/>
        <rFont val="Arial"/>
        <family val="2"/>
      </rPr>
      <t>i</t>
    </r>
    <r>
      <rPr>
        <sz val="9"/>
        <color rgb="FF212124"/>
        <rFont val="Arial"/>
        <family val="2"/>
      </rPr>
      <t>m</t>
    </r>
    <r>
      <rPr>
        <sz val="9"/>
        <color rgb="FF484649"/>
        <rFont val="Arial"/>
        <family val="2"/>
      </rPr>
      <t>bu</t>
    </r>
    <r>
      <rPr>
        <sz val="9"/>
        <color rgb="FF000000"/>
        <rFont val="Arial"/>
        <family val="2"/>
      </rPr>
      <t>l</t>
    </r>
    <r>
      <rPr>
        <sz val="9"/>
        <color rgb="FF484649"/>
        <rFont val="Arial"/>
        <family val="2"/>
      </rPr>
      <t>kan o</t>
    </r>
    <r>
      <rPr>
        <sz val="9"/>
        <color rgb="FF212124"/>
        <rFont val="Arial"/>
        <family val="2"/>
      </rPr>
      <t>l</t>
    </r>
    <r>
      <rPr>
        <sz val="9"/>
        <color rgb="FF484649"/>
        <rFont val="Arial"/>
        <family val="2"/>
      </rPr>
      <t>eh s</t>
    </r>
    <r>
      <rPr>
        <sz val="9"/>
        <color rgb="FF212124"/>
        <rFont val="Arial"/>
        <family val="2"/>
      </rPr>
      <t>t</t>
    </r>
    <r>
      <rPr>
        <sz val="9"/>
        <color rgb="FF484649"/>
        <rFont val="Arial"/>
        <family val="2"/>
      </rPr>
      <t xml:space="preserve">ruktur </t>
    </r>
    <r>
      <rPr>
        <sz val="9"/>
        <color rgb="FF363438"/>
        <rFont val="Arial"/>
        <family val="2"/>
      </rPr>
      <t xml:space="preserve">korporasi  BUMN  </t>
    </r>
    <r>
      <rPr>
        <sz val="9"/>
        <color rgb="FF484649"/>
        <rFont val="Arial"/>
        <family val="2"/>
      </rPr>
      <t xml:space="preserve">yang  </t>
    </r>
    <r>
      <rPr>
        <sz val="9"/>
        <color rgb="FF363438"/>
        <rFont val="Arial"/>
        <family val="2"/>
      </rPr>
      <t>kompleks</t>
    </r>
    <r>
      <rPr>
        <sz val="9"/>
        <color rgb="FF66666B"/>
        <rFont val="Arial"/>
        <family val="2"/>
      </rPr>
      <t xml:space="preserve">, </t>
    </r>
    <r>
      <rPr>
        <sz val="9"/>
        <color rgb="FF363438"/>
        <rFont val="Arial"/>
        <family val="2"/>
      </rPr>
      <t>termasu</t>
    </r>
    <r>
      <rPr>
        <sz val="9"/>
        <color rgb="FF66666B"/>
        <rFont val="Arial"/>
        <family val="2"/>
      </rPr>
      <t xml:space="preserve">k
</t>
    </r>
    <r>
      <rPr>
        <sz val="9"/>
        <color rgb="FF484649"/>
        <rFont val="Arial"/>
        <family val="2"/>
      </rPr>
      <t>penyertaan  dan  kerja  sama  operasi  da</t>
    </r>
    <r>
      <rPr>
        <sz val="9"/>
        <color rgb="FF212124"/>
        <rFont val="Arial"/>
        <family val="2"/>
      </rPr>
      <t>n</t>
    </r>
    <r>
      <rPr>
        <sz val="9"/>
        <color rgb="FF66666B"/>
        <rFont val="Arial"/>
        <family val="2"/>
      </rPr>
      <t>/</t>
    </r>
    <r>
      <rPr>
        <sz val="9"/>
        <color rgb="FF484649"/>
        <rFont val="Arial"/>
        <family val="2"/>
      </rPr>
      <t xml:space="preserve">atau  </t>
    </r>
    <r>
      <rPr>
        <sz val="9"/>
        <color rgb="FF363438"/>
        <rFont val="Arial"/>
        <family val="2"/>
      </rPr>
      <t xml:space="preserve">tidak  </t>
    </r>
    <r>
      <rPr>
        <sz val="9"/>
        <color rgb="FF212124"/>
        <rFont val="Arial"/>
        <family val="2"/>
      </rPr>
      <t>tr</t>
    </r>
    <r>
      <rPr>
        <sz val="9"/>
        <color rgb="FF484649"/>
        <rFont val="Arial"/>
        <family val="2"/>
      </rPr>
      <t>ansparan yang  dapat  menimbu</t>
    </r>
    <r>
      <rPr>
        <sz val="9"/>
        <color rgb="FF212124"/>
        <rFont val="Arial"/>
        <family val="2"/>
      </rPr>
      <t>l</t>
    </r>
    <r>
      <rPr>
        <sz val="9"/>
        <color rgb="FF484649"/>
        <rFont val="Arial"/>
        <family val="2"/>
      </rPr>
      <t>ka</t>
    </r>
    <r>
      <rPr>
        <sz val="9"/>
        <color rgb="FF66666B"/>
        <rFont val="Arial"/>
        <family val="2"/>
      </rPr>
      <t xml:space="preserve">n </t>
    </r>
    <r>
      <rPr>
        <sz val="9"/>
        <color rgb="FF484649"/>
        <rFont val="Arial"/>
        <family val="2"/>
      </rPr>
      <t>ketida</t>
    </r>
    <r>
      <rPr>
        <sz val="9"/>
        <color rgb="FF66666B"/>
        <rFont val="Arial"/>
        <family val="2"/>
      </rPr>
      <t>k</t>
    </r>
    <r>
      <rPr>
        <sz val="9"/>
        <color rgb="FF484649"/>
        <rFont val="Arial"/>
        <family val="2"/>
      </rPr>
      <t>pastia</t>
    </r>
    <r>
      <rPr>
        <sz val="9"/>
        <color rgb="FF212124"/>
        <rFont val="Arial"/>
        <family val="2"/>
      </rPr>
      <t xml:space="preserve">n </t>
    </r>
    <r>
      <rPr>
        <sz val="9"/>
        <color rgb="FF484649"/>
        <rFont val="Arial"/>
        <family val="2"/>
      </rPr>
      <t xml:space="preserve">yang </t>
    </r>
    <r>
      <rPr>
        <sz val="9"/>
        <color rgb="FF363438"/>
        <rFont val="Arial"/>
        <family val="2"/>
      </rPr>
      <t>materi</t>
    </r>
    <r>
      <rPr>
        <sz val="9"/>
        <color rgb="FF66666B"/>
        <rFont val="Arial"/>
        <family val="2"/>
      </rPr>
      <t>a</t>
    </r>
    <r>
      <rPr>
        <sz val="9"/>
        <color rgb="FF212124"/>
        <rFont val="Arial"/>
        <family val="2"/>
      </rPr>
      <t xml:space="preserve">l </t>
    </r>
    <r>
      <rPr>
        <sz val="9"/>
        <color rgb="FF484649"/>
        <rFont val="Arial"/>
        <family val="2"/>
      </rPr>
      <t xml:space="preserve">atas </t>
    </r>
    <r>
      <rPr>
        <sz val="9"/>
        <color rgb="FF363438"/>
        <rFont val="Arial"/>
        <family val="2"/>
      </rPr>
      <t>kinerja BUMN dan</t>
    </r>
    <r>
      <rPr>
        <sz val="9"/>
        <color rgb="FF66666B"/>
        <rFont val="Arial"/>
        <family val="2"/>
      </rPr>
      <t>/</t>
    </r>
    <r>
      <rPr>
        <sz val="9"/>
        <color rgb="FF484649"/>
        <rFont val="Arial"/>
        <family val="2"/>
      </rPr>
      <t>atau men</t>
    </r>
    <r>
      <rPr>
        <sz val="9"/>
        <color rgb="FF66666B"/>
        <rFont val="Arial"/>
        <family val="2"/>
      </rPr>
      <t>i</t>
    </r>
    <r>
      <rPr>
        <sz val="9"/>
        <color rgb="FF363438"/>
        <rFont val="Arial"/>
        <family val="2"/>
      </rPr>
      <t>mbu</t>
    </r>
    <r>
      <rPr>
        <sz val="9"/>
        <color rgb="FF000000"/>
        <rFont val="Arial"/>
        <family val="2"/>
      </rPr>
      <t>l</t>
    </r>
    <r>
      <rPr>
        <sz val="9"/>
        <color rgb="FF484649"/>
        <rFont val="Arial"/>
        <family val="2"/>
      </rPr>
      <t xml:space="preserve">kan </t>
    </r>
    <r>
      <rPr>
        <sz val="9"/>
        <color rgb="FF363438"/>
        <rFont val="Arial"/>
        <family val="2"/>
      </rPr>
      <t>kewa</t>
    </r>
    <r>
      <rPr>
        <sz val="9"/>
        <color rgb="FF66666B"/>
        <rFont val="Arial"/>
        <family val="2"/>
      </rPr>
      <t>j</t>
    </r>
    <r>
      <rPr>
        <sz val="9"/>
        <color rgb="FF484649"/>
        <rFont val="Arial"/>
        <family val="2"/>
      </rPr>
      <t>iban</t>
    </r>
    <r>
      <rPr>
        <sz val="9"/>
        <color rgb="FF212124"/>
        <rFont val="Arial"/>
        <family val="2"/>
      </rPr>
      <t xml:space="preserve">- </t>
    </r>
    <r>
      <rPr>
        <sz val="9"/>
        <color rgb="FF484649"/>
        <rFont val="Arial"/>
        <family val="2"/>
      </rPr>
      <t>kewa</t>
    </r>
    <r>
      <rPr>
        <sz val="9"/>
        <color rgb="FF66666B"/>
        <rFont val="Arial"/>
        <family val="2"/>
      </rPr>
      <t>j</t>
    </r>
    <r>
      <rPr>
        <sz val="9"/>
        <color rgb="FF484649"/>
        <rFont val="Arial"/>
        <family val="2"/>
      </rPr>
      <t>iban bag</t>
    </r>
    <r>
      <rPr>
        <sz val="9"/>
        <color rgb="FF212124"/>
        <rFont val="Arial"/>
        <family val="2"/>
      </rPr>
      <t xml:space="preserve">i </t>
    </r>
    <r>
      <rPr>
        <sz val="9"/>
        <color rgb="FF363438"/>
        <rFont val="Arial"/>
        <family val="2"/>
      </rPr>
      <t xml:space="preserve">induk </t>
    </r>
    <r>
      <rPr>
        <sz val="9"/>
        <color rgb="FF212124"/>
        <rFont val="Arial"/>
        <family val="2"/>
      </rPr>
      <t xml:space="preserve">BUMN </t>
    </r>
    <r>
      <rPr>
        <sz val="9"/>
        <color rgb="FF363438"/>
        <rFont val="Arial"/>
        <family val="2"/>
      </rPr>
      <t xml:space="preserve">terhadap </t>
    </r>
    <r>
      <rPr>
        <sz val="9"/>
        <color rgb="FF212124"/>
        <rFont val="Arial"/>
        <family val="2"/>
      </rPr>
      <t>k</t>
    </r>
    <r>
      <rPr>
        <sz val="9"/>
        <color rgb="FF484649"/>
        <rFont val="Arial"/>
        <family val="2"/>
      </rPr>
      <t>omi</t>
    </r>
    <r>
      <rPr>
        <sz val="9"/>
        <color rgb="FF212124"/>
        <rFont val="Arial"/>
        <family val="2"/>
      </rPr>
      <t>tm</t>
    </r>
    <r>
      <rPr>
        <sz val="9"/>
        <color rgb="FF484649"/>
        <rFont val="Arial"/>
        <family val="2"/>
      </rPr>
      <t>en ya</t>
    </r>
    <r>
      <rPr>
        <sz val="9"/>
        <color rgb="FF212124"/>
        <rFont val="Arial"/>
        <family val="2"/>
      </rPr>
      <t>n</t>
    </r>
    <r>
      <rPr>
        <sz val="9"/>
        <color rgb="FF484649"/>
        <rFont val="Arial"/>
        <family val="2"/>
      </rPr>
      <t>g d</t>
    </r>
    <r>
      <rPr>
        <sz val="9"/>
        <color rgb="FF212124"/>
        <rFont val="Arial"/>
        <family val="2"/>
      </rPr>
      <t>il</t>
    </r>
    <r>
      <rPr>
        <sz val="9"/>
        <color rgb="FF484649"/>
        <rFont val="Arial"/>
        <family val="2"/>
      </rPr>
      <t>aku</t>
    </r>
    <r>
      <rPr>
        <sz val="9"/>
        <color rgb="FF212124"/>
        <rFont val="Arial"/>
        <family val="2"/>
      </rPr>
      <t>k</t>
    </r>
    <r>
      <rPr>
        <sz val="9"/>
        <color rgb="FF484649"/>
        <rFont val="Arial"/>
        <family val="2"/>
      </rPr>
      <t>an ole</t>
    </r>
    <r>
      <rPr>
        <sz val="9"/>
        <color rgb="FF212124"/>
        <rFont val="Arial"/>
        <family val="2"/>
      </rPr>
      <t xml:space="preserve">h </t>
    </r>
    <r>
      <rPr>
        <sz val="9"/>
        <color rgb="FF484649"/>
        <rFont val="Arial"/>
        <family val="2"/>
      </rPr>
      <t>A</t>
    </r>
    <r>
      <rPr>
        <sz val="9"/>
        <color rgb="FF212124"/>
        <rFont val="Arial"/>
        <family val="2"/>
      </rPr>
      <t>n</t>
    </r>
    <r>
      <rPr>
        <sz val="9"/>
        <color rgb="FF484649"/>
        <rFont val="Arial"/>
        <family val="2"/>
      </rPr>
      <t>ak Pe</t>
    </r>
    <r>
      <rPr>
        <sz val="9"/>
        <color rgb="FF212124"/>
        <rFont val="Arial"/>
        <family val="2"/>
      </rPr>
      <t>ru</t>
    </r>
    <r>
      <rPr>
        <sz val="9"/>
        <color rgb="FF484649"/>
        <rFont val="Arial"/>
        <family val="2"/>
      </rPr>
      <t>sahaa</t>
    </r>
    <r>
      <rPr>
        <sz val="9"/>
        <color rgb="FF212124"/>
        <rFont val="Arial"/>
        <family val="2"/>
      </rPr>
      <t>n</t>
    </r>
  </si>
  <si>
    <r>
      <rPr>
        <sz val="9"/>
        <color rgb="FF212124"/>
        <rFont val="Arial"/>
        <family val="2"/>
      </rPr>
      <t>R</t>
    </r>
    <r>
      <rPr>
        <sz val="9"/>
        <color rgb="FF000000"/>
        <rFont val="Arial"/>
        <family val="2"/>
      </rPr>
      <t>i</t>
    </r>
    <r>
      <rPr>
        <sz val="9"/>
        <color rgb="FF484649"/>
        <rFont val="Arial"/>
        <family val="2"/>
      </rPr>
      <t>s</t>
    </r>
    <r>
      <rPr>
        <sz val="9"/>
        <color rgb="FF212124"/>
        <rFont val="Arial"/>
        <family val="2"/>
      </rPr>
      <t>ik</t>
    </r>
    <r>
      <rPr>
        <sz val="9"/>
        <color rgb="FF484649"/>
        <rFont val="Arial"/>
        <family val="2"/>
      </rPr>
      <t xml:space="preserve">o </t>
    </r>
    <r>
      <rPr>
        <sz val="9"/>
        <color rgb="FF212124"/>
        <rFont val="Arial"/>
        <family val="2"/>
      </rPr>
      <t>terk</t>
    </r>
    <r>
      <rPr>
        <sz val="9"/>
        <color rgb="FF484649"/>
        <rFont val="Arial"/>
        <family val="2"/>
      </rPr>
      <t>a</t>
    </r>
    <r>
      <rPr>
        <sz val="9"/>
        <color rgb="FF212124"/>
        <rFont val="Arial"/>
        <family val="2"/>
      </rPr>
      <t xml:space="preserve">it </t>
    </r>
    <r>
      <rPr>
        <sz val="9"/>
        <color rgb="FF484649"/>
        <rFont val="Arial"/>
        <family val="2"/>
      </rPr>
      <t>pen</t>
    </r>
    <r>
      <rPr>
        <sz val="9"/>
        <color rgb="FF212124"/>
        <rFont val="Arial"/>
        <family val="2"/>
      </rPr>
      <t>gg</t>
    </r>
    <r>
      <rPr>
        <sz val="9"/>
        <color rgb="FF484649"/>
        <rFont val="Arial"/>
        <family val="2"/>
      </rPr>
      <t>a</t>
    </r>
    <r>
      <rPr>
        <sz val="9"/>
        <color rgb="FF212124"/>
        <rFont val="Arial"/>
        <family val="2"/>
      </rPr>
      <t>bungan</t>
    </r>
    <r>
      <rPr>
        <sz val="9"/>
        <color rgb="FF484649"/>
        <rFont val="Arial"/>
        <family val="2"/>
      </rPr>
      <t xml:space="preserve">, </t>
    </r>
    <r>
      <rPr>
        <sz val="9"/>
        <color rgb="FF363438"/>
        <rFont val="Arial"/>
        <family val="2"/>
      </rPr>
      <t>pengambilalihan</t>
    </r>
    <r>
      <rPr>
        <sz val="9"/>
        <color rgb="FF66666B"/>
        <rFont val="Arial"/>
        <family val="2"/>
      </rPr>
      <t xml:space="preserve">, </t>
    </r>
    <r>
      <rPr>
        <sz val="9"/>
        <color rgb="FF363438"/>
        <rFont val="Arial"/>
        <family val="2"/>
      </rPr>
      <t>pe</t>
    </r>
    <r>
      <rPr>
        <sz val="9"/>
        <color rgb="FF000000"/>
        <rFont val="Arial"/>
        <family val="2"/>
      </rPr>
      <t>l</t>
    </r>
    <r>
      <rPr>
        <sz val="9"/>
        <color rgb="FF484649"/>
        <rFont val="Arial"/>
        <family val="2"/>
      </rPr>
      <t>eb</t>
    </r>
    <r>
      <rPr>
        <sz val="9"/>
        <color rgb="FF212124"/>
        <rFont val="Arial"/>
        <family val="2"/>
      </rPr>
      <t>ur</t>
    </r>
    <r>
      <rPr>
        <sz val="9"/>
        <color rgb="FF484649"/>
        <rFont val="Arial"/>
        <family val="2"/>
      </rPr>
      <t xml:space="preserve">an, </t>
    </r>
    <r>
      <rPr>
        <sz val="9"/>
        <color rgb="FF363438"/>
        <rFont val="Arial"/>
        <family val="2"/>
      </rPr>
      <t xml:space="preserve">pemisahan, </t>
    </r>
    <r>
      <rPr>
        <sz val="9"/>
        <color rgb="FF484649"/>
        <rFont val="Arial"/>
        <family val="2"/>
      </rPr>
      <t>pemb</t>
    </r>
    <r>
      <rPr>
        <sz val="9"/>
        <color rgb="FF212124"/>
        <rFont val="Arial"/>
        <family val="2"/>
      </rPr>
      <t>ub</t>
    </r>
    <r>
      <rPr>
        <sz val="9"/>
        <color rgb="FF484649"/>
        <rFont val="Arial"/>
        <family val="2"/>
      </rPr>
      <t>aran</t>
    </r>
    <r>
      <rPr>
        <sz val="9"/>
        <color rgb="FF66666B"/>
        <rFont val="Arial"/>
        <family val="2"/>
      </rPr>
      <t xml:space="preserve">, </t>
    </r>
    <r>
      <rPr>
        <sz val="9"/>
        <color rgb="FF212124"/>
        <rFont val="Arial"/>
        <family val="2"/>
      </rPr>
      <t>l</t>
    </r>
    <r>
      <rPr>
        <sz val="9"/>
        <color rgb="FF484649"/>
        <rFont val="Arial"/>
        <family val="2"/>
      </rPr>
      <t>iku</t>
    </r>
    <r>
      <rPr>
        <sz val="9"/>
        <color rgb="FF212124"/>
        <rFont val="Arial"/>
        <family val="2"/>
      </rPr>
      <t>i</t>
    </r>
    <r>
      <rPr>
        <sz val="9"/>
        <color rgb="FF484649"/>
        <rFont val="Arial"/>
        <family val="2"/>
      </rPr>
      <t xml:space="preserve">dasi, kemitraan </t>
    </r>
    <r>
      <rPr>
        <sz val="9"/>
        <color rgb="FF363438"/>
        <rFont val="Arial"/>
        <family val="2"/>
      </rPr>
      <t xml:space="preserve">dan
</t>
    </r>
    <r>
      <rPr>
        <sz val="9"/>
        <color rgb="FF212124"/>
        <rFont val="Arial"/>
        <family val="2"/>
      </rPr>
      <t>re</t>
    </r>
    <r>
      <rPr>
        <sz val="9"/>
        <color rgb="FF484649"/>
        <rFont val="Arial"/>
        <family val="2"/>
      </rPr>
      <t>struktur</t>
    </r>
    <r>
      <rPr>
        <sz val="9"/>
        <color rgb="FF212124"/>
        <rFont val="Arial"/>
        <family val="2"/>
      </rPr>
      <t>i</t>
    </r>
    <r>
      <rPr>
        <sz val="9"/>
        <color rgb="FF484649"/>
        <rFont val="Arial"/>
        <family val="2"/>
      </rPr>
      <t>sasi</t>
    </r>
  </si>
  <si>
    <r>
      <rPr>
        <sz val="9"/>
        <color rgb="FF363438"/>
        <rFont val="Arial"/>
        <family val="2"/>
      </rPr>
      <t>Per</t>
    </r>
    <r>
      <rPr>
        <sz val="9"/>
        <color rgb="FF000000"/>
        <rFont val="Arial"/>
        <family val="2"/>
      </rPr>
      <t>i</t>
    </r>
    <r>
      <rPr>
        <sz val="9"/>
        <color rgb="FF363438"/>
        <rFont val="Arial"/>
        <family val="2"/>
      </rPr>
      <t xml:space="preserve">stiwa  Risiko   </t>
    </r>
    <r>
      <rPr>
        <sz val="9"/>
        <color rgb="FF484649"/>
        <rFont val="Arial"/>
        <family val="2"/>
      </rPr>
      <t>ya</t>
    </r>
    <r>
      <rPr>
        <sz val="9"/>
        <color rgb="FF212124"/>
        <rFont val="Arial"/>
        <family val="2"/>
      </rPr>
      <t>ng  di</t>
    </r>
    <r>
      <rPr>
        <sz val="9"/>
        <color rgb="FF484649"/>
        <rFont val="Arial"/>
        <family val="2"/>
      </rPr>
      <t>se</t>
    </r>
    <r>
      <rPr>
        <sz val="9"/>
        <color rgb="FF212124"/>
        <rFont val="Arial"/>
        <family val="2"/>
      </rPr>
      <t>b</t>
    </r>
    <r>
      <rPr>
        <sz val="9"/>
        <color rgb="FF484649"/>
        <rFont val="Arial"/>
        <family val="2"/>
      </rPr>
      <t>ab</t>
    </r>
    <r>
      <rPr>
        <sz val="9"/>
        <color rgb="FF212124"/>
        <rFont val="Arial"/>
        <family val="2"/>
      </rPr>
      <t>k</t>
    </r>
    <r>
      <rPr>
        <sz val="9"/>
        <color rgb="FF484649"/>
        <rFont val="Arial"/>
        <family val="2"/>
      </rPr>
      <t>a</t>
    </r>
    <r>
      <rPr>
        <sz val="9"/>
        <color rgb="FF212124"/>
        <rFont val="Arial"/>
        <family val="2"/>
      </rPr>
      <t xml:space="preserve">n   </t>
    </r>
    <r>
      <rPr>
        <sz val="9"/>
        <color rgb="FF363438"/>
        <rFont val="Arial"/>
        <family val="2"/>
      </rPr>
      <t xml:space="preserve">oleh   </t>
    </r>
    <r>
      <rPr>
        <sz val="9"/>
        <color rgb="FF212124"/>
        <rFont val="Arial"/>
        <family val="2"/>
      </rPr>
      <t>tr</t>
    </r>
    <r>
      <rPr>
        <sz val="9"/>
        <color rgb="FF484649"/>
        <rFont val="Arial"/>
        <family val="2"/>
      </rPr>
      <t>ansa</t>
    </r>
    <r>
      <rPr>
        <sz val="9"/>
        <color rgb="FF212124"/>
        <rFont val="Arial"/>
        <family val="2"/>
      </rPr>
      <t>k</t>
    </r>
    <r>
      <rPr>
        <sz val="9"/>
        <color rgb="FF484649"/>
        <rFont val="Arial"/>
        <family val="2"/>
      </rPr>
      <t>si   a</t>
    </r>
    <r>
      <rPr>
        <sz val="9"/>
        <color rgb="FF212124"/>
        <rFont val="Arial"/>
        <family val="2"/>
      </rPr>
      <t>k</t>
    </r>
    <r>
      <rPr>
        <sz val="9"/>
        <color rgb="FF484649"/>
        <rFont val="Arial"/>
        <family val="2"/>
      </rPr>
      <t xml:space="preserve">si   </t>
    </r>
    <r>
      <rPr>
        <sz val="9"/>
        <color rgb="FF212124"/>
        <rFont val="Arial"/>
        <family val="2"/>
      </rPr>
      <t>k</t>
    </r>
    <r>
      <rPr>
        <sz val="9"/>
        <color rgb="FF484649"/>
        <rFont val="Arial"/>
        <family val="2"/>
      </rPr>
      <t>o</t>
    </r>
    <r>
      <rPr>
        <sz val="9"/>
        <color rgb="FF212124"/>
        <rFont val="Arial"/>
        <family val="2"/>
      </rPr>
      <t>rp</t>
    </r>
    <r>
      <rPr>
        <sz val="9"/>
        <color rgb="FF484649"/>
        <rFont val="Arial"/>
        <family val="2"/>
      </rPr>
      <t>oras</t>
    </r>
    <r>
      <rPr>
        <sz val="9"/>
        <color rgb="FF212124"/>
        <rFont val="Arial"/>
        <family val="2"/>
      </rPr>
      <t xml:space="preserve">i   </t>
    </r>
    <r>
      <rPr>
        <sz val="9"/>
        <color rgb="FF484649"/>
        <rFont val="Arial"/>
        <family val="2"/>
      </rPr>
      <t>atas   pengg</t>
    </r>
    <r>
      <rPr>
        <sz val="9"/>
        <color rgb="FF212124"/>
        <rFont val="Arial"/>
        <family val="2"/>
      </rPr>
      <t>a</t>
    </r>
    <r>
      <rPr>
        <sz val="9"/>
        <color rgb="FF484649"/>
        <rFont val="Arial"/>
        <family val="2"/>
      </rPr>
      <t>b</t>
    </r>
    <r>
      <rPr>
        <sz val="9"/>
        <color rgb="FF212124"/>
        <rFont val="Arial"/>
        <family val="2"/>
      </rPr>
      <t>un</t>
    </r>
    <r>
      <rPr>
        <sz val="9"/>
        <color rgb="FF484649"/>
        <rFont val="Arial"/>
        <family val="2"/>
      </rPr>
      <t>gan</t>
    </r>
    <r>
      <rPr>
        <sz val="9"/>
        <color rgb="FF212124"/>
        <rFont val="Arial"/>
        <family val="2"/>
      </rPr>
      <t xml:space="preserve">, </t>
    </r>
    <r>
      <rPr>
        <sz val="9"/>
        <color rgb="FF484649"/>
        <rFont val="Arial"/>
        <family val="2"/>
      </rPr>
      <t>pe</t>
    </r>
    <r>
      <rPr>
        <sz val="9"/>
        <color rgb="FF212124"/>
        <rFont val="Arial"/>
        <family val="2"/>
      </rPr>
      <t>ngambil</t>
    </r>
    <r>
      <rPr>
        <sz val="9"/>
        <color rgb="FF484649"/>
        <rFont val="Arial"/>
        <family val="2"/>
      </rPr>
      <t>a</t>
    </r>
    <r>
      <rPr>
        <sz val="9"/>
        <color rgb="FF212124"/>
        <rFont val="Arial"/>
        <family val="2"/>
      </rPr>
      <t>l</t>
    </r>
    <r>
      <rPr>
        <sz val="9"/>
        <color rgb="FF484649"/>
        <rFont val="Arial"/>
        <family val="2"/>
      </rPr>
      <t>i</t>
    </r>
    <r>
      <rPr>
        <sz val="9"/>
        <color rgb="FF212124"/>
        <rFont val="Arial"/>
        <family val="2"/>
      </rPr>
      <t>h</t>
    </r>
    <r>
      <rPr>
        <sz val="9"/>
        <color rgb="FF484649"/>
        <rFont val="Arial"/>
        <family val="2"/>
      </rPr>
      <t>an</t>
    </r>
    <r>
      <rPr>
        <sz val="9"/>
        <color rgb="FF66666B"/>
        <rFont val="Arial"/>
        <family val="2"/>
      </rPr>
      <t xml:space="preserve">, </t>
    </r>
    <r>
      <rPr>
        <sz val="9"/>
        <color rgb="FF212124"/>
        <rFont val="Arial"/>
        <family val="2"/>
      </rPr>
      <t>p</t>
    </r>
    <r>
      <rPr>
        <sz val="9"/>
        <color rgb="FF484649"/>
        <rFont val="Arial"/>
        <family val="2"/>
      </rPr>
      <t>e</t>
    </r>
    <r>
      <rPr>
        <sz val="9"/>
        <color rgb="FF212124"/>
        <rFont val="Arial"/>
        <family val="2"/>
      </rPr>
      <t>l</t>
    </r>
    <r>
      <rPr>
        <sz val="9"/>
        <color rgb="FF484649"/>
        <rFont val="Arial"/>
        <family val="2"/>
      </rPr>
      <t>ebu</t>
    </r>
    <r>
      <rPr>
        <sz val="9"/>
        <color rgb="FF212124"/>
        <rFont val="Arial"/>
        <family val="2"/>
      </rPr>
      <t>r</t>
    </r>
    <r>
      <rPr>
        <sz val="9"/>
        <color rgb="FF484649"/>
        <rFont val="Arial"/>
        <family val="2"/>
      </rPr>
      <t>a</t>
    </r>
    <r>
      <rPr>
        <sz val="9"/>
        <color rgb="FF212124"/>
        <rFont val="Arial"/>
        <family val="2"/>
      </rPr>
      <t>n</t>
    </r>
    <r>
      <rPr>
        <sz val="9"/>
        <color rgb="FF66666B"/>
        <rFont val="Arial"/>
        <family val="2"/>
      </rPr>
      <t xml:space="preserve">, </t>
    </r>
    <r>
      <rPr>
        <sz val="9"/>
        <color rgb="FF363438"/>
        <rFont val="Arial"/>
        <family val="2"/>
      </rPr>
      <t>pemisahan</t>
    </r>
    <r>
      <rPr>
        <sz val="9"/>
        <color rgb="FF66666B"/>
        <rFont val="Arial"/>
        <family val="2"/>
      </rPr>
      <t xml:space="preserve">, </t>
    </r>
    <r>
      <rPr>
        <sz val="9"/>
        <color rgb="FF363438"/>
        <rFont val="Arial"/>
        <family val="2"/>
      </rPr>
      <t xml:space="preserve">pembubaran, </t>
    </r>
    <r>
      <rPr>
        <sz val="9"/>
        <color rgb="FF212124"/>
        <rFont val="Arial"/>
        <family val="2"/>
      </rPr>
      <t>likuid</t>
    </r>
    <r>
      <rPr>
        <sz val="9"/>
        <color rgb="FF484649"/>
        <rFont val="Arial"/>
        <family val="2"/>
      </rPr>
      <t>as</t>
    </r>
    <r>
      <rPr>
        <sz val="9"/>
        <color rgb="FF212124"/>
        <rFont val="Arial"/>
        <family val="2"/>
      </rPr>
      <t>i</t>
    </r>
    <r>
      <rPr>
        <sz val="9"/>
        <color rgb="FF66666B"/>
        <rFont val="Arial"/>
        <family val="2"/>
      </rPr>
      <t xml:space="preserve">, </t>
    </r>
    <r>
      <rPr>
        <sz val="9"/>
        <color rgb="FF212124"/>
        <rFont val="Arial"/>
        <family val="2"/>
      </rPr>
      <t>k</t>
    </r>
    <r>
      <rPr>
        <sz val="9"/>
        <color rgb="FF484649"/>
        <rFont val="Arial"/>
        <family val="2"/>
      </rPr>
      <t>em</t>
    </r>
    <r>
      <rPr>
        <sz val="9"/>
        <color rgb="FF212124"/>
        <rFont val="Arial"/>
        <family val="2"/>
      </rPr>
      <t>itra</t>
    </r>
    <r>
      <rPr>
        <sz val="9"/>
        <color rgb="FF484649"/>
        <rFont val="Arial"/>
        <family val="2"/>
      </rPr>
      <t>an</t>
    </r>
    <r>
      <rPr>
        <sz val="9"/>
        <color rgb="FF66666B"/>
        <rFont val="Arial"/>
        <family val="2"/>
      </rPr>
      <t xml:space="preserve">, </t>
    </r>
    <r>
      <rPr>
        <sz val="9"/>
        <color rgb="FF484649"/>
        <rFont val="Arial"/>
        <family val="2"/>
      </rPr>
      <t>dan restr</t>
    </r>
    <r>
      <rPr>
        <sz val="9"/>
        <color rgb="FF212124"/>
        <rFont val="Arial"/>
        <family val="2"/>
      </rPr>
      <t>u</t>
    </r>
    <r>
      <rPr>
        <sz val="9"/>
        <color rgb="FF484649"/>
        <rFont val="Arial"/>
        <family val="2"/>
      </rPr>
      <t>kt</t>
    </r>
    <r>
      <rPr>
        <sz val="9"/>
        <color rgb="FF212124"/>
        <rFont val="Arial"/>
        <family val="2"/>
      </rPr>
      <t>ur</t>
    </r>
    <r>
      <rPr>
        <sz val="9"/>
        <color rgb="FF484649"/>
        <rFont val="Arial"/>
        <family val="2"/>
      </rPr>
      <t>isas</t>
    </r>
    <r>
      <rPr>
        <sz val="9"/>
        <color rgb="FF212124"/>
        <rFont val="Arial"/>
        <family val="2"/>
      </rPr>
      <t xml:space="preserve">i </t>
    </r>
    <r>
      <rPr>
        <sz val="9"/>
        <color rgb="FF484649"/>
        <rFont val="Arial"/>
        <family val="2"/>
      </rPr>
      <t>ya</t>
    </r>
    <r>
      <rPr>
        <sz val="9"/>
        <color rgb="FF212124"/>
        <rFont val="Arial"/>
        <family val="2"/>
      </rPr>
      <t xml:space="preserve">ng </t>
    </r>
    <r>
      <rPr>
        <sz val="9"/>
        <color rgb="FF484649"/>
        <rFont val="Arial"/>
        <family val="2"/>
      </rPr>
      <t xml:space="preserve">material yang </t>
    </r>
    <r>
      <rPr>
        <sz val="9"/>
        <color rgb="FF363438"/>
        <rFont val="Arial"/>
        <family val="2"/>
      </rPr>
      <t>dapat mempengaruh</t>
    </r>
    <r>
      <rPr>
        <sz val="9"/>
        <color rgb="FF66666B"/>
        <rFont val="Arial"/>
        <family val="2"/>
      </rPr>
      <t xml:space="preserve">i </t>
    </r>
    <r>
      <rPr>
        <sz val="9"/>
        <color rgb="FF484649"/>
        <rFont val="Arial"/>
        <family val="2"/>
      </rPr>
      <t>posisi st</t>
    </r>
    <r>
      <rPr>
        <sz val="9"/>
        <color rgb="FF212124"/>
        <rFont val="Arial"/>
        <family val="2"/>
      </rPr>
      <t>r</t>
    </r>
    <r>
      <rPr>
        <sz val="9"/>
        <color rgb="FF484649"/>
        <rFont val="Arial"/>
        <family val="2"/>
      </rPr>
      <t xml:space="preserve">ategis BUMN </t>
    </r>
    <r>
      <rPr>
        <sz val="9"/>
        <color rgb="FF363438"/>
        <rFont val="Arial"/>
        <family val="2"/>
      </rPr>
      <t xml:space="preserve">di </t>
    </r>
    <r>
      <rPr>
        <sz val="9"/>
        <color rgb="FF484649"/>
        <rFont val="Arial"/>
        <family val="2"/>
      </rPr>
      <t xml:space="preserve">masa yang akan </t>
    </r>
    <r>
      <rPr>
        <sz val="9"/>
        <color rgb="FF363438"/>
        <rFont val="Arial"/>
        <family val="2"/>
      </rPr>
      <t>datang</t>
    </r>
    <r>
      <rPr>
        <sz val="9"/>
        <color rgb="FF000000"/>
        <rFont val="Arial"/>
        <family val="2"/>
      </rPr>
      <t xml:space="preserve">.
</t>
    </r>
    <r>
      <rPr>
        <vertAlign val="superscript"/>
        <sz val="9"/>
        <color rgb="FF363438"/>
        <rFont val="Arial"/>
        <family val="2"/>
      </rPr>
      <t xml:space="preserve">Peristiwa    </t>
    </r>
    <r>
      <rPr>
        <vertAlign val="superscript"/>
        <sz val="9"/>
        <color rgb="FF484649"/>
        <rFont val="Arial"/>
        <family val="2"/>
      </rPr>
      <t xml:space="preserve">Risiko    </t>
    </r>
    <r>
      <rPr>
        <vertAlign val="superscript"/>
        <sz val="9"/>
        <color rgb="FF363438"/>
        <rFont val="Arial"/>
        <family val="2"/>
      </rPr>
      <t>ini    terka</t>
    </r>
    <r>
      <rPr>
        <vertAlign val="superscript"/>
        <sz val="9"/>
        <color rgb="FF66666B"/>
        <rFont val="Arial"/>
        <family val="2"/>
      </rPr>
      <t>i</t>
    </r>
    <r>
      <rPr>
        <vertAlign val="superscript"/>
        <sz val="9"/>
        <color rgb="FF363438"/>
        <rFont val="Arial"/>
        <family val="2"/>
      </rPr>
      <t xml:space="preserve">t   </t>
    </r>
    <r>
      <rPr>
        <sz val="9"/>
        <color rgb="FF484649"/>
        <rFont val="Arial"/>
        <family val="2"/>
      </rPr>
      <t xml:space="preserve">dengan   proses    </t>
    </r>
    <r>
      <rPr>
        <vertAlign val="superscript"/>
        <sz val="9"/>
        <color rgb="FF484649"/>
        <rFont val="Arial"/>
        <family val="2"/>
      </rPr>
      <t>implementas</t>
    </r>
    <r>
      <rPr>
        <vertAlign val="superscript"/>
        <sz val="9"/>
        <color rgb="FF212124"/>
        <rFont val="Arial"/>
        <family val="2"/>
      </rPr>
      <t xml:space="preserve">i    </t>
    </r>
    <r>
      <rPr>
        <vertAlign val="superscript"/>
        <sz val="9"/>
        <color rgb="FF484649"/>
        <rFont val="Arial"/>
        <family val="2"/>
      </rPr>
      <t>k</t>
    </r>
    <r>
      <rPr>
        <vertAlign val="superscript"/>
        <sz val="9"/>
        <color rgb="FF66666B"/>
        <rFont val="Arial"/>
        <family val="2"/>
      </rPr>
      <t>e</t>
    </r>
    <r>
      <rPr>
        <vertAlign val="superscript"/>
        <sz val="9"/>
        <color rgb="FF484649"/>
        <rFont val="Arial"/>
        <family val="2"/>
      </rPr>
      <t>g</t>
    </r>
    <r>
      <rPr>
        <vertAlign val="superscript"/>
        <sz val="9"/>
        <color rgb="FF212124"/>
        <rFont val="Arial"/>
        <family val="2"/>
      </rPr>
      <t>i</t>
    </r>
    <r>
      <rPr>
        <vertAlign val="superscript"/>
        <sz val="9"/>
        <color rgb="FF484649"/>
        <rFont val="Arial"/>
        <family val="2"/>
      </rPr>
      <t>atan   penggab</t>
    </r>
    <r>
      <rPr>
        <vertAlign val="superscript"/>
        <sz val="9"/>
        <color rgb="FF212124"/>
        <rFont val="Arial"/>
        <family val="2"/>
      </rPr>
      <t>un</t>
    </r>
    <r>
      <rPr>
        <vertAlign val="superscript"/>
        <sz val="9"/>
        <color rgb="FF484649"/>
        <rFont val="Arial"/>
        <family val="2"/>
      </rPr>
      <t>gan</t>
    </r>
    <r>
      <rPr>
        <vertAlign val="superscript"/>
        <sz val="9"/>
        <color rgb="FF66666B"/>
        <rFont val="Arial"/>
        <family val="2"/>
      </rPr>
      <t>,</t>
    </r>
  </si>
  <si>
    <r>
      <rPr>
        <b/>
        <sz val="8"/>
        <color rgb="FF1C1C1F"/>
        <rFont val="Arial"/>
        <family val="2"/>
      </rPr>
      <t>No</t>
    </r>
  </si>
  <si>
    <r>
      <rPr>
        <b/>
        <sz val="8"/>
        <color rgb="FF1C1C1F"/>
        <rFont val="Arial"/>
        <family val="2"/>
      </rPr>
      <t>Kelompok Perist</t>
    </r>
    <r>
      <rPr>
        <b/>
        <sz val="8"/>
        <color theme="1"/>
        <rFont val="Arial"/>
        <family val="2"/>
      </rPr>
      <t>i</t>
    </r>
    <r>
      <rPr>
        <b/>
        <sz val="8"/>
        <color rgb="FF1C1C1F"/>
        <rFont val="Arial"/>
        <family val="2"/>
      </rPr>
      <t xml:space="preserve">wa Risiko </t>
    </r>
    <r>
      <rPr>
        <b/>
        <sz val="8"/>
        <color rgb="FF2D2D31"/>
        <rFont val="Arial"/>
        <family val="2"/>
      </rPr>
      <t>(T3)</t>
    </r>
  </si>
  <si>
    <r>
      <rPr>
        <b/>
        <sz val="8"/>
        <color rgb="FF1C1C1F"/>
        <rFont val="Arial"/>
        <family val="2"/>
      </rPr>
      <t>Pengertian</t>
    </r>
  </si>
  <si>
    <r>
      <rPr>
        <sz val="9"/>
        <color rgb="FF3D3D41"/>
        <rFont val="Arial"/>
        <family val="2"/>
      </rPr>
      <t>pengambila</t>
    </r>
    <r>
      <rPr>
        <sz val="9"/>
        <color rgb="FF626267"/>
        <rFont val="Arial"/>
        <family val="2"/>
      </rPr>
      <t>li</t>
    </r>
    <r>
      <rPr>
        <sz val="9"/>
        <color rgb="FF3D3D41"/>
        <rFont val="Arial"/>
        <family val="2"/>
      </rPr>
      <t>han</t>
    </r>
    <r>
      <rPr>
        <sz val="9"/>
        <color rgb="FF757579"/>
        <rFont val="Arial"/>
        <family val="2"/>
      </rPr>
      <t xml:space="preserve">, </t>
    </r>
    <r>
      <rPr>
        <sz val="9"/>
        <color rgb="FF4D4D4F"/>
        <rFont val="Arial"/>
        <family val="2"/>
      </rPr>
      <t>pelebura</t>
    </r>
    <r>
      <rPr>
        <sz val="9"/>
        <color rgb="FF2D2D31"/>
        <rFont val="Arial"/>
        <family val="2"/>
      </rPr>
      <t>n</t>
    </r>
    <r>
      <rPr>
        <sz val="9"/>
        <color rgb="FF757579"/>
        <rFont val="Arial"/>
        <family val="2"/>
      </rPr>
      <t xml:space="preserve">, </t>
    </r>
    <r>
      <rPr>
        <sz val="9"/>
        <color rgb="FF4D4D4F"/>
        <rFont val="Arial"/>
        <family val="2"/>
      </rPr>
      <t>pem</t>
    </r>
    <r>
      <rPr>
        <sz val="9"/>
        <color rgb="FF2D2D31"/>
        <rFont val="Arial"/>
        <family val="2"/>
      </rPr>
      <t>i</t>
    </r>
    <r>
      <rPr>
        <sz val="9"/>
        <color rgb="FF4D4D4F"/>
        <rFont val="Arial"/>
        <family val="2"/>
      </rPr>
      <t>sahan</t>
    </r>
    <r>
      <rPr>
        <sz val="9"/>
        <color rgb="FF757579"/>
        <rFont val="Arial"/>
        <family val="2"/>
      </rPr>
      <t xml:space="preserve">, </t>
    </r>
    <r>
      <rPr>
        <sz val="9"/>
        <color rgb="FF4D4D4F"/>
        <rFont val="Arial"/>
        <family val="2"/>
      </rPr>
      <t>pembubaran, l</t>
    </r>
    <r>
      <rPr>
        <sz val="9"/>
        <color rgb="FF2D2D31"/>
        <rFont val="Arial"/>
        <family val="2"/>
      </rPr>
      <t>i</t>
    </r>
    <r>
      <rPr>
        <sz val="9"/>
        <color rgb="FF4D4D4F"/>
        <rFont val="Arial"/>
        <family val="2"/>
      </rPr>
      <t>k</t>
    </r>
    <r>
      <rPr>
        <sz val="9"/>
        <color rgb="FF2D2D31"/>
        <rFont val="Arial"/>
        <family val="2"/>
      </rPr>
      <t>u</t>
    </r>
    <r>
      <rPr>
        <sz val="9"/>
        <color rgb="FF4D4D4F"/>
        <rFont val="Arial"/>
        <family val="2"/>
      </rPr>
      <t>i</t>
    </r>
    <r>
      <rPr>
        <sz val="9"/>
        <color rgb="FF2D2D31"/>
        <rFont val="Arial"/>
        <family val="2"/>
      </rPr>
      <t>d</t>
    </r>
    <r>
      <rPr>
        <sz val="9"/>
        <color rgb="FF4D4D4F"/>
        <rFont val="Arial"/>
        <family val="2"/>
      </rPr>
      <t>asi</t>
    </r>
    <r>
      <rPr>
        <sz val="9"/>
        <color rgb="FF757579"/>
        <rFont val="Arial"/>
        <family val="2"/>
      </rPr>
      <t xml:space="preserve">, </t>
    </r>
    <r>
      <rPr>
        <sz val="9"/>
        <color rgb="FF3D3D41"/>
        <rFont val="Arial"/>
        <family val="2"/>
      </rPr>
      <t>kemit</t>
    </r>
    <r>
      <rPr>
        <sz val="9"/>
        <color rgb="FF1C1C1F"/>
        <rFont val="Arial"/>
        <family val="2"/>
      </rPr>
      <t>r</t>
    </r>
    <r>
      <rPr>
        <sz val="9"/>
        <color rgb="FF4D4D4F"/>
        <rFont val="Arial"/>
        <family val="2"/>
      </rPr>
      <t>aan,dan restruktur</t>
    </r>
    <r>
      <rPr>
        <sz val="9"/>
        <color rgb="FF2D2D31"/>
        <rFont val="Arial"/>
        <family val="2"/>
      </rPr>
      <t>i</t>
    </r>
    <r>
      <rPr>
        <sz val="9"/>
        <color rgb="FF4D4D4F"/>
        <rFont val="Arial"/>
        <family val="2"/>
      </rPr>
      <t>sasi dan  se</t>
    </r>
    <r>
      <rPr>
        <sz val="9"/>
        <color rgb="FF2D2D31"/>
        <rFont val="Arial"/>
        <family val="2"/>
      </rPr>
      <t>l</t>
    </r>
    <r>
      <rPr>
        <sz val="9"/>
        <color rgb="FF4D4D4F"/>
        <rFont val="Arial"/>
        <family val="2"/>
      </rPr>
      <t>an</t>
    </r>
    <r>
      <rPr>
        <sz val="9"/>
        <color rgb="FF2D2D31"/>
        <rFont val="Arial"/>
        <family val="2"/>
      </rPr>
      <t>jutn</t>
    </r>
    <r>
      <rPr>
        <sz val="9"/>
        <color rgb="FF4D4D4F"/>
        <rFont val="Arial"/>
        <family val="2"/>
      </rPr>
      <t xml:space="preserve">ya  </t>
    </r>
    <r>
      <rPr>
        <sz val="9"/>
        <color rgb="FF3D3D41"/>
        <rFont val="Arial"/>
        <family val="2"/>
      </rPr>
      <t>dapat  d</t>
    </r>
    <r>
      <rPr>
        <sz val="9"/>
        <color rgb="FF1C1C1F"/>
        <rFont val="Arial"/>
        <family val="2"/>
      </rPr>
      <t>i</t>
    </r>
    <r>
      <rPr>
        <sz val="9"/>
        <color rgb="FF3D3D41"/>
        <rFont val="Arial"/>
        <family val="2"/>
      </rPr>
      <t>klas</t>
    </r>
    <r>
      <rPr>
        <sz val="9"/>
        <color rgb="FF1C1C1F"/>
        <rFont val="Arial"/>
        <family val="2"/>
      </rPr>
      <t>ifi</t>
    </r>
    <r>
      <rPr>
        <sz val="9"/>
        <color rgb="FF4D4D4F"/>
        <rFont val="Arial"/>
        <family val="2"/>
      </rPr>
      <t xml:space="preserve">kasikan menjadi  </t>
    </r>
    <r>
      <rPr>
        <sz val="9"/>
        <color rgb="FF3D3D41"/>
        <rFont val="Arial"/>
        <family val="2"/>
      </rPr>
      <t>Ris</t>
    </r>
    <r>
      <rPr>
        <sz val="9"/>
        <color rgb="FF1C1C1F"/>
        <rFont val="Arial"/>
        <family val="2"/>
      </rPr>
      <t>i</t>
    </r>
    <r>
      <rPr>
        <sz val="9"/>
        <color rgb="FF4D4D4F"/>
        <rFont val="Arial"/>
        <family val="2"/>
      </rPr>
      <t>ko  ket</t>
    </r>
    <r>
      <rPr>
        <sz val="9"/>
        <color rgb="FF2D2D31"/>
        <rFont val="Arial"/>
        <family val="2"/>
      </rPr>
      <t>i</t>
    </r>
    <r>
      <rPr>
        <sz val="9"/>
        <color rgb="FF4D4D4F"/>
        <rFont val="Arial"/>
        <family val="2"/>
      </rPr>
      <t>daktercap</t>
    </r>
    <r>
      <rPr>
        <sz val="9"/>
        <color rgb="FF2D2D31"/>
        <rFont val="Arial"/>
        <family val="2"/>
      </rPr>
      <t>a</t>
    </r>
    <r>
      <rPr>
        <sz val="9"/>
        <color rgb="FF4D4D4F"/>
        <rFont val="Arial"/>
        <family val="2"/>
      </rPr>
      <t>ian  sinerg</t>
    </r>
    <r>
      <rPr>
        <sz val="9"/>
        <color rgb="FF757579"/>
        <rFont val="Arial"/>
        <family val="2"/>
      </rPr>
      <t>i</t>
    </r>
    <r>
      <rPr>
        <sz val="9"/>
        <color rgb="FF4D4D4F"/>
        <rFont val="Arial"/>
        <family val="2"/>
      </rPr>
      <t xml:space="preserve">tas  yang </t>
    </r>
    <r>
      <rPr>
        <sz val="9"/>
        <color rgb="FF3D3D41"/>
        <rFont val="Arial"/>
        <family val="2"/>
      </rPr>
      <t>diharapkan</t>
    </r>
    <r>
      <rPr>
        <sz val="9"/>
        <color rgb="FF757579"/>
        <rFont val="Arial"/>
        <family val="2"/>
      </rPr>
      <t xml:space="preserve">, </t>
    </r>
    <r>
      <rPr>
        <sz val="9"/>
        <color rgb="FF3D3D41"/>
        <rFont val="Arial"/>
        <family val="2"/>
      </rPr>
      <t>Risiko struktu</t>
    </r>
    <r>
      <rPr>
        <sz val="9"/>
        <color rgb="FF1C1C1F"/>
        <rFont val="Arial"/>
        <family val="2"/>
      </rPr>
      <t xml:space="preserve">r </t>
    </r>
    <r>
      <rPr>
        <sz val="9"/>
        <color rgb="FF2D2D31"/>
        <rFont val="Arial"/>
        <family val="2"/>
      </rPr>
      <t>p</t>
    </r>
    <r>
      <rPr>
        <sz val="9"/>
        <color rgb="FF4D4D4F"/>
        <rFont val="Arial"/>
        <family val="2"/>
      </rPr>
      <t>e</t>
    </r>
    <r>
      <rPr>
        <sz val="9"/>
        <color rgb="FF2D2D31"/>
        <rFont val="Arial"/>
        <family val="2"/>
      </rPr>
      <t>rk</t>
    </r>
    <r>
      <rPr>
        <sz val="9"/>
        <color rgb="FF4D4D4F"/>
        <rFont val="Arial"/>
        <family val="2"/>
      </rPr>
      <t>ont</t>
    </r>
    <r>
      <rPr>
        <sz val="9"/>
        <color rgb="FF2D2D31"/>
        <rFont val="Arial"/>
        <family val="2"/>
      </rPr>
      <t>r</t>
    </r>
    <r>
      <rPr>
        <sz val="9"/>
        <color rgb="FF4D4D4F"/>
        <rFont val="Arial"/>
        <family val="2"/>
      </rPr>
      <t>aka</t>
    </r>
    <r>
      <rPr>
        <sz val="9"/>
        <color rgb="FF2D2D31"/>
        <rFont val="Arial"/>
        <family val="2"/>
      </rPr>
      <t xml:space="preserve">n </t>
    </r>
    <r>
      <rPr>
        <sz val="9"/>
        <color rgb="FF4D4D4F"/>
        <rFont val="Arial"/>
        <family val="2"/>
      </rPr>
      <t xml:space="preserve">yang </t>
    </r>
    <r>
      <rPr>
        <sz val="9"/>
        <color rgb="FF2D2D31"/>
        <rFont val="Arial"/>
        <family val="2"/>
      </rPr>
      <t>lem</t>
    </r>
    <r>
      <rPr>
        <sz val="9"/>
        <color rgb="FF4D4D4F"/>
        <rFont val="Arial"/>
        <family val="2"/>
      </rPr>
      <t>a</t>
    </r>
    <r>
      <rPr>
        <sz val="9"/>
        <color rgb="FF2D2D31"/>
        <rFont val="Arial"/>
        <family val="2"/>
      </rPr>
      <t>h</t>
    </r>
    <r>
      <rPr>
        <sz val="9"/>
        <color rgb="FF626267"/>
        <rFont val="Arial"/>
        <family val="2"/>
      </rPr>
      <t xml:space="preserve">, </t>
    </r>
    <r>
      <rPr>
        <sz val="9"/>
        <color rgb="FF3D3D41"/>
        <rFont val="Arial"/>
        <family val="2"/>
      </rPr>
      <t>Risiko keuangan</t>
    </r>
    <r>
      <rPr>
        <sz val="9"/>
        <color rgb="FF626267"/>
        <rFont val="Arial"/>
        <family val="2"/>
      </rPr>
      <t xml:space="preserve">, </t>
    </r>
    <r>
      <rPr>
        <sz val="9"/>
        <color rgb="FF4D4D4F"/>
        <rFont val="Arial"/>
        <family val="2"/>
      </rPr>
      <t>Risiko perpa</t>
    </r>
    <r>
      <rPr>
        <sz val="9"/>
        <color rgb="FF2D2D31"/>
        <rFont val="Arial"/>
        <family val="2"/>
      </rPr>
      <t>j</t>
    </r>
    <r>
      <rPr>
        <sz val="9"/>
        <color rgb="FF4D4D4F"/>
        <rFont val="Arial"/>
        <family val="2"/>
      </rPr>
      <t>akan</t>
    </r>
    <r>
      <rPr>
        <sz val="9"/>
        <color rgb="FF757579"/>
        <rFont val="Arial"/>
        <family val="2"/>
      </rPr>
      <t xml:space="preserve">, </t>
    </r>
    <r>
      <rPr>
        <sz val="9"/>
        <color rgb="FF3D3D41"/>
        <rFont val="Arial"/>
        <family val="2"/>
      </rPr>
      <t xml:space="preserve">dan
</t>
    </r>
    <r>
      <rPr>
        <sz val="9"/>
        <color rgb="FF2D2D31"/>
        <rFont val="Arial"/>
        <family val="2"/>
      </rPr>
      <t xml:space="preserve">Risiko </t>
    </r>
    <r>
      <rPr>
        <sz val="9"/>
        <color rgb="FF1C1C1F"/>
        <rFont val="Arial"/>
        <family val="2"/>
      </rPr>
      <t>i</t>
    </r>
    <r>
      <rPr>
        <sz val="9"/>
        <color rgb="FF4D4D4F"/>
        <rFont val="Arial"/>
        <family val="2"/>
      </rPr>
      <t>nteg</t>
    </r>
    <r>
      <rPr>
        <sz val="9"/>
        <color rgb="FF2D2D31"/>
        <rFont val="Arial"/>
        <family val="2"/>
      </rPr>
      <t>r</t>
    </r>
    <r>
      <rPr>
        <sz val="9"/>
        <color rgb="FF4D4D4F"/>
        <rFont val="Arial"/>
        <family val="2"/>
      </rPr>
      <t>as</t>
    </r>
    <r>
      <rPr>
        <sz val="9"/>
        <color rgb="FF1C1C1F"/>
        <rFont val="Arial"/>
        <family val="2"/>
      </rPr>
      <t xml:space="preserve">i </t>
    </r>
    <r>
      <rPr>
        <sz val="9"/>
        <color rgb="FF3D3D41"/>
        <rFont val="Arial"/>
        <family val="2"/>
      </rPr>
      <t xml:space="preserve">pasca </t>
    </r>
    <r>
      <rPr>
        <sz val="9"/>
        <color rgb="FF2D2D31"/>
        <rFont val="Arial"/>
        <family val="2"/>
      </rPr>
      <t>kegi</t>
    </r>
    <r>
      <rPr>
        <sz val="9"/>
        <color rgb="FF4D4D4F"/>
        <rFont val="Arial"/>
        <family val="2"/>
      </rPr>
      <t>atan me</t>
    </r>
    <r>
      <rPr>
        <sz val="9"/>
        <color rgb="FF1C1C1F"/>
        <rFont val="Arial"/>
        <family val="2"/>
      </rPr>
      <t>r</t>
    </r>
    <r>
      <rPr>
        <sz val="9"/>
        <color rgb="FF4D4D4F"/>
        <rFont val="Arial"/>
        <family val="2"/>
      </rPr>
      <t>ge</t>
    </r>
    <r>
      <rPr>
        <sz val="9"/>
        <color rgb="FF1C1C1F"/>
        <rFont val="Arial"/>
        <family val="2"/>
      </rPr>
      <t xml:space="preserve">r </t>
    </r>
    <r>
      <rPr>
        <sz val="9"/>
        <color rgb="FF3D3D41"/>
        <rFont val="Arial"/>
        <family val="2"/>
      </rPr>
      <t>dan akuisis</t>
    </r>
    <r>
      <rPr>
        <sz val="9"/>
        <color rgb="FF1C1C1F"/>
        <rFont val="Arial"/>
        <family val="2"/>
      </rPr>
      <t>i</t>
    </r>
  </si>
  <si>
    <r>
      <rPr>
        <sz val="9"/>
        <color rgb="FF2D2D31"/>
        <rFont val="Arial"/>
        <family val="2"/>
      </rPr>
      <t xml:space="preserve">Risiko </t>
    </r>
    <r>
      <rPr>
        <sz val="9"/>
        <color rgb="FF3D3D41"/>
        <rFont val="Arial"/>
        <family val="2"/>
      </rPr>
      <t>te</t>
    </r>
    <r>
      <rPr>
        <sz val="9"/>
        <color rgb="FF1C1C1F"/>
        <rFont val="Arial"/>
        <family val="2"/>
      </rPr>
      <t>r</t>
    </r>
    <r>
      <rPr>
        <sz val="9"/>
        <color rgb="FF3D3D41"/>
        <rFont val="Arial"/>
        <family val="2"/>
      </rPr>
      <t>kait formu</t>
    </r>
    <r>
      <rPr>
        <sz val="9"/>
        <color rgb="FF1C1C1F"/>
        <rFont val="Arial"/>
        <family val="2"/>
      </rPr>
      <t>la</t>
    </r>
    <r>
      <rPr>
        <sz val="9"/>
        <color rgb="FF3D3D41"/>
        <rFont val="Arial"/>
        <family val="2"/>
      </rPr>
      <t>s</t>
    </r>
    <r>
      <rPr>
        <sz val="9"/>
        <color rgb="FF1C1C1F"/>
        <rFont val="Arial"/>
        <family val="2"/>
      </rPr>
      <t xml:space="preserve">i </t>
    </r>
    <r>
      <rPr>
        <sz val="9"/>
        <color rgb="FF2D2D31"/>
        <rFont val="Arial"/>
        <family val="2"/>
      </rPr>
      <t>strat</t>
    </r>
    <r>
      <rPr>
        <sz val="9"/>
        <color rgb="FF4D4D4F"/>
        <rFont val="Arial"/>
        <family val="2"/>
      </rPr>
      <t>eg</t>
    </r>
    <r>
      <rPr>
        <sz val="9"/>
        <color rgb="FF1C1C1F"/>
        <rFont val="Arial"/>
        <family val="2"/>
      </rPr>
      <t>i</t>
    </r>
    <r>
      <rPr>
        <sz val="9"/>
        <color rgb="FF4D4D4F"/>
        <rFont val="Arial"/>
        <family val="2"/>
      </rPr>
      <t>s</t>
    </r>
  </si>
  <si>
    <r>
      <rPr>
        <sz val="9"/>
        <color rgb="FF2D2D31"/>
        <rFont val="Arial"/>
        <family val="2"/>
      </rPr>
      <t>Peri</t>
    </r>
    <r>
      <rPr>
        <sz val="9"/>
        <color rgb="FF4D4D4F"/>
        <rFont val="Arial"/>
        <family val="2"/>
      </rPr>
      <t>s</t>
    </r>
    <r>
      <rPr>
        <sz val="9"/>
        <color rgb="FF2D2D31"/>
        <rFont val="Arial"/>
        <family val="2"/>
      </rPr>
      <t>tiwa Ri</t>
    </r>
    <r>
      <rPr>
        <sz val="9"/>
        <color rgb="FF4D4D4F"/>
        <rFont val="Arial"/>
        <family val="2"/>
      </rPr>
      <t>s</t>
    </r>
    <r>
      <rPr>
        <sz val="9"/>
        <color rgb="FF1C1C1F"/>
        <rFont val="Arial"/>
        <family val="2"/>
      </rPr>
      <t>i</t>
    </r>
    <r>
      <rPr>
        <sz val="9"/>
        <color rgb="FF4D4D4F"/>
        <rFont val="Arial"/>
        <family val="2"/>
      </rPr>
      <t>ko  y</t>
    </r>
    <r>
      <rPr>
        <sz val="9"/>
        <color rgb="FF2D2D31"/>
        <rFont val="Arial"/>
        <family val="2"/>
      </rPr>
      <t xml:space="preserve">ang </t>
    </r>
    <r>
      <rPr>
        <sz val="9"/>
        <color rgb="FF3D3D41"/>
        <rFont val="Arial"/>
        <family val="2"/>
      </rPr>
      <t>d</t>
    </r>
    <r>
      <rPr>
        <sz val="9"/>
        <color rgb="FF1C1C1F"/>
        <rFont val="Arial"/>
        <family val="2"/>
      </rPr>
      <t>i</t>
    </r>
    <r>
      <rPr>
        <sz val="9"/>
        <color rgb="FF3D3D41"/>
        <rFont val="Arial"/>
        <family val="2"/>
      </rPr>
      <t>sebabkan o</t>
    </r>
    <r>
      <rPr>
        <sz val="9"/>
        <color rgb="FF1C1C1F"/>
        <rFont val="Arial"/>
        <family val="2"/>
      </rPr>
      <t>l</t>
    </r>
    <r>
      <rPr>
        <sz val="9"/>
        <color rgb="FF4D4D4F"/>
        <rFont val="Arial"/>
        <family val="2"/>
      </rPr>
      <t>e</t>
    </r>
    <r>
      <rPr>
        <sz val="9"/>
        <color rgb="FF1C1C1F"/>
        <rFont val="Arial"/>
        <family val="2"/>
      </rPr>
      <t xml:space="preserve">h  </t>
    </r>
    <r>
      <rPr>
        <sz val="9"/>
        <color rgb="FF3D3D41"/>
        <rFont val="Arial"/>
        <family val="2"/>
      </rPr>
      <t>ket</t>
    </r>
    <r>
      <rPr>
        <sz val="9"/>
        <color rgb="FF1C1C1F"/>
        <rFont val="Arial"/>
        <family val="2"/>
      </rPr>
      <t>idakp</t>
    </r>
    <r>
      <rPr>
        <sz val="9"/>
        <color rgb="FF3D3D41"/>
        <rFont val="Arial"/>
        <family val="2"/>
      </rPr>
      <t>ast</t>
    </r>
    <r>
      <rPr>
        <sz val="9"/>
        <color rgb="FF1C1C1F"/>
        <rFont val="Arial"/>
        <family val="2"/>
      </rPr>
      <t>i</t>
    </r>
    <r>
      <rPr>
        <sz val="9"/>
        <color rgb="FF4D4D4F"/>
        <rFont val="Arial"/>
        <family val="2"/>
      </rPr>
      <t>a</t>
    </r>
    <r>
      <rPr>
        <sz val="9"/>
        <color rgb="FF2D2D31"/>
        <rFont val="Arial"/>
        <family val="2"/>
      </rPr>
      <t xml:space="preserve">n  </t>
    </r>
    <r>
      <rPr>
        <sz val="9"/>
        <color rgb="FF4D4D4F"/>
        <rFont val="Arial"/>
        <family val="2"/>
      </rPr>
      <t>kondis</t>
    </r>
    <r>
      <rPr>
        <sz val="9"/>
        <color rgb="FF1C1C1F"/>
        <rFont val="Arial"/>
        <family val="2"/>
      </rPr>
      <t xml:space="preserve">i  </t>
    </r>
    <r>
      <rPr>
        <sz val="9"/>
        <color rgb="FF2D2D31"/>
        <rFont val="Arial"/>
        <family val="2"/>
      </rPr>
      <t xml:space="preserve">BUMN  </t>
    </r>
    <r>
      <rPr>
        <sz val="9"/>
        <color rgb="FF3D3D41"/>
        <rFont val="Arial"/>
        <family val="2"/>
      </rPr>
      <t xml:space="preserve">dalam  </t>
    </r>
    <r>
      <rPr>
        <sz val="9"/>
        <color rgb="FF4D4D4F"/>
        <rFont val="Arial"/>
        <family val="2"/>
      </rPr>
      <t xml:space="preserve">peta  </t>
    </r>
    <r>
      <rPr>
        <sz val="9"/>
        <color rgb="FF1C1C1F"/>
        <rFont val="Arial"/>
        <family val="2"/>
      </rPr>
      <t>in</t>
    </r>
    <r>
      <rPr>
        <sz val="9"/>
        <color rgb="FF4D4D4F"/>
        <rFont val="Arial"/>
        <family val="2"/>
      </rPr>
      <t>dust</t>
    </r>
    <r>
      <rPr>
        <sz val="9"/>
        <color rgb="FF757579"/>
        <rFont val="Arial"/>
        <family val="2"/>
      </rPr>
      <t>r</t>
    </r>
    <r>
      <rPr>
        <sz val="9"/>
        <color rgb="FF2D2D31"/>
        <rFont val="Arial"/>
        <family val="2"/>
      </rPr>
      <t xml:space="preserve">i </t>
    </r>
    <r>
      <rPr>
        <sz val="9"/>
        <color rgb="FF4D4D4F"/>
        <rFont val="Arial"/>
        <family val="2"/>
      </rPr>
      <t>d</t>
    </r>
    <r>
      <rPr>
        <sz val="9"/>
        <color rgb="FF1C1C1F"/>
        <rFont val="Arial"/>
        <family val="2"/>
      </rPr>
      <t>i</t>
    </r>
    <r>
      <rPr>
        <sz val="9"/>
        <color rgb="FF3D3D41"/>
        <rFont val="Arial"/>
        <family val="2"/>
      </rPr>
      <t>mana  B</t>
    </r>
    <r>
      <rPr>
        <sz val="9"/>
        <color rgb="FF1C1C1F"/>
        <rFont val="Arial"/>
        <family val="2"/>
      </rPr>
      <t>U</t>
    </r>
    <r>
      <rPr>
        <sz val="9"/>
        <color rgb="FF4D4D4F"/>
        <rFont val="Arial"/>
        <family val="2"/>
      </rPr>
      <t xml:space="preserve">MN  tersebut  </t>
    </r>
    <r>
      <rPr>
        <sz val="9"/>
        <color rgb="FF2D2D31"/>
        <rFont val="Arial"/>
        <family val="2"/>
      </rPr>
      <t>be</t>
    </r>
    <r>
      <rPr>
        <sz val="9"/>
        <color rgb="FF4D4D4F"/>
        <rFont val="Arial"/>
        <family val="2"/>
      </rPr>
      <t>rope</t>
    </r>
    <r>
      <rPr>
        <sz val="9"/>
        <color rgb="FF757579"/>
        <rFont val="Arial"/>
        <family val="2"/>
      </rPr>
      <t>r</t>
    </r>
    <r>
      <rPr>
        <sz val="9"/>
        <color rgb="FF4D4D4F"/>
        <rFont val="Arial"/>
        <family val="2"/>
      </rPr>
      <t xml:space="preserve">asi,  </t>
    </r>
    <r>
      <rPr>
        <sz val="9"/>
        <color rgb="FF3D3D41"/>
        <rFont val="Arial"/>
        <family val="2"/>
      </rPr>
      <t xml:space="preserve">termasuk  </t>
    </r>
    <r>
      <rPr>
        <sz val="9"/>
        <color rgb="FF626267"/>
        <rFont val="Arial"/>
        <family val="2"/>
      </rPr>
      <t>ket</t>
    </r>
    <r>
      <rPr>
        <sz val="9"/>
        <color rgb="FF3D3D41"/>
        <rFont val="Arial"/>
        <family val="2"/>
      </rPr>
      <t>idaktepata</t>
    </r>
    <r>
      <rPr>
        <sz val="9"/>
        <color rgb="FF1C1C1F"/>
        <rFont val="Arial"/>
        <family val="2"/>
      </rPr>
      <t xml:space="preserve">n  </t>
    </r>
    <r>
      <rPr>
        <sz val="9"/>
        <color rgb="FF3D3D41"/>
        <rFont val="Arial"/>
        <family val="2"/>
      </rPr>
      <t xml:space="preserve">arahan  </t>
    </r>
    <r>
      <rPr>
        <sz val="9"/>
        <color rgb="FF626267"/>
        <rFont val="Arial"/>
        <family val="2"/>
      </rPr>
      <t>keb</t>
    </r>
    <r>
      <rPr>
        <sz val="9"/>
        <color rgb="FF3D3D41"/>
        <rFont val="Arial"/>
        <family val="2"/>
      </rPr>
      <t xml:space="preserve">ijakan  </t>
    </r>
    <r>
      <rPr>
        <sz val="9"/>
        <color rgb="FF4D4D4F"/>
        <rFont val="Arial"/>
        <family val="2"/>
      </rPr>
      <t xml:space="preserve">strategis </t>
    </r>
    <r>
      <rPr>
        <sz val="9"/>
        <color rgb="FF3D3D41"/>
        <rFont val="Arial"/>
        <family val="2"/>
      </rPr>
      <t>masing-ma</t>
    </r>
    <r>
      <rPr>
        <sz val="9"/>
        <color rgb="FF626267"/>
        <rFont val="Arial"/>
        <family val="2"/>
      </rPr>
      <t>s</t>
    </r>
    <r>
      <rPr>
        <sz val="9"/>
        <color rgb="FF2D2D31"/>
        <rFont val="Arial"/>
        <family val="2"/>
      </rPr>
      <t>i</t>
    </r>
    <r>
      <rPr>
        <sz val="9"/>
        <color rgb="FF4D4D4F"/>
        <rFont val="Arial"/>
        <family val="2"/>
      </rPr>
      <t xml:space="preserve">ng </t>
    </r>
    <r>
      <rPr>
        <sz val="9"/>
        <color rgb="FF3D3D41"/>
        <rFont val="Arial"/>
        <family val="2"/>
      </rPr>
      <t xml:space="preserve">BUMN </t>
    </r>
    <r>
      <rPr>
        <sz val="9"/>
        <color rgb="FF4D4D4F"/>
        <rFont val="Arial"/>
        <family val="2"/>
      </rPr>
      <t xml:space="preserve">yang </t>
    </r>
    <r>
      <rPr>
        <sz val="9"/>
        <color rgb="FF3D3D41"/>
        <rFont val="Arial"/>
        <family val="2"/>
      </rPr>
      <t xml:space="preserve">dapat </t>
    </r>
    <r>
      <rPr>
        <sz val="9"/>
        <color rgb="FF4D4D4F"/>
        <rFont val="Arial"/>
        <family val="2"/>
      </rPr>
      <t xml:space="preserve">memberikan </t>
    </r>
    <r>
      <rPr>
        <sz val="9"/>
        <color rgb="FF3D3D41"/>
        <rFont val="Arial"/>
        <family val="2"/>
      </rPr>
      <t xml:space="preserve">dampak </t>
    </r>
    <r>
      <rPr>
        <sz val="9"/>
        <color rgb="FF4D4D4F"/>
        <rFont val="Arial"/>
        <family val="2"/>
      </rPr>
      <t>yang mater</t>
    </r>
    <r>
      <rPr>
        <sz val="9"/>
        <color rgb="FF1C1C1F"/>
        <rFont val="Arial"/>
        <family val="2"/>
      </rPr>
      <t>i</t>
    </r>
    <r>
      <rPr>
        <sz val="9"/>
        <color rgb="FF3D3D41"/>
        <rFont val="Arial"/>
        <family val="2"/>
      </rPr>
      <t xml:space="preserve">al terhadap </t>
    </r>
    <r>
      <rPr>
        <sz val="9"/>
        <color rgb="FF4D4D4F"/>
        <rFont val="Arial"/>
        <family val="2"/>
      </rPr>
      <t>posis</t>
    </r>
    <r>
      <rPr>
        <sz val="9"/>
        <color rgb="FF8C8C91"/>
        <rFont val="Arial"/>
        <family val="2"/>
      </rPr>
      <t xml:space="preserve">i </t>
    </r>
    <r>
      <rPr>
        <sz val="9"/>
        <color rgb="FF3D3D41"/>
        <rFont val="Arial"/>
        <family val="2"/>
      </rPr>
      <t xml:space="preserve">BUMN
</t>
    </r>
    <r>
      <rPr>
        <sz val="9"/>
        <color rgb="FF3D3D41"/>
        <rFont val="Arial"/>
        <family val="2"/>
      </rPr>
      <t xml:space="preserve">dalam industri </t>
    </r>
    <r>
      <rPr>
        <sz val="9"/>
        <color rgb="FF4D4D4F"/>
        <rFont val="Arial"/>
        <family val="2"/>
      </rPr>
      <t xml:space="preserve">di </t>
    </r>
    <r>
      <rPr>
        <sz val="9"/>
        <color rgb="FF3D3D41"/>
        <rFont val="Arial"/>
        <family val="2"/>
      </rPr>
      <t xml:space="preserve">mana </t>
    </r>
    <r>
      <rPr>
        <sz val="9"/>
        <color rgb="FF2D2D31"/>
        <rFont val="Arial"/>
        <family val="2"/>
      </rPr>
      <t>BU</t>
    </r>
    <r>
      <rPr>
        <sz val="9"/>
        <color rgb="FF4D4D4F"/>
        <rFont val="Arial"/>
        <family val="2"/>
      </rPr>
      <t xml:space="preserve">MN </t>
    </r>
    <r>
      <rPr>
        <sz val="9"/>
        <color rgb="FF626267"/>
        <rFont val="Arial"/>
        <family val="2"/>
      </rPr>
      <t>t</t>
    </r>
    <r>
      <rPr>
        <sz val="9"/>
        <color rgb="FF3D3D41"/>
        <rFont val="Arial"/>
        <family val="2"/>
      </rPr>
      <t>ersebut</t>
    </r>
    <r>
      <rPr>
        <sz val="9"/>
        <color rgb="FF4D4D4F"/>
        <rFont val="Arial"/>
        <family val="2"/>
      </rPr>
      <t>beroperasi</t>
    </r>
  </si>
  <si>
    <r>
      <rPr>
        <sz val="9"/>
        <color rgb="FF3D3D41"/>
        <rFont val="Arial"/>
        <family val="2"/>
      </rPr>
      <t xml:space="preserve">Risiko terkait </t>
    </r>
    <r>
      <rPr>
        <sz val="9"/>
        <color rgb="FF4D4D4F"/>
        <rFont val="Arial"/>
        <family val="2"/>
      </rPr>
      <t xml:space="preserve">pasar </t>
    </r>
    <r>
      <rPr>
        <sz val="9"/>
        <color rgb="FF3D3D41"/>
        <rFont val="Arial"/>
        <family val="2"/>
      </rPr>
      <t xml:space="preserve">dan </t>
    </r>
    <r>
      <rPr>
        <sz val="9"/>
        <color rgb="FF4D4D4F"/>
        <rFont val="Arial"/>
        <family val="2"/>
      </rPr>
      <t>makro ekonomi</t>
    </r>
  </si>
  <si>
    <r>
      <rPr>
        <sz val="9"/>
        <color rgb="FF3D3D41"/>
        <rFont val="Arial"/>
        <family val="2"/>
      </rPr>
      <t xml:space="preserve">Peristiwa </t>
    </r>
    <r>
      <rPr>
        <sz val="9"/>
        <color rgb="FF4D4D4F"/>
        <rFont val="Arial"/>
        <family val="2"/>
      </rPr>
      <t>Ris</t>
    </r>
    <r>
      <rPr>
        <sz val="9"/>
        <color rgb="FF1C1C1F"/>
        <rFont val="Arial"/>
        <family val="2"/>
      </rPr>
      <t>i</t>
    </r>
    <r>
      <rPr>
        <sz val="9"/>
        <color rgb="FF4D4D4F"/>
        <rFont val="Arial"/>
        <family val="2"/>
      </rPr>
      <t>ko yang dise</t>
    </r>
    <r>
      <rPr>
        <sz val="9"/>
        <color rgb="FF2D2D31"/>
        <rFont val="Arial"/>
        <family val="2"/>
      </rPr>
      <t>b</t>
    </r>
    <r>
      <rPr>
        <sz val="9"/>
        <color rgb="FF4D4D4F"/>
        <rFont val="Arial"/>
        <family val="2"/>
      </rPr>
      <t>abkanoleh pergerakan</t>
    </r>
    <r>
      <rPr>
        <sz val="9"/>
        <color rgb="FF2D2D31"/>
        <rFont val="Arial"/>
        <family val="2"/>
      </rPr>
      <t>-</t>
    </r>
    <r>
      <rPr>
        <sz val="9"/>
        <color rgb="FF4D4D4F"/>
        <rFont val="Arial"/>
        <family val="2"/>
      </rPr>
      <t>pe</t>
    </r>
    <r>
      <rPr>
        <sz val="9"/>
        <color rgb="FF2D2D31"/>
        <rFont val="Arial"/>
        <family val="2"/>
      </rPr>
      <t>r</t>
    </r>
    <r>
      <rPr>
        <sz val="9"/>
        <color rgb="FF4D4D4F"/>
        <rFont val="Arial"/>
        <family val="2"/>
      </rPr>
      <t xml:space="preserve">gerakan </t>
    </r>
    <r>
      <rPr>
        <sz val="9"/>
        <color rgb="FF626267"/>
        <rFont val="Arial"/>
        <family val="2"/>
      </rPr>
      <t>va</t>
    </r>
    <r>
      <rPr>
        <sz val="9"/>
        <color rgb="FF3D3D41"/>
        <rFont val="Arial"/>
        <family val="2"/>
      </rPr>
      <t>r</t>
    </r>
    <r>
      <rPr>
        <sz val="9"/>
        <color rgb="FF1C1C1F"/>
        <rFont val="Arial"/>
        <family val="2"/>
      </rPr>
      <t>i</t>
    </r>
    <r>
      <rPr>
        <sz val="9"/>
        <color rgb="FF4D4D4F"/>
        <rFont val="Arial"/>
        <family val="2"/>
      </rPr>
      <t>abel mak</t>
    </r>
    <r>
      <rPr>
        <sz val="9"/>
        <color rgb="FF2D2D31"/>
        <rFont val="Arial"/>
        <family val="2"/>
      </rPr>
      <t>r</t>
    </r>
    <r>
      <rPr>
        <sz val="9"/>
        <color rgb="FF626267"/>
        <rFont val="Arial"/>
        <family val="2"/>
      </rPr>
      <t xml:space="preserve">o ekonomi </t>
    </r>
    <r>
      <rPr>
        <sz val="9"/>
        <color rgb="FF4D4D4F"/>
        <rFont val="Arial"/>
        <family val="2"/>
      </rPr>
      <t xml:space="preserve">global </t>
    </r>
    <r>
      <rPr>
        <sz val="9"/>
        <color rgb="FF3D3D41"/>
        <rFont val="Arial"/>
        <family val="2"/>
      </rPr>
      <t>sepert</t>
    </r>
    <r>
      <rPr>
        <sz val="9"/>
        <color rgb="FF757579"/>
        <rFont val="Arial"/>
        <family val="2"/>
      </rPr>
      <t xml:space="preserve">i </t>
    </r>
    <r>
      <rPr>
        <sz val="9"/>
        <color rgb="FF3D3D41"/>
        <rFont val="Arial"/>
        <family val="2"/>
      </rPr>
      <t>pe</t>
    </r>
    <r>
      <rPr>
        <sz val="9"/>
        <color rgb="FF626267"/>
        <rFont val="Arial"/>
        <family val="2"/>
      </rPr>
      <t>rger</t>
    </r>
    <r>
      <rPr>
        <sz val="9"/>
        <color rgb="FF3D3D41"/>
        <rFont val="Arial"/>
        <family val="2"/>
      </rPr>
      <t xml:space="preserve">akan </t>
    </r>
    <r>
      <rPr>
        <sz val="9"/>
        <color rgb="FF4D4D4F"/>
        <rFont val="Arial"/>
        <family val="2"/>
      </rPr>
      <t>ti</t>
    </r>
    <r>
      <rPr>
        <sz val="9"/>
        <color rgb="FF2D2D31"/>
        <rFont val="Arial"/>
        <family val="2"/>
      </rPr>
      <t>n</t>
    </r>
    <r>
      <rPr>
        <sz val="9"/>
        <color rgb="FF4D4D4F"/>
        <rFont val="Arial"/>
        <family val="2"/>
      </rPr>
      <t xml:space="preserve">gkat </t>
    </r>
    <r>
      <rPr>
        <sz val="9"/>
        <color rgb="FF3D3D41"/>
        <rFont val="Arial"/>
        <family val="2"/>
      </rPr>
      <t>bu</t>
    </r>
    <r>
      <rPr>
        <sz val="9"/>
        <color rgb="FF626267"/>
        <rFont val="Arial"/>
        <family val="2"/>
      </rPr>
      <t xml:space="preserve">nga </t>
    </r>
    <r>
      <rPr>
        <sz val="9"/>
        <color rgb="FF3D3D41"/>
        <rFont val="Arial"/>
        <family val="2"/>
      </rPr>
      <t>referensi</t>
    </r>
    <r>
      <rPr>
        <sz val="9"/>
        <color rgb="FF8C8C91"/>
        <rFont val="Arial"/>
        <family val="2"/>
      </rPr>
      <t xml:space="preserve">, </t>
    </r>
    <r>
      <rPr>
        <sz val="9"/>
        <color rgb="FF3D3D41"/>
        <rFont val="Arial"/>
        <family val="2"/>
      </rPr>
      <t xml:space="preserve">pergerakan </t>
    </r>
    <r>
      <rPr>
        <sz val="9"/>
        <color rgb="FF4D4D4F"/>
        <rFont val="Arial"/>
        <family val="2"/>
      </rPr>
      <t xml:space="preserve">nilai tukar </t>
    </r>
    <r>
      <rPr>
        <sz val="9"/>
        <color rgb="FF2D2D31"/>
        <rFont val="Arial"/>
        <family val="2"/>
      </rPr>
      <t>r</t>
    </r>
    <r>
      <rPr>
        <sz val="9"/>
        <color rgb="FF4D4D4F"/>
        <rFont val="Arial"/>
        <family val="2"/>
      </rPr>
      <t>upiah</t>
    </r>
    <r>
      <rPr>
        <sz val="9"/>
        <color rgb="FF757579"/>
        <rFont val="Arial"/>
        <family val="2"/>
      </rPr>
      <t xml:space="preserve">, </t>
    </r>
    <r>
      <rPr>
        <sz val="9"/>
        <color rgb="FF3D3D41"/>
        <rFont val="Arial"/>
        <family val="2"/>
      </rPr>
      <t>dan</t>
    </r>
    <r>
      <rPr>
        <sz val="9"/>
        <color rgb="FF757579"/>
        <rFont val="Arial"/>
        <family val="2"/>
      </rPr>
      <t>/</t>
    </r>
    <r>
      <rPr>
        <sz val="9"/>
        <color rgb="FF4D4D4F"/>
        <rFont val="Arial"/>
        <family val="2"/>
      </rPr>
      <t xml:space="preserve">atau pergerakan
</t>
    </r>
    <r>
      <rPr>
        <sz val="9"/>
        <color rgb="FF3D3D41"/>
        <rFont val="Arial"/>
        <family val="2"/>
      </rPr>
      <t xml:space="preserve">harga-harga </t>
    </r>
    <r>
      <rPr>
        <sz val="9"/>
        <color rgb="FF2D2D31"/>
        <rFont val="Arial"/>
        <family val="2"/>
      </rPr>
      <t>k</t>
    </r>
    <r>
      <rPr>
        <sz val="9"/>
        <color rgb="FF4D4D4F"/>
        <rFont val="Arial"/>
        <family val="2"/>
      </rPr>
      <t>omod</t>
    </r>
    <r>
      <rPr>
        <sz val="9"/>
        <color rgb="FF2D2D31"/>
        <rFont val="Arial"/>
        <family val="2"/>
      </rPr>
      <t>i</t>
    </r>
    <r>
      <rPr>
        <sz val="9"/>
        <color rgb="FF4D4D4F"/>
        <rFont val="Arial"/>
        <family val="2"/>
      </rPr>
      <t>tas yang tidak dapat d</t>
    </r>
    <r>
      <rPr>
        <sz val="9"/>
        <color rgb="FF1C1C1F"/>
        <rFont val="Arial"/>
        <family val="2"/>
      </rPr>
      <t>i</t>
    </r>
    <r>
      <rPr>
        <sz val="9"/>
        <color rgb="FF4D4D4F"/>
        <rFont val="Arial"/>
        <family val="2"/>
      </rPr>
      <t>kendali</t>
    </r>
    <r>
      <rPr>
        <sz val="9"/>
        <color rgb="FF2D2D31"/>
        <rFont val="Arial"/>
        <family val="2"/>
      </rPr>
      <t>k</t>
    </r>
    <r>
      <rPr>
        <sz val="9"/>
        <color rgb="FF4D4D4F"/>
        <rFont val="Arial"/>
        <family val="2"/>
      </rPr>
      <t>an o</t>
    </r>
    <r>
      <rPr>
        <sz val="9"/>
        <color rgb="FF2D2D31"/>
        <rFont val="Arial"/>
        <family val="2"/>
      </rPr>
      <t>l</t>
    </r>
    <r>
      <rPr>
        <sz val="9"/>
        <color rgb="FF4D4D4F"/>
        <rFont val="Arial"/>
        <family val="2"/>
      </rPr>
      <t xml:space="preserve">eh </t>
    </r>
    <r>
      <rPr>
        <sz val="9"/>
        <color rgb="FF3D3D41"/>
        <rFont val="Arial"/>
        <family val="2"/>
      </rPr>
      <t>BUMN</t>
    </r>
  </si>
  <si>
    <r>
      <rPr>
        <sz val="9"/>
        <color rgb="FF1C1C1F"/>
        <rFont val="Arial"/>
        <family val="2"/>
      </rPr>
      <t>Ri</t>
    </r>
    <r>
      <rPr>
        <sz val="9"/>
        <color rgb="FF3D3D41"/>
        <rFont val="Arial"/>
        <family val="2"/>
      </rPr>
      <t>s</t>
    </r>
    <r>
      <rPr>
        <sz val="9"/>
        <color rgb="FF1C1C1F"/>
        <rFont val="Arial"/>
        <family val="2"/>
      </rPr>
      <t>ik</t>
    </r>
    <r>
      <rPr>
        <sz val="9"/>
        <color rgb="FF3D3D41"/>
        <rFont val="Arial"/>
        <family val="2"/>
      </rPr>
      <t>o te</t>
    </r>
    <r>
      <rPr>
        <sz val="9"/>
        <color rgb="FF1C1C1F"/>
        <rFont val="Arial"/>
        <family val="2"/>
      </rPr>
      <t>rk</t>
    </r>
    <r>
      <rPr>
        <sz val="9"/>
        <color rgb="FF3D3D41"/>
        <rFont val="Arial"/>
        <family val="2"/>
      </rPr>
      <t>a</t>
    </r>
    <r>
      <rPr>
        <sz val="9"/>
        <color rgb="FF1C1C1F"/>
        <rFont val="Arial"/>
        <family val="2"/>
      </rPr>
      <t>it k</t>
    </r>
    <r>
      <rPr>
        <sz val="9"/>
        <color rgb="FF4D4D4F"/>
        <rFont val="Arial"/>
        <family val="2"/>
      </rPr>
      <t>e</t>
    </r>
    <r>
      <rPr>
        <sz val="9"/>
        <color rgb="FF2D2D31"/>
        <rFont val="Arial"/>
        <family val="2"/>
      </rPr>
      <t>uangan</t>
    </r>
  </si>
  <si>
    <r>
      <rPr>
        <sz val="9"/>
        <color rgb="FF1C1C1F"/>
        <rFont val="Arial"/>
        <family val="2"/>
      </rPr>
      <t>P</t>
    </r>
    <r>
      <rPr>
        <sz val="9"/>
        <color rgb="FF3D3D41"/>
        <rFont val="Arial"/>
        <family val="2"/>
      </rPr>
      <t>er</t>
    </r>
    <r>
      <rPr>
        <sz val="9"/>
        <color rgb="FF1C1C1F"/>
        <rFont val="Arial"/>
        <family val="2"/>
      </rPr>
      <t>i</t>
    </r>
    <r>
      <rPr>
        <sz val="9"/>
        <color rgb="FF3D3D41"/>
        <rFont val="Arial"/>
        <family val="2"/>
      </rPr>
      <t>st</t>
    </r>
    <r>
      <rPr>
        <sz val="9"/>
        <color rgb="FF1C1C1F"/>
        <rFont val="Arial"/>
        <family val="2"/>
      </rPr>
      <t>i</t>
    </r>
    <r>
      <rPr>
        <sz val="9"/>
        <color rgb="FF3D3D41"/>
        <rFont val="Arial"/>
        <family val="2"/>
      </rPr>
      <t xml:space="preserve">wa  </t>
    </r>
    <r>
      <rPr>
        <sz val="9"/>
        <color rgb="FF2D2D31"/>
        <rFont val="Arial"/>
        <family val="2"/>
      </rPr>
      <t>R</t>
    </r>
    <r>
      <rPr>
        <sz val="9"/>
        <color rgb="FF4D4D4F"/>
        <rFont val="Arial"/>
        <family val="2"/>
      </rPr>
      <t>isi</t>
    </r>
    <r>
      <rPr>
        <sz val="9"/>
        <color rgb="FF2D2D31"/>
        <rFont val="Arial"/>
        <family val="2"/>
      </rPr>
      <t>k</t>
    </r>
    <r>
      <rPr>
        <sz val="9"/>
        <color rgb="FF4D4D4F"/>
        <rFont val="Arial"/>
        <family val="2"/>
      </rPr>
      <t xml:space="preserve">o  </t>
    </r>
    <r>
      <rPr>
        <sz val="9"/>
        <color rgb="FF3D3D41"/>
        <rFont val="Arial"/>
        <family val="2"/>
      </rPr>
      <t xml:space="preserve">yang </t>
    </r>
    <r>
      <rPr>
        <sz val="9"/>
        <color rgb="FF2D2D31"/>
        <rFont val="Arial"/>
        <family val="2"/>
      </rPr>
      <t>dis</t>
    </r>
    <r>
      <rPr>
        <sz val="9"/>
        <color rgb="FF4D4D4F"/>
        <rFont val="Arial"/>
        <family val="2"/>
      </rPr>
      <t>e</t>
    </r>
    <r>
      <rPr>
        <sz val="9"/>
        <color rgb="FF2D2D31"/>
        <rFont val="Arial"/>
        <family val="2"/>
      </rPr>
      <t>ba</t>
    </r>
    <r>
      <rPr>
        <sz val="9"/>
        <color rgb="FF4D4D4F"/>
        <rFont val="Arial"/>
        <family val="2"/>
      </rPr>
      <t>bkan o</t>
    </r>
    <r>
      <rPr>
        <sz val="9"/>
        <color rgb="FF1C1C1F"/>
        <rFont val="Arial"/>
        <family val="2"/>
      </rPr>
      <t>l</t>
    </r>
    <r>
      <rPr>
        <sz val="9"/>
        <color rgb="FF4D4D4F"/>
        <rFont val="Arial"/>
        <family val="2"/>
      </rPr>
      <t xml:space="preserve">eh  </t>
    </r>
    <r>
      <rPr>
        <sz val="9"/>
        <color rgb="FF3D3D41"/>
        <rFont val="Arial"/>
        <family val="2"/>
      </rPr>
      <t>st</t>
    </r>
    <r>
      <rPr>
        <sz val="9"/>
        <color rgb="FF1C1C1F"/>
        <rFont val="Arial"/>
        <family val="2"/>
      </rPr>
      <t>ruk</t>
    </r>
    <r>
      <rPr>
        <sz val="9"/>
        <color rgb="FF3D3D41"/>
        <rFont val="Arial"/>
        <family val="2"/>
      </rPr>
      <t>t</t>
    </r>
    <r>
      <rPr>
        <sz val="9"/>
        <color rgb="FF1C1C1F"/>
        <rFont val="Arial"/>
        <family val="2"/>
      </rPr>
      <t xml:space="preserve">ur </t>
    </r>
    <r>
      <rPr>
        <sz val="9"/>
        <color rgb="FF2D2D31"/>
        <rFont val="Arial"/>
        <family val="2"/>
      </rPr>
      <t>d</t>
    </r>
    <r>
      <rPr>
        <sz val="9"/>
        <color rgb="FF4D4D4F"/>
        <rFont val="Arial"/>
        <family val="2"/>
      </rPr>
      <t xml:space="preserve">an </t>
    </r>
    <r>
      <rPr>
        <sz val="9"/>
        <color rgb="FF3D3D41"/>
        <rFont val="Arial"/>
        <family val="2"/>
      </rPr>
      <t xml:space="preserve">akses </t>
    </r>
    <r>
      <rPr>
        <sz val="9"/>
        <color rgb="FF626267"/>
        <rFont val="Arial"/>
        <family val="2"/>
      </rPr>
      <t>pe</t>
    </r>
    <r>
      <rPr>
        <sz val="9"/>
        <color rgb="FF2D2D31"/>
        <rFont val="Arial"/>
        <family val="2"/>
      </rPr>
      <t>ndanaan</t>
    </r>
    <r>
      <rPr>
        <sz val="9"/>
        <color rgb="FF626267"/>
        <rFont val="Arial"/>
        <family val="2"/>
      </rPr>
      <t xml:space="preserve">,  </t>
    </r>
    <r>
      <rPr>
        <sz val="9"/>
        <color rgb="FF4D4D4F"/>
        <rFont val="Arial"/>
        <family val="2"/>
      </rPr>
      <t>ter</t>
    </r>
    <r>
      <rPr>
        <sz val="9"/>
        <color rgb="FF2D2D31"/>
        <rFont val="Arial"/>
        <family val="2"/>
      </rPr>
      <t>k</t>
    </r>
    <r>
      <rPr>
        <sz val="9"/>
        <color rgb="FF4D4D4F"/>
        <rFont val="Arial"/>
        <family val="2"/>
      </rPr>
      <t xml:space="preserve">ait </t>
    </r>
    <r>
      <rPr>
        <sz val="9"/>
        <color rgb="FF626267"/>
        <rFont val="Arial"/>
        <family val="2"/>
      </rPr>
      <t>pe</t>
    </r>
    <r>
      <rPr>
        <sz val="9"/>
        <color rgb="FF3D3D41"/>
        <rFont val="Arial"/>
        <family val="2"/>
      </rPr>
      <t>rpa</t>
    </r>
    <r>
      <rPr>
        <sz val="9"/>
        <color rgb="FF626267"/>
        <rFont val="Arial"/>
        <family val="2"/>
      </rPr>
      <t>jak</t>
    </r>
    <r>
      <rPr>
        <sz val="9"/>
        <color rgb="FF3D3D41"/>
        <rFont val="Arial"/>
        <family val="2"/>
      </rPr>
      <t>an</t>
    </r>
    <r>
      <rPr>
        <sz val="9"/>
        <color rgb="FF757579"/>
        <rFont val="Arial"/>
        <family val="2"/>
      </rPr>
      <t xml:space="preserve">,
</t>
    </r>
    <r>
      <rPr>
        <sz val="9"/>
        <color rgb="FF3D3D41"/>
        <rFont val="Arial"/>
        <family val="2"/>
      </rPr>
      <t>a</t>
    </r>
    <r>
      <rPr>
        <sz val="9"/>
        <color rgb="FF1C1C1F"/>
        <rFont val="Arial"/>
        <family val="2"/>
      </rPr>
      <t>n</t>
    </r>
    <r>
      <rPr>
        <sz val="9"/>
        <color rgb="FF3D3D41"/>
        <rFont val="Arial"/>
        <family val="2"/>
      </rPr>
      <t xml:space="preserve">ggaran, </t>
    </r>
    <r>
      <rPr>
        <sz val="9"/>
        <color rgb="FF4D4D4F"/>
        <rFont val="Arial"/>
        <family val="2"/>
      </rPr>
      <t>ak</t>
    </r>
    <r>
      <rPr>
        <sz val="9"/>
        <color rgb="FF2D2D31"/>
        <rFont val="Arial"/>
        <family val="2"/>
      </rPr>
      <t>untan</t>
    </r>
    <r>
      <rPr>
        <sz val="9"/>
        <color rgb="FF4D4D4F"/>
        <rFont val="Arial"/>
        <family val="2"/>
      </rPr>
      <t>s</t>
    </r>
    <r>
      <rPr>
        <sz val="9"/>
        <color rgb="FF2D2D31"/>
        <rFont val="Arial"/>
        <family val="2"/>
      </rPr>
      <t>i</t>
    </r>
    <r>
      <rPr>
        <sz val="9"/>
        <color rgb="FF4D4D4F"/>
        <rFont val="Arial"/>
        <family val="2"/>
      </rPr>
      <t xml:space="preserve">, </t>
    </r>
    <r>
      <rPr>
        <sz val="9"/>
        <color rgb="FF2D2D31"/>
        <rFont val="Arial"/>
        <family val="2"/>
      </rPr>
      <t>piutang</t>
    </r>
    <r>
      <rPr>
        <sz val="9"/>
        <color rgb="FF4D4D4F"/>
        <rFont val="Arial"/>
        <family val="2"/>
      </rPr>
      <t xml:space="preserve">, </t>
    </r>
    <r>
      <rPr>
        <sz val="9"/>
        <color rgb="FF3D3D41"/>
        <rFont val="Arial"/>
        <family val="2"/>
      </rPr>
      <t>penge</t>
    </r>
    <r>
      <rPr>
        <sz val="9"/>
        <color rgb="FF1C1C1F"/>
        <rFont val="Arial"/>
        <family val="2"/>
      </rPr>
      <t>l</t>
    </r>
    <r>
      <rPr>
        <sz val="9"/>
        <color rgb="FF4D4D4F"/>
        <rFont val="Arial"/>
        <family val="2"/>
      </rPr>
      <t>o</t>
    </r>
    <r>
      <rPr>
        <sz val="9"/>
        <color rgb="FF1C1C1F"/>
        <rFont val="Arial"/>
        <family val="2"/>
      </rPr>
      <t>l</t>
    </r>
    <r>
      <rPr>
        <sz val="9"/>
        <color rgb="FF3D3D41"/>
        <rFont val="Arial"/>
        <family val="2"/>
      </rPr>
      <t xml:space="preserve">aan </t>
    </r>
    <r>
      <rPr>
        <sz val="9"/>
        <color rgb="FF2D2D31"/>
        <rFont val="Arial"/>
        <family val="2"/>
      </rPr>
      <t>moda</t>
    </r>
    <r>
      <rPr>
        <sz val="9"/>
        <color rgb="FF000000"/>
        <rFont val="Arial"/>
        <family val="2"/>
      </rPr>
      <t xml:space="preserve">l </t>
    </r>
    <r>
      <rPr>
        <sz val="9"/>
        <color rgb="FF3D3D41"/>
        <rFont val="Arial"/>
        <family val="2"/>
      </rPr>
      <t>ker</t>
    </r>
    <r>
      <rPr>
        <sz val="9"/>
        <color rgb="FF1C1C1F"/>
        <rFont val="Arial"/>
        <family val="2"/>
      </rPr>
      <t>j</t>
    </r>
    <r>
      <rPr>
        <sz val="9"/>
        <color rgb="FF4D4D4F"/>
        <rFont val="Arial"/>
        <family val="2"/>
      </rPr>
      <t xml:space="preserve">a </t>
    </r>
    <r>
      <rPr>
        <sz val="9"/>
        <color rgb="FF3D3D41"/>
        <rFont val="Arial"/>
        <family val="2"/>
      </rPr>
      <t xml:space="preserve">dan </t>
    </r>
    <r>
      <rPr>
        <sz val="9"/>
        <color rgb="FF4D4D4F"/>
        <rFont val="Arial"/>
        <family val="2"/>
      </rPr>
      <t>a</t>
    </r>
    <r>
      <rPr>
        <sz val="9"/>
        <color rgb="FF1C1C1F"/>
        <rFont val="Arial"/>
        <family val="2"/>
      </rPr>
      <t>r</t>
    </r>
    <r>
      <rPr>
        <sz val="9"/>
        <color rgb="FF4D4D4F"/>
        <rFont val="Arial"/>
        <family val="2"/>
      </rPr>
      <t xml:space="preserve">us </t>
    </r>
    <r>
      <rPr>
        <sz val="9"/>
        <color rgb="FF3D3D41"/>
        <rFont val="Arial"/>
        <family val="2"/>
      </rPr>
      <t xml:space="preserve">kas </t>
    </r>
    <r>
      <rPr>
        <sz val="9"/>
        <color rgb="FF4D4D4F"/>
        <rFont val="Arial"/>
        <family val="2"/>
      </rPr>
      <t>se</t>
    </r>
    <r>
      <rPr>
        <sz val="9"/>
        <color rgb="FF2D2D31"/>
        <rFont val="Arial"/>
        <family val="2"/>
      </rPr>
      <t>rt</t>
    </r>
    <r>
      <rPr>
        <sz val="9"/>
        <color rgb="FF4D4D4F"/>
        <rFont val="Arial"/>
        <family val="2"/>
      </rPr>
      <t xml:space="preserve">a Risiko </t>
    </r>
    <r>
      <rPr>
        <sz val="9"/>
        <color rgb="FF2D2D31"/>
        <rFont val="Arial"/>
        <family val="2"/>
      </rPr>
      <t>in</t>
    </r>
    <r>
      <rPr>
        <sz val="9"/>
        <color rgb="FF4D4D4F"/>
        <rFont val="Arial"/>
        <family val="2"/>
      </rPr>
      <t>teg</t>
    </r>
    <r>
      <rPr>
        <sz val="9"/>
        <color rgb="FF2D2D31"/>
        <rFont val="Arial"/>
        <family val="2"/>
      </rPr>
      <t>ri</t>
    </r>
    <r>
      <rPr>
        <sz val="9"/>
        <color rgb="FF4D4D4F"/>
        <rFont val="Arial"/>
        <family val="2"/>
      </rPr>
      <t xml:space="preserve">tas </t>
    </r>
    <r>
      <rPr>
        <sz val="9"/>
        <color rgb="FF3D3D41"/>
        <rFont val="Arial"/>
        <family val="2"/>
      </rPr>
      <t>alas pe</t>
    </r>
    <r>
      <rPr>
        <sz val="9"/>
        <color rgb="FF1C1C1F"/>
        <rFont val="Arial"/>
        <family val="2"/>
      </rPr>
      <t>n</t>
    </r>
    <r>
      <rPr>
        <sz val="9"/>
        <color rgb="FF3D3D41"/>
        <rFont val="Arial"/>
        <family val="2"/>
      </rPr>
      <t>yusunandan pelaporan keuangan</t>
    </r>
  </si>
  <si>
    <r>
      <rPr>
        <sz val="9"/>
        <color rgb="FF2D2D31"/>
        <rFont val="Arial"/>
        <family val="2"/>
      </rPr>
      <t>R</t>
    </r>
    <r>
      <rPr>
        <sz val="9"/>
        <color rgb="FF4D4D4F"/>
        <rFont val="Arial"/>
        <family val="2"/>
      </rPr>
      <t>is</t>
    </r>
    <r>
      <rPr>
        <sz val="9"/>
        <color rgb="FF1C1C1F"/>
        <rFont val="Arial"/>
        <family val="2"/>
      </rPr>
      <t>i</t>
    </r>
    <r>
      <rPr>
        <sz val="9"/>
        <color rgb="FF3D3D41"/>
        <rFont val="Arial"/>
        <family val="2"/>
      </rPr>
      <t xml:space="preserve">ko terkail </t>
    </r>
    <r>
      <rPr>
        <sz val="9"/>
        <color rgb="FF2D2D31"/>
        <rFont val="Arial"/>
        <family val="2"/>
      </rPr>
      <t>h</t>
    </r>
    <r>
      <rPr>
        <sz val="9"/>
        <color rgb="FF4D4D4F"/>
        <rFont val="Arial"/>
        <family val="2"/>
      </rPr>
      <t>u</t>
    </r>
    <r>
      <rPr>
        <sz val="9"/>
        <color rgb="FF2D2D31"/>
        <rFont val="Arial"/>
        <family val="2"/>
      </rPr>
      <t>ku</t>
    </r>
    <r>
      <rPr>
        <sz val="9"/>
        <color rgb="FF4D4D4F"/>
        <rFont val="Arial"/>
        <family val="2"/>
      </rPr>
      <t xml:space="preserve">m, </t>
    </r>
    <r>
      <rPr>
        <sz val="9"/>
        <color rgb="FF3D3D41"/>
        <rFont val="Arial"/>
        <family val="2"/>
      </rPr>
      <t>reputasi dan kepatuhan</t>
    </r>
  </si>
  <si>
    <r>
      <rPr>
        <sz val="9"/>
        <color rgb="FF3D3D41"/>
        <rFont val="Arial"/>
        <family val="2"/>
      </rPr>
      <t xml:space="preserve">Peristiwa Risiko </t>
    </r>
    <r>
      <rPr>
        <sz val="9"/>
        <color rgb="FF4D4D4F"/>
        <rFont val="Arial"/>
        <family val="2"/>
      </rPr>
      <t xml:space="preserve">yang </t>
    </r>
    <r>
      <rPr>
        <sz val="9"/>
        <color rgb="FF3D3D41"/>
        <rFont val="Arial"/>
        <family val="2"/>
      </rPr>
      <t xml:space="preserve">disebabkan </t>
    </r>
    <r>
      <rPr>
        <sz val="9"/>
        <color rgb="FF4D4D4F"/>
        <rFont val="Arial"/>
        <family val="2"/>
      </rPr>
      <t>o</t>
    </r>
    <r>
      <rPr>
        <sz val="9"/>
        <color rgb="FF1C1C1F"/>
        <rFont val="Arial"/>
        <family val="2"/>
      </rPr>
      <t>l</t>
    </r>
    <r>
      <rPr>
        <sz val="9"/>
        <color rgb="FF4D4D4F"/>
        <rFont val="Arial"/>
        <family val="2"/>
      </rPr>
      <t xml:space="preserve">eh tindakan </t>
    </r>
    <r>
      <rPr>
        <sz val="9"/>
        <color rgb="FF3D3D41"/>
        <rFont val="Arial"/>
        <family val="2"/>
      </rPr>
      <t>dan</t>
    </r>
    <r>
      <rPr>
        <sz val="9"/>
        <color rgb="FF757579"/>
        <rFont val="Arial"/>
        <family val="2"/>
      </rPr>
      <t>/</t>
    </r>
    <r>
      <rPr>
        <sz val="9"/>
        <color rgb="FF4D4D4F"/>
        <rFont val="Arial"/>
        <family val="2"/>
      </rPr>
      <t xml:space="preserve">atau tuntutan </t>
    </r>
    <r>
      <rPr>
        <sz val="9"/>
        <color rgb="FF3D3D41"/>
        <rFont val="Arial"/>
        <family val="2"/>
      </rPr>
      <t>hukum</t>
    </r>
    <r>
      <rPr>
        <sz val="9"/>
        <color rgb="FF757579"/>
        <rFont val="Arial"/>
        <family val="2"/>
      </rPr>
      <t xml:space="preserve">, </t>
    </r>
    <r>
      <rPr>
        <sz val="9"/>
        <color rgb="FF626267"/>
        <rFont val="Arial"/>
        <family val="2"/>
      </rPr>
      <t>kec</t>
    </r>
    <r>
      <rPr>
        <sz val="9"/>
        <color rgb="FF3D3D41"/>
        <rFont val="Arial"/>
        <family val="2"/>
      </rPr>
      <t>urangan</t>
    </r>
    <r>
      <rPr>
        <sz val="9"/>
        <color rgb="FF4D4D4F"/>
        <rFont val="Arial"/>
        <family val="2"/>
      </rPr>
      <t xml:space="preserve">dalam </t>
    </r>
    <r>
      <rPr>
        <sz val="9"/>
        <color rgb="FF3D3D41"/>
        <rFont val="Arial"/>
        <family val="2"/>
      </rPr>
      <t>konteks k</t>
    </r>
    <r>
      <rPr>
        <sz val="9"/>
        <color rgb="FF626267"/>
        <rFont val="Arial"/>
        <family val="2"/>
      </rPr>
      <t>o</t>
    </r>
    <r>
      <rPr>
        <sz val="9"/>
        <color rgb="FF2D2D31"/>
        <rFont val="Arial"/>
        <family val="2"/>
      </rPr>
      <t>r</t>
    </r>
    <r>
      <rPr>
        <sz val="9"/>
        <color rgb="FF4D4D4F"/>
        <rFont val="Arial"/>
        <family val="2"/>
      </rPr>
      <t xml:space="preserve">upsi, </t>
    </r>
    <r>
      <rPr>
        <sz val="9"/>
        <color rgb="FF3D3D41"/>
        <rFont val="Arial"/>
        <family val="2"/>
      </rPr>
      <t xml:space="preserve">kolusi dan </t>
    </r>
    <r>
      <rPr>
        <sz val="9"/>
        <color rgb="FF4D4D4F"/>
        <rFont val="Arial"/>
        <family val="2"/>
      </rPr>
      <t>nepot</t>
    </r>
    <r>
      <rPr>
        <sz val="9"/>
        <color rgb="FF2D2D31"/>
        <rFont val="Arial"/>
        <family val="2"/>
      </rPr>
      <t>i</t>
    </r>
    <r>
      <rPr>
        <sz val="9"/>
        <color rgb="FF4D4D4F"/>
        <rFont val="Arial"/>
        <family val="2"/>
      </rPr>
      <t>sme</t>
    </r>
    <r>
      <rPr>
        <sz val="9"/>
        <color rgb="FF757579"/>
        <rFont val="Arial"/>
        <family val="2"/>
      </rPr>
      <t xml:space="preserve">, </t>
    </r>
    <r>
      <rPr>
        <sz val="9"/>
        <color rgb="FF3D3D41"/>
        <rFont val="Arial"/>
        <family val="2"/>
      </rPr>
      <t xml:space="preserve">perburukan </t>
    </r>
    <r>
      <rPr>
        <sz val="9"/>
        <color rgb="FF4D4D4F"/>
        <rFont val="Arial"/>
        <family val="2"/>
      </rPr>
      <t xml:space="preserve">reputasi </t>
    </r>
    <r>
      <rPr>
        <sz val="9"/>
        <color rgb="FF3D3D41"/>
        <rFont val="Arial"/>
        <family val="2"/>
      </rPr>
      <t xml:space="preserve">BUMN </t>
    </r>
    <r>
      <rPr>
        <sz val="9"/>
        <color rgb="FF4D4D4F"/>
        <rFont val="Arial"/>
        <family val="2"/>
      </rPr>
      <t>dan ketida</t>
    </r>
    <r>
      <rPr>
        <sz val="9"/>
        <color rgb="FF757579"/>
        <rFont val="Arial"/>
        <family val="2"/>
      </rPr>
      <t>k</t>
    </r>
    <r>
      <rPr>
        <sz val="9"/>
        <color rgb="FF4D4D4F"/>
        <rFont val="Arial"/>
        <family val="2"/>
      </rPr>
      <t xml:space="preserve">patuhanpada </t>
    </r>
    <r>
      <rPr>
        <sz val="9"/>
        <color rgb="FF3D3D41"/>
        <rFont val="Arial"/>
        <family val="2"/>
      </rPr>
      <t xml:space="preserve">peraturan </t>
    </r>
    <r>
      <rPr>
        <sz val="9"/>
        <color rgb="FF4D4D4F"/>
        <rFont val="Arial"/>
        <family val="2"/>
      </rPr>
      <t>perunda</t>
    </r>
    <r>
      <rPr>
        <sz val="9"/>
        <color rgb="FF2D2D31"/>
        <rFont val="Arial"/>
        <family val="2"/>
      </rPr>
      <t>n</t>
    </r>
    <r>
      <rPr>
        <sz val="9"/>
        <color rgb="FF4D4D4F"/>
        <rFont val="Arial"/>
        <family val="2"/>
      </rPr>
      <t>g</t>
    </r>
    <r>
      <rPr>
        <sz val="9"/>
        <color rgb="FF1C1C1F"/>
        <rFont val="Arial"/>
        <family val="2"/>
      </rPr>
      <t>-</t>
    </r>
    <r>
      <rPr>
        <sz val="9"/>
        <color rgb="FF4D4D4F"/>
        <rFont val="Arial"/>
        <family val="2"/>
      </rPr>
      <t>undangan yang ber</t>
    </r>
    <r>
      <rPr>
        <sz val="9"/>
        <color rgb="FF1C1C1F"/>
        <rFont val="Arial"/>
        <family val="2"/>
      </rPr>
      <t>l</t>
    </r>
    <r>
      <rPr>
        <sz val="9"/>
        <color rgb="FF4D4D4F"/>
        <rFont val="Arial"/>
        <family val="2"/>
      </rPr>
      <t xml:space="preserve">aku </t>
    </r>
    <r>
      <rPr>
        <sz val="9"/>
        <color rgb="FF626267"/>
        <rFont val="Arial"/>
        <family val="2"/>
      </rPr>
      <t>y</t>
    </r>
    <r>
      <rPr>
        <sz val="9"/>
        <color rgb="FF3D3D41"/>
        <rFont val="Arial"/>
        <family val="2"/>
      </rPr>
      <t xml:space="preserve">ang </t>
    </r>
    <r>
      <rPr>
        <sz val="9"/>
        <color rgb="FF4D4D4F"/>
        <rFont val="Arial"/>
        <family val="2"/>
      </rPr>
      <t xml:space="preserve">dapat berpengaruh terhadap </t>
    </r>
    <r>
      <rPr>
        <sz val="9"/>
        <color rgb="FF626267"/>
        <rFont val="Arial"/>
        <family val="2"/>
      </rPr>
      <t>reput</t>
    </r>
    <r>
      <rPr>
        <sz val="9"/>
        <color rgb="FF3D3D41"/>
        <rFont val="Arial"/>
        <family val="2"/>
      </rPr>
      <t>as</t>
    </r>
    <r>
      <rPr>
        <sz val="9"/>
        <color rgb="FF626267"/>
        <rFont val="Arial"/>
        <family val="2"/>
      </rPr>
      <t xml:space="preserve">i </t>
    </r>
    <r>
      <rPr>
        <sz val="9"/>
        <color rgb="FF4D4D4F"/>
        <rFont val="Arial"/>
        <family val="2"/>
      </rPr>
      <t xml:space="preserve">dan
</t>
    </r>
    <r>
      <rPr>
        <sz val="9"/>
        <color rgb="FF2D2D31"/>
        <rFont val="Arial"/>
        <family val="2"/>
      </rPr>
      <t>kiner</t>
    </r>
    <r>
      <rPr>
        <sz val="9"/>
        <color rgb="FF4D4D4F"/>
        <rFont val="Arial"/>
        <family val="2"/>
      </rPr>
      <t>ja BUMN</t>
    </r>
  </si>
  <si>
    <r>
      <rPr>
        <sz val="9"/>
        <color rgb="FF2D2D31"/>
        <rFont val="Arial"/>
        <family val="2"/>
      </rPr>
      <t>Risik</t>
    </r>
    <r>
      <rPr>
        <sz val="9"/>
        <color rgb="FF4D4D4F"/>
        <rFont val="Arial"/>
        <family val="2"/>
      </rPr>
      <t xml:space="preserve">o </t>
    </r>
    <r>
      <rPr>
        <sz val="9"/>
        <color rgb="FF3D3D41"/>
        <rFont val="Arial"/>
        <family val="2"/>
      </rPr>
      <t>terkait proyek</t>
    </r>
  </si>
  <si>
    <r>
      <rPr>
        <sz val="9"/>
        <color rgb="FF2D2D31"/>
        <rFont val="Arial"/>
        <family val="2"/>
      </rPr>
      <t>Peri</t>
    </r>
    <r>
      <rPr>
        <sz val="9"/>
        <color rgb="FF4D4D4F"/>
        <rFont val="Arial"/>
        <family val="2"/>
      </rPr>
      <t xml:space="preserve">stiwa </t>
    </r>
    <r>
      <rPr>
        <sz val="9"/>
        <color rgb="FF3D3D41"/>
        <rFont val="Arial"/>
        <family val="2"/>
      </rPr>
      <t xml:space="preserve">Risiko </t>
    </r>
    <r>
      <rPr>
        <sz val="9"/>
        <color rgb="FF4D4D4F"/>
        <rFont val="Arial"/>
        <family val="2"/>
      </rPr>
      <t>ya</t>
    </r>
    <r>
      <rPr>
        <sz val="9"/>
        <color rgb="FF2D2D31"/>
        <rFont val="Arial"/>
        <family val="2"/>
      </rPr>
      <t xml:space="preserve">ng </t>
    </r>
    <r>
      <rPr>
        <sz val="9"/>
        <color rgb="FF3D3D41"/>
        <rFont val="Arial"/>
        <family val="2"/>
      </rPr>
      <t>d</t>
    </r>
    <r>
      <rPr>
        <sz val="9"/>
        <color rgb="FF1C1C1F"/>
        <rFont val="Arial"/>
        <family val="2"/>
      </rPr>
      <t>i</t>
    </r>
    <r>
      <rPr>
        <sz val="9"/>
        <color rgb="FF3D3D41"/>
        <rFont val="Arial"/>
        <family val="2"/>
      </rPr>
      <t>sebabkan</t>
    </r>
    <r>
      <rPr>
        <sz val="9"/>
        <color rgb="FF4D4D4F"/>
        <rFont val="Arial"/>
        <family val="2"/>
      </rPr>
      <t>o</t>
    </r>
    <r>
      <rPr>
        <sz val="9"/>
        <color rgb="FF1C1C1F"/>
        <rFont val="Arial"/>
        <family val="2"/>
      </rPr>
      <t>l</t>
    </r>
    <r>
      <rPr>
        <sz val="9"/>
        <color rgb="FF4D4D4F"/>
        <rFont val="Arial"/>
        <family val="2"/>
      </rPr>
      <t xml:space="preserve">eh </t>
    </r>
    <r>
      <rPr>
        <sz val="9"/>
        <color rgb="FF3D3D41"/>
        <rFont val="Arial"/>
        <family val="2"/>
      </rPr>
      <t>proyek- proye</t>
    </r>
    <r>
      <rPr>
        <sz val="9"/>
        <color rgb="FF626267"/>
        <rFont val="Arial"/>
        <family val="2"/>
      </rPr>
      <t xml:space="preserve">k </t>
    </r>
    <r>
      <rPr>
        <sz val="9"/>
        <color rgb="FF4D4D4F"/>
        <rFont val="Arial"/>
        <family val="2"/>
      </rPr>
      <t>yang di</t>
    </r>
    <r>
      <rPr>
        <sz val="9"/>
        <color rgb="FF757579"/>
        <rFont val="Arial"/>
        <family val="2"/>
      </rPr>
      <t>j</t>
    </r>
    <r>
      <rPr>
        <sz val="9"/>
        <color rgb="FF4D4D4F"/>
        <rFont val="Arial"/>
        <family val="2"/>
      </rPr>
      <t>a</t>
    </r>
    <r>
      <rPr>
        <sz val="9"/>
        <color rgb="FF2D2D31"/>
        <rFont val="Arial"/>
        <family val="2"/>
      </rPr>
      <t>lan</t>
    </r>
    <r>
      <rPr>
        <sz val="9"/>
        <color rgb="FF4D4D4F"/>
        <rFont val="Arial"/>
        <family val="2"/>
      </rPr>
      <t>kan oleh B</t>
    </r>
    <r>
      <rPr>
        <sz val="9"/>
        <color rgb="FF2D2D31"/>
        <rFont val="Arial"/>
        <family val="2"/>
      </rPr>
      <t>U</t>
    </r>
    <r>
      <rPr>
        <sz val="9"/>
        <color rgb="FF4D4D4F"/>
        <rFont val="Arial"/>
        <family val="2"/>
      </rPr>
      <t>MN mu</t>
    </r>
    <r>
      <rPr>
        <sz val="9"/>
        <color rgb="FF1C1C1F"/>
        <rFont val="Arial"/>
        <family val="2"/>
      </rPr>
      <t>l</t>
    </r>
    <r>
      <rPr>
        <sz val="9"/>
        <color rgb="FF4D4D4F"/>
        <rFont val="Arial"/>
        <family val="2"/>
      </rPr>
      <t>a</t>
    </r>
    <r>
      <rPr>
        <sz val="9"/>
        <color rgb="FF2D2D31"/>
        <rFont val="Arial"/>
        <family val="2"/>
      </rPr>
      <t xml:space="preserve">i </t>
    </r>
    <r>
      <rPr>
        <sz val="9"/>
        <color rgb="FF4D4D4F"/>
        <rFont val="Arial"/>
        <family val="2"/>
      </rPr>
      <t xml:space="preserve">dari </t>
    </r>
    <r>
      <rPr>
        <sz val="9"/>
        <color rgb="FF2D2D31"/>
        <rFont val="Arial"/>
        <family val="2"/>
      </rPr>
      <t>per</t>
    </r>
    <r>
      <rPr>
        <sz val="9"/>
        <color rgb="FF4D4D4F"/>
        <rFont val="Arial"/>
        <family val="2"/>
      </rPr>
      <t>e</t>
    </r>
    <r>
      <rPr>
        <sz val="9"/>
        <color rgb="FF2D2D31"/>
        <rFont val="Arial"/>
        <family val="2"/>
      </rPr>
      <t>ncanaan</t>
    </r>
    <r>
      <rPr>
        <sz val="9"/>
        <color rgb="FF3D3D41"/>
        <rFont val="Arial"/>
        <family val="2"/>
      </rPr>
      <t>proyek</t>
    </r>
    <r>
      <rPr>
        <sz val="9"/>
        <color rgb="FF626267"/>
        <rFont val="Arial"/>
        <family val="2"/>
      </rPr>
      <t xml:space="preserve">, </t>
    </r>
    <r>
      <rPr>
        <sz val="9"/>
        <color rgb="FF2D2D31"/>
        <rFont val="Arial"/>
        <family val="2"/>
      </rPr>
      <t>pemilih</t>
    </r>
    <r>
      <rPr>
        <sz val="9"/>
        <color rgb="FF4D4D4F"/>
        <rFont val="Arial"/>
        <family val="2"/>
      </rPr>
      <t>a</t>
    </r>
    <r>
      <rPr>
        <sz val="9"/>
        <color rgb="FF2D2D31"/>
        <rFont val="Arial"/>
        <family val="2"/>
      </rPr>
      <t>n kon</t>
    </r>
    <r>
      <rPr>
        <sz val="9"/>
        <color rgb="FF4D4D4F"/>
        <rFont val="Arial"/>
        <family val="2"/>
      </rPr>
      <t>so</t>
    </r>
    <r>
      <rPr>
        <sz val="9"/>
        <color rgb="FF2D2D31"/>
        <rFont val="Arial"/>
        <family val="2"/>
      </rPr>
      <t>r</t>
    </r>
    <r>
      <rPr>
        <sz val="9"/>
        <color rgb="FF4D4D4F"/>
        <rFont val="Arial"/>
        <family val="2"/>
      </rPr>
      <t>s</t>
    </r>
    <r>
      <rPr>
        <sz val="9"/>
        <color rgb="FF1C1C1F"/>
        <rFont val="Arial"/>
        <family val="2"/>
      </rPr>
      <t>i</t>
    </r>
    <r>
      <rPr>
        <sz val="9"/>
        <color rgb="FF3D3D41"/>
        <rFont val="Arial"/>
        <family val="2"/>
      </rPr>
      <t>um</t>
    </r>
    <r>
      <rPr>
        <sz val="9"/>
        <color rgb="FF757579"/>
        <rFont val="Arial"/>
        <family val="2"/>
      </rPr>
      <t xml:space="preserve">, </t>
    </r>
    <r>
      <rPr>
        <sz val="9"/>
        <color rgb="FF4D4D4F"/>
        <rFont val="Arial"/>
        <family val="2"/>
      </rPr>
      <t>R</t>
    </r>
    <r>
      <rPr>
        <sz val="9"/>
        <color rgb="FF1C1C1F"/>
        <rFont val="Arial"/>
        <family val="2"/>
      </rPr>
      <t>i</t>
    </r>
    <r>
      <rPr>
        <sz val="9"/>
        <color rgb="FF4D4D4F"/>
        <rFont val="Arial"/>
        <family val="2"/>
      </rPr>
      <t>s</t>
    </r>
    <r>
      <rPr>
        <sz val="9"/>
        <color rgb="FF1C1C1F"/>
        <rFont val="Arial"/>
        <family val="2"/>
      </rPr>
      <t>i</t>
    </r>
    <r>
      <rPr>
        <sz val="9"/>
        <color rgb="FF3D3D41"/>
        <rFont val="Arial"/>
        <family val="2"/>
      </rPr>
      <t>ko kont</t>
    </r>
    <r>
      <rPr>
        <sz val="9"/>
        <color rgb="FF1C1C1F"/>
        <rFont val="Arial"/>
        <family val="2"/>
      </rPr>
      <t>r</t>
    </r>
    <r>
      <rPr>
        <sz val="9"/>
        <color rgb="FF4D4D4F"/>
        <rFont val="Arial"/>
        <family val="2"/>
      </rPr>
      <t>akt</t>
    </r>
    <r>
      <rPr>
        <sz val="9"/>
        <color rgb="FF2D2D31"/>
        <rFont val="Arial"/>
        <family val="2"/>
      </rPr>
      <t>u</t>
    </r>
    <r>
      <rPr>
        <sz val="9"/>
        <color rgb="FF4D4D4F"/>
        <rFont val="Arial"/>
        <family val="2"/>
      </rPr>
      <t xml:space="preserve">al </t>
    </r>
    <r>
      <rPr>
        <sz val="9"/>
        <color rgb="FF3D3D41"/>
        <rFont val="Arial"/>
        <family val="2"/>
      </rPr>
      <t>proye</t>
    </r>
    <r>
      <rPr>
        <sz val="9"/>
        <color rgb="FF626267"/>
        <rFont val="Arial"/>
        <family val="2"/>
      </rPr>
      <t xml:space="preserve">k, </t>
    </r>
    <r>
      <rPr>
        <sz val="9"/>
        <color rgb="FF3D3D41"/>
        <rFont val="Arial"/>
        <family val="2"/>
      </rPr>
      <t>Ris</t>
    </r>
    <r>
      <rPr>
        <sz val="9"/>
        <color rgb="FF1C1C1F"/>
        <rFont val="Arial"/>
        <family val="2"/>
      </rPr>
      <t>i</t>
    </r>
    <r>
      <rPr>
        <sz val="9"/>
        <color rgb="FF4D4D4F"/>
        <rFont val="Arial"/>
        <family val="2"/>
      </rPr>
      <t>ko e</t>
    </r>
    <r>
      <rPr>
        <sz val="9"/>
        <color rgb="FF2D2D31"/>
        <rFont val="Arial"/>
        <family val="2"/>
      </rPr>
      <t>k</t>
    </r>
    <r>
      <rPr>
        <sz val="9"/>
        <color rgb="FF4D4D4F"/>
        <rFont val="Arial"/>
        <family val="2"/>
      </rPr>
      <t>sekus</t>
    </r>
    <r>
      <rPr>
        <sz val="9"/>
        <color rgb="FF2D2D31"/>
        <rFont val="Arial"/>
        <family val="2"/>
      </rPr>
      <t xml:space="preserve">i </t>
    </r>
    <r>
      <rPr>
        <sz val="9"/>
        <color rgb="FF4D4D4F"/>
        <rFont val="Arial"/>
        <family val="2"/>
      </rPr>
      <t>proye</t>
    </r>
    <r>
      <rPr>
        <sz val="9"/>
        <color rgb="FF757579"/>
        <rFont val="Arial"/>
        <family val="2"/>
      </rPr>
      <t xml:space="preserve">k </t>
    </r>
    <r>
      <rPr>
        <sz val="9"/>
        <color rgb="FF3D3D41"/>
        <rFont val="Arial"/>
        <family val="2"/>
      </rPr>
      <t xml:space="preserve">dan  </t>
    </r>
    <r>
      <rPr>
        <sz val="9"/>
        <color rgb="FF2D2D31"/>
        <rFont val="Arial"/>
        <family val="2"/>
      </rPr>
      <t>p</t>
    </r>
    <r>
      <rPr>
        <sz val="9"/>
        <color rgb="FF4D4D4F"/>
        <rFont val="Arial"/>
        <family val="2"/>
      </rPr>
      <t>e</t>
    </r>
    <r>
      <rPr>
        <sz val="9"/>
        <color rgb="FF2D2D31"/>
        <rFont val="Arial"/>
        <family val="2"/>
      </rPr>
      <t>n</t>
    </r>
    <r>
      <rPr>
        <sz val="9"/>
        <color rgb="FF4D4D4F"/>
        <rFont val="Arial"/>
        <family val="2"/>
      </rPr>
      <t>ye</t>
    </r>
    <r>
      <rPr>
        <sz val="9"/>
        <color rgb="FF1C1C1F"/>
        <rFont val="Arial"/>
        <family val="2"/>
      </rPr>
      <t>l</t>
    </r>
    <r>
      <rPr>
        <sz val="9"/>
        <color rgb="FF4D4D4F"/>
        <rFont val="Arial"/>
        <family val="2"/>
      </rPr>
      <t>esaia</t>
    </r>
    <r>
      <rPr>
        <sz val="9"/>
        <color rgb="FF2D2D31"/>
        <rFont val="Arial"/>
        <family val="2"/>
      </rPr>
      <t>n  pro</t>
    </r>
    <r>
      <rPr>
        <sz val="9"/>
        <color rgb="FF4D4D4F"/>
        <rFont val="Arial"/>
        <family val="2"/>
      </rPr>
      <t>yek</t>
    </r>
    <r>
      <rPr>
        <sz val="9"/>
        <color rgb="FF2D2D31"/>
        <rFont val="Arial"/>
        <family val="2"/>
      </rPr>
      <t xml:space="preserve">.  </t>
    </r>
    <r>
      <rPr>
        <sz val="9"/>
        <color rgb="FF3D3D41"/>
        <rFont val="Arial"/>
        <family val="2"/>
      </rPr>
      <t>R</t>
    </r>
    <r>
      <rPr>
        <sz val="9"/>
        <color rgb="FF1C1C1F"/>
        <rFont val="Arial"/>
        <family val="2"/>
      </rPr>
      <t>i</t>
    </r>
    <r>
      <rPr>
        <sz val="9"/>
        <color rgb="FF4D4D4F"/>
        <rFont val="Arial"/>
        <family val="2"/>
      </rPr>
      <t>s</t>
    </r>
    <r>
      <rPr>
        <sz val="9"/>
        <color rgb="FF1C1C1F"/>
        <rFont val="Arial"/>
        <family val="2"/>
      </rPr>
      <t>i</t>
    </r>
    <r>
      <rPr>
        <sz val="9"/>
        <color rgb="FF3D3D41"/>
        <rFont val="Arial"/>
        <family val="2"/>
      </rPr>
      <t xml:space="preserve">ko  </t>
    </r>
    <r>
      <rPr>
        <sz val="9"/>
        <color rgb="FF4D4D4F"/>
        <rFont val="Arial"/>
        <family val="2"/>
      </rPr>
      <t>in</t>
    </r>
    <r>
      <rPr>
        <sz val="9"/>
        <color rgb="FF1C1C1F"/>
        <rFont val="Arial"/>
        <family val="2"/>
      </rPr>
      <t xml:space="preserve">i  </t>
    </r>
    <r>
      <rPr>
        <sz val="9"/>
        <color rgb="FF2D2D31"/>
        <rFont val="Arial"/>
        <family val="2"/>
      </rPr>
      <t>te</t>
    </r>
    <r>
      <rPr>
        <sz val="9"/>
        <color rgb="FF4D4D4F"/>
        <rFont val="Arial"/>
        <family val="2"/>
      </rPr>
      <t xml:space="preserve">rutama berasal  </t>
    </r>
    <r>
      <rPr>
        <sz val="9"/>
        <color rgb="FF3D3D41"/>
        <rFont val="Arial"/>
        <family val="2"/>
      </rPr>
      <t>dar</t>
    </r>
    <r>
      <rPr>
        <sz val="9"/>
        <color rgb="FF626267"/>
        <rFont val="Arial"/>
        <family val="2"/>
      </rPr>
      <t xml:space="preserve">i  </t>
    </r>
    <r>
      <rPr>
        <sz val="9"/>
        <color rgb="FF3D3D41"/>
        <rFont val="Arial"/>
        <family val="2"/>
      </rPr>
      <t xml:space="preserve">BUMN  </t>
    </r>
    <r>
      <rPr>
        <sz val="9"/>
        <color rgb="FF4D4D4F"/>
        <rFont val="Arial"/>
        <family val="2"/>
      </rPr>
      <t xml:space="preserve">yang  </t>
    </r>
    <r>
      <rPr>
        <sz val="9"/>
        <color rgb="FF3D3D41"/>
        <rFont val="Arial"/>
        <family val="2"/>
      </rPr>
      <t>memilik</t>
    </r>
    <r>
      <rPr>
        <sz val="9"/>
        <color rgb="FF626267"/>
        <rFont val="Arial"/>
        <family val="2"/>
      </rPr>
      <t xml:space="preserve">i  </t>
    </r>
    <r>
      <rPr>
        <sz val="9"/>
        <color rgb="FF4D4D4F"/>
        <rFont val="Arial"/>
        <family val="2"/>
      </rPr>
      <t>sumbe</t>
    </r>
    <r>
      <rPr>
        <sz val="9"/>
        <color rgb="FF757579"/>
        <rFont val="Arial"/>
        <family val="2"/>
      </rPr>
      <t xml:space="preserve">r </t>
    </r>
    <r>
      <rPr>
        <sz val="9"/>
        <color rgb="FF3D3D41"/>
        <rFont val="Arial"/>
        <family val="2"/>
      </rPr>
      <t xml:space="preserve">pendapatan </t>
    </r>
    <r>
      <rPr>
        <sz val="9"/>
        <color rgb="FF4D4D4F"/>
        <rFont val="Arial"/>
        <family val="2"/>
      </rPr>
      <t xml:space="preserve">yang </t>
    </r>
    <r>
      <rPr>
        <sz val="9"/>
        <color rgb="FF3D3D41"/>
        <rFont val="Arial"/>
        <family val="2"/>
      </rPr>
      <t>berasa</t>
    </r>
    <r>
      <rPr>
        <sz val="9"/>
        <color rgb="FF1C1C1F"/>
        <rFont val="Arial"/>
        <family val="2"/>
      </rPr>
      <t xml:space="preserve">l </t>
    </r>
    <r>
      <rPr>
        <sz val="9"/>
        <color rgb="FF3D3D41"/>
        <rFont val="Arial"/>
        <family val="2"/>
      </rPr>
      <t xml:space="preserve">dari </t>
    </r>
    <r>
      <rPr>
        <sz val="9"/>
        <color rgb="FF626267"/>
        <rFont val="Arial"/>
        <family val="2"/>
      </rPr>
      <t>ko</t>
    </r>
    <r>
      <rPr>
        <sz val="9"/>
        <color rgb="FF3D3D41"/>
        <rFont val="Arial"/>
        <family val="2"/>
      </rPr>
      <t xml:space="preserve">ntrak-kontrak jangka </t>
    </r>
    <r>
      <rPr>
        <sz val="9"/>
        <color rgb="FF4D4D4F"/>
        <rFont val="Arial"/>
        <family val="2"/>
      </rPr>
      <t>pan</t>
    </r>
    <r>
      <rPr>
        <sz val="9"/>
        <color rgb="FF2D2D31"/>
        <rFont val="Arial"/>
        <family val="2"/>
      </rPr>
      <t>j</t>
    </r>
    <r>
      <rPr>
        <sz val="9"/>
        <color rgb="FF4D4D4F"/>
        <rFont val="Arial"/>
        <family val="2"/>
      </rPr>
      <t xml:space="preserve">ang, </t>
    </r>
    <r>
      <rPr>
        <sz val="9"/>
        <color rgb="FF3D3D41"/>
        <rFont val="Arial"/>
        <family val="2"/>
      </rPr>
      <t xml:space="preserve">dan </t>
    </r>
    <r>
      <rPr>
        <sz val="9"/>
        <color rgb="FF4D4D4F"/>
        <rFont val="Arial"/>
        <family val="2"/>
      </rPr>
      <t xml:space="preserve">atau BUMN </t>
    </r>
    <r>
      <rPr>
        <sz val="9"/>
        <color rgb="FF626267"/>
        <rFont val="Arial"/>
        <family val="2"/>
      </rPr>
      <t xml:space="preserve">yang </t>
    </r>
    <r>
      <rPr>
        <sz val="9"/>
        <color rgb="FF4D4D4F"/>
        <rFont val="Arial"/>
        <family val="2"/>
      </rPr>
      <t xml:space="preserve">sedang
</t>
    </r>
    <r>
      <rPr>
        <sz val="9"/>
        <color rgb="FF3D3D41"/>
        <rFont val="Arial"/>
        <family val="2"/>
      </rPr>
      <t xml:space="preserve">menjalankan proyek </t>
    </r>
    <r>
      <rPr>
        <sz val="9"/>
        <color rgb="FF1C1C1F"/>
        <rFont val="Arial"/>
        <family val="2"/>
      </rPr>
      <t>j</t>
    </r>
    <r>
      <rPr>
        <sz val="9"/>
        <color rgb="FF4D4D4F"/>
        <rFont val="Arial"/>
        <family val="2"/>
      </rPr>
      <t>ang</t>
    </r>
    <r>
      <rPr>
        <sz val="9"/>
        <color rgb="FF2D2D31"/>
        <rFont val="Arial"/>
        <family val="2"/>
      </rPr>
      <t xml:space="preserve">ka </t>
    </r>
    <r>
      <rPr>
        <sz val="9"/>
        <color rgb="FF4D4D4F"/>
        <rFont val="Arial"/>
        <family val="2"/>
      </rPr>
      <t>panjang untu</t>
    </r>
    <r>
      <rPr>
        <sz val="9"/>
        <color rgb="FF757579"/>
        <rFont val="Arial"/>
        <family val="2"/>
      </rPr>
      <t xml:space="preserve">k </t>
    </r>
    <r>
      <rPr>
        <sz val="9"/>
        <color rgb="FF4D4D4F"/>
        <rFont val="Arial"/>
        <family val="2"/>
      </rPr>
      <t>kepentingan ekspansi</t>
    </r>
  </si>
  <si>
    <r>
      <rPr>
        <sz val="9"/>
        <color rgb="FF2D2D31"/>
        <rFont val="Arial"/>
        <family val="2"/>
      </rPr>
      <t>R</t>
    </r>
    <r>
      <rPr>
        <sz val="9"/>
        <color rgb="FF4D4D4F"/>
        <rFont val="Arial"/>
        <family val="2"/>
      </rPr>
      <t>is</t>
    </r>
    <r>
      <rPr>
        <sz val="9"/>
        <color rgb="FF1C1C1F"/>
        <rFont val="Arial"/>
        <family val="2"/>
      </rPr>
      <t>i</t>
    </r>
    <r>
      <rPr>
        <sz val="9"/>
        <color rgb="FF3D3D41"/>
        <rFont val="Arial"/>
        <family val="2"/>
      </rPr>
      <t>ko terkait te</t>
    </r>
    <r>
      <rPr>
        <sz val="9"/>
        <color rgb="FF626267"/>
        <rFont val="Arial"/>
        <family val="2"/>
      </rPr>
      <t>k</t>
    </r>
    <r>
      <rPr>
        <sz val="9"/>
        <color rgb="FF3D3D41"/>
        <rFont val="Arial"/>
        <family val="2"/>
      </rPr>
      <t>nologi</t>
    </r>
    <r>
      <rPr>
        <sz val="9"/>
        <color rgb="FF1C1C1F"/>
        <rFont val="Arial"/>
        <family val="2"/>
      </rPr>
      <t>i</t>
    </r>
    <r>
      <rPr>
        <sz val="9"/>
        <color rgb="FF3D3D41"/>
        <rFont val="Arial"/>
        <family val="2"/>
      </rPr>
      <t>nformasi</t>
    </r>
    <r>
      <rPr>
        <sz val="9"/>
        <color rgb="FF4D4D4F"/>
        <rFont val="Arial"/>
        <family val="2"/>
      </rPr>
      <t xml:space="preserve">dan </t>
    </r>
    <r>
      <rPr>
        <sz val="9"/>
        <color rgb="FF2D2D31"/>
        <rFont val="Arial"/>
        <family val="2"/>
      </rPr>
      <t>keam</t>
    </r>
    <r>
      <rPr>
        <sz val="9"/>
        <color rgb="FF4D4D4F"/>
        <rFont val="Arial"/>
        <family val="2"/>
      </rPr>
      <t>anan siber</t>
    </r>
  </si>
  <si>
    <r>
      <rPr>
        <sz val="9"/>
        <color rgb="FF3D3D41"/>
        <rFont val="Arial"/>
        <family val="2"/>
      </rPr>
      <t>R</t>
    </r>
    <r>
      <rPr>
        <sz val="9"/>
        <color rgb="FF1C1C1F"/>
        <rFont val="Arial"/>
        <family val="2"/>
      </rPr>
      <t>i</t>
    </r>
    <r>
      <rPr>
        <sz val="9"/>
        <color rgb="FF3D3D41"/>
        <rFont val="Arial"/>
        <family val="2"/>
      </rPr>
      <t xml:space="preserve">siko  </t>
    </r>
    <r>
      <rPr>
        <sz val="9"/>
        <color rgb="FF4D4D4F"/>
        <rFont val="Arial"/>
        <family val="2"/>
      </rPr>
      <t>yang  dise</t>
    </r>
    <r>
      <rPr>
        <sz val="9"/>
        <color rgb="FF2D2D31"/>
        <rFont val="Arial"/>
        <family val="2"/>
      </rPr>
      <t>b</t>
    </r>
    <r>
      <rPr>
        <sz val="9"/>
        <color rgb="FF4D4D4F"/>
        <rFont val="Arial"/>
        <family val="2"/>
      </rPr>
      <t>abkan o</t>
    </r>
    <r>
      <rPr>
        <sz val="9"/>
        <color rgb="FF1C1C1F"/>
        <rFont val="Arial"/>
        <family val="2"/>
      </rPr>
      <t>l</t>
    </r>
    <r>
      <rPr>
        <sz val="9"/>
        <color rgb="FF4D4D4F"/>
        <rFont val="Arial"/>
        <family val="2"/>
      </rPr>
      <t xml:space="preserve">eh  </t>
    </r>
    <r>
      <rPr>
        <sz val="9"/>
        <color rgb="FF3D3D41"/>
        <rFont val="Arial"/>
        <family val="2"/>
      </rPr>
      <t>kegaga</t>
    </r>
    <r>
      <rPr>
        <sz val="9"/>
        <color rgb="FF1C1C1F"/>
        <rFont val="Arial"/>
        <family val="2"/>
      </rPr>
      <t>l</t>
    </r>
    <r>
      <rPr>
        <sz val="9"/>
        <color rgb="FF4D4D4F"/>
        <rFont val="Arial"/>
        <family val="2"/>
      </rPr>
      <t xml:space="preserve">an  </t>
    </r>
    <r>
      <rPr>
        <sz val="9"/>
        <color rgb="FF3D3D41"/>
        <rFont val="Arial"/>
        <family val="2"/>
      </rPr>
      <t>perangka</t>
    </r>
    <r>
      <rPr>
        <sz val="9"/>
        <color rgb="FF1C1C1F"/>
        <rFont val="Arial"/>
        <family val="2"/>
      </rPr>
      <t xml:space="preserve">t  </t>
    </r>
    <r>
      <rPr>
        <sz val="9"/>
        <color rgb="FF4D4D4F"/>
        <rFont val="Arial"/>
        <family val="2"/>
      </rPr>
      <t>lunak</t>
    </r>
    <r>
      <rPr>
        <sz val="9"/>
        <color rgb="FF757579"/>
        <rFont val="Arial"/>
        <family val="2"/>
      </rPr>
      <t xml:space="preserve">,  </t>
    </r>
    <r>
      <rPr>
        <sz val="9"/>
        <color rgb="FF4D4D4F"/>
        <rFont val="Arial"/>
        <family val="2"/>
      </rPr>
      <t xml:space="preserve">perangkat  </t>
    </r>
    <r>
      <rPr>
        <sz val="9"/>
        <color rgb="FF757579"/>
        <rFont val="Arial"/>
        <family val="2"/>
      </rPr>
      <t>k</t>
    </r>
    <r>
      <rPr>
        <sz val="9"/>
        <color rgb="FF4D4D4F"/>
        <rFont val="Arial"/>
        <family val="2"/>
      </rPr>
      <t>e</t>
    </r>
    <r>
      <rPr>
        <sz val="9"/>
        <color rgb="FF757579"/>
        <rFont val="Arial"/>
        <family val="2"/>
      </rPr>
      <t>r</t>
    </r>
    <r>
      <rPr>
        <sz val="9"/>
        <color rgb="FF4D4D4F"/>
        <rFont val="Arial"/>
        <family val="2"/>
      </rPr>
      <t>as</t>
    </r>
    <r>
      <rPr>
        <sz val="9"/>
        <color rgb="FF757579"/>
        <rFont val="Arial"/>
        <family val="2"/>
      </rPr>
      <t xml:space="preserve">,  </t>
    </r>
    <r>
      <rPr>
        <sz val="9"/>
        <color rgb="FF3D3D41"/>
        <rFont val="Arial"/>
        <family val="2"/>
      </rPr>
      <t>jar</t>
    </r>
    <r>
      <rPr>
        <sz val="9"/>
        <color rgb="FF757579"/>
        <rFont val="Arial"/>
        <family val="2"/>
      </rPr>
      <t>i</t>
    </r>
    <r>
      <rPr>
        <sz val="9"/>
        <color rgb="FF3D3D41"/>
        <rFont val="Arial"/>
        <family val="2"/>
      </rPr>
      <t>nga</t>
    </r>
    <r>
      <rPr>
        <sz val="9"/>
        <color rgb="FF626267"/>
        <rFont val="Arial"/>
        <family val="2"/>
      </rPr>
      <t xml:space="preserve">n,  </t>
    </r>
    <r>
      <rPr>
        <sz val="9"/>
        <color rgb="FF4D4D4F"/>
        <rFont val="Arial"/>
        <family val="2"/>
      </rPr>
      <t>a</t>
    </r>
    <r>
      <rPr>
        <sz val="9"/>
        <color rgb="FF757579"/>
        <rFont val="Arial"/>
        <family val="2"/>
      </rPr>
      <t>t</t>
    </r>
    <r>
      <rPr>
        <sz val="9"/>
        <color rgb="FF4D4D4F"/>
        <rFont val="Arial"/>
        <family val="2"/>
      </rPr>
      <t xml:space="preserve">au </t>
    </r>
    <r>
      <rPr>
        <sz val="9"/>
        <color rgb="FF3D3D41"/>
        <rFont val="Arial"/>
        <family val="2"/>
      </rPr>
      <t xml:space="preserve">sistem  teknologi  </t>
    </r>
    <r>
      <rPr>
        <sz val="9"/>
        <color rgb="FF4D4D4F"/>
        <rFont val="Arial"/>
        <family val="2"/>
      </rPr>
      <t>i</t>
    </r>
    <r>
      <rPr>
        <sz val="9"/>
        <color rgb="FF2D2D31"/>
        <rFont val="Arial"/>
        <family val="2"/>
      </rPr>
      <t>nf</t>
    </r>
    <r>
      <rPr>
        <sz val="9"/>
        <color rgb="FF4D4D4F"/>
        <rFont val="Arial"/>
        <family val="2"/>
      </rPr>
      <t xml:space="preserve">ormasi  </t>
    </r>
    <r>
      <rPr>
        <sz val="9"/>
        <color rgb="FF2D2D31"/>
        <rFont val="Arial"/>
        <family val="2"/>
      </rPr>
      <t>l</t>
    </r>
    <r>
      <rPr>
        <sz val="9"/>
        <color rgb="FF4D4D4F"/>
        <rFont val="Arial"/>
        <family val="2"/>
      </rPr>
      <t xml:space="preserve">ainnya  pada  </t>
    </r>
    <r>
      <rPr>
        <sz val="9"/>
        <color rgb="FF3D3D41"/>
        <rFont val="Arial"/>
        <family val="2"/>
      </rPr>
      <t xml:space="preserve">BUMN  termasuk  </t>
    </r>
    <r>
      <rPr>
        <sz val="9"/>
        <color rgb="FF4D4D4F"/>
        <rFont val="Arial"/>
        <family val="2"/>
      </rPr>
      <t xml:space="preserve">Risiko  yang  </t>
    </r>
    <r>
      <rPr>
        <vertAlign val="superscript"/>
        <sz val="9"/>
        <color rgb="FF4D4D4F"/>
        <rFont val="Arial"/>
        <family val="2"/>
      </rPr>
      <t>diakibat</t>
    </r>
    <r>
      <rPr>
        <vertAlign val="superscript"/>
        <sz val="9"/>
        <color rgb="FF757579"/>
        <rFont val="Arial"/>
        <family val="2"/>
      </rPr>
      <t>k</t>
    </r>
    <r>
      <rPr>
        <vertAlign val="superscript"/>
        <sz val="9"/>
        <color rgb="FF4D4D4F"/>
        <rFont val="Arial"/>
        <family val="2"/>
      </rPr>
      <t xml:space="preserve">an  oleh </t>
    </r>
    <r>
      <rPr>
        <sz val="9"/>
        <color rgb="FF2D2D31"/>
        <rFont val="Arial"/>
        <family val="2"/>
      </rPr>
      <t>serang</t>
    </r>
    <r>
      <rPr>
        <sz val="9"/>
        <color rgb="FF4D4D4F"/>
        <rFont val="Arial"/>
        <family val="2"/>
      </rPr>
      <t>a</t>
    </r>
    <r>
      <rPr>
        <sz val="9"/>
        <color rgb="FF1C1C1F"/>
        <rFont val="Arial"/>
        <family val="2"/>
      </rPr>
      <t xml:space="preserve">n  </t>
    </r>
    <r>
      <rPr>
        <sz val="9"/>
        <color rgb="FF4D4D4F"/>
        <rFont val="Arial"/>
        <family val="2"/>
      </rPr>
      <t>s</t>
    </r>
    <r>
      <rPr>
        <sz val="9"/>
        <color rgb="FF1C1C1F"/>
        <rFont val="Arial"/>
        <family val="2"/>
      </rPr>
      <t>i</t>
    </r>
    <r>
      <rPr>
        <sz val="9"/>
        <color rgb="FF3D3D41"/>
        <rFont val="Arial"/>
        <family val="2"/>
      </rPr>
      <t xml:space="preserve">ber  </t>
    </r>
    <r>
      <rPr>
        <i/>
        <sz val="8"/>
        <color rgb="FF4D4D4F"/>
        <rFont val="Arial"/>
        <family val="2"/>
      </rPr>
      <t>(</t>
    </r>
    <r>
      <rPr>
        <i/>
        <sz val="8"/>
        <color rgb="FF2D2D31"/>
        <rFont val="Arial"/>
        <family val="2"/>
      </rPr>
      <t xml:space="preserve">cybe </t>
    </r>
    <r>
      <rPr>
        <i/>
        <sz val="8"/>
        <color rgb="FF4D4D4F"/>
        <rFont val="Arial"/>
        <family val="2"/>
      </rPr>
      <t xml:space="preserve">r   </t>
    </r>
    <r>
      <rPr>
        <i/>
        <sz val="8"/>
        <color rgb="FF3D3D41"/>
        <rFont val="Arial"/>
        <family val="2"/>
      </rPr>
      <t xml:space="preserve">attacks),  </t>
    </r>
    <r>
      <rPr>
        <vertAlign val="superscript"/>
        <sz val="9"/>
        <color rgb="FF3D3D41"/>
        <rFont val="Arial"/>
        <family val="2"/>
      </rPr>
      <t>kehi</t>
    </r>
    <r>
      <rPr>
        <vertAlign val="superscript"/>
        <sz val="9"/>
        <color rgb="FF626267"/>
        <rFont val="Arial"/>
        <family val="2"/>
      </rPr>
      <t>l</t>
    </r>
    <r>
      <rPr>
        <vertAlign val="superscript"/>
        <sz val="9"/>
        <color rgb="FF3D3D41"/>
        <rFont val="Arial"/>
        <family val="2"/>
      </rPr>
      <t>a</t>
    </r>
    <r>
      <rPr>
        <vertAlign val="superscript"/>
        <sz val="9"/>
        <color rgb="FF626267"/>
        <rFont val="Arial"/>
        <family val="2"/>
      </rPr>
      <t>ng</t>
    </r>
    <r>
      <rPr>
        <vertAlign val="superscript"/>
        <sz val="9"/>
        <color rgb="FF3D3D41"/>
        <rFont val="Arial"/>
        <family val="2"/>
      </rPr>
      <t>an  da</t>
    </r>
    <r>
      <rPr>
        <vertAlign val="superscript"/>
        <sz val="9"/>
        <color rgb="FF1C1C1F"/>
        <rFont val="Arial"/>
        <family val="2"/>
      </rPr>
      <t>t</t>
    </r>
    <r>
      <rPr>
        <vertAlign val="superscript"/>
        <sz val="9"/>
        <color rgb="FF3D3D41"/>
        <rFont val="Arial"/>
        <family val="2"/>
      </rPr>
      <t>a</t>
    </r>
    <r>
      <rPr>
        <vertAlign val="superscript"/>
        <sz val="9"/>
        <color rgb="FF626267"/>
        <rFont val="Arial"/>
        <family val="2"/>
      </rPr>
      <t xml:space="preserve">,  </t>
    </r>
    <r>
      <rPr>
        <vertAlign val="superscript"/>
        <sz val="9"/>
        <color rgb="FF4D4D4F"/>
        <rFont val="Arial"/>
        <family val="2"/>
      </rPr>
      <t>pe</t>
    </r>
    <r>
      <rPr>
        <vertAlign val="superscript"/>
        <sz val="9"/>
        <color rgb="FF2D2D31"/>
        <rFont val="Arial"/>
        <family val="2"/>
      </rPr>
      <t>l</t>
    </r>
    <r>
      <rPr>
        <vertAlign val="superscript"/>
        <sz val="9"/>
        <color rgb="FF4D4D4F"/>
        <rFont val="Arial"/>
        <family val="2"/>
      </rPr>
      <t>angga</t>
    </r>
    <r>
      <rPr>
        <vertAlign val="superscript"/>
        <sz val="9"/>
        <color rgb="FF2D2D31"/>
        <rFont val="Arial"/>
        <family val="2"/>
      </rPr>
      <t>r</t>
    </r>
    <r>
      <rPr>
        <vertAlign val="superscript"/>
        <sz val="9"/>
        <color rgb="FF4D4D4F"/>
        <rFont val="Arial"/>
        <family val="2"/>
      </rPr>
      <t>a</t>
    </r>
    <r>
      <rPr>
        <vertAlign val="superscript"/>
        <sz val="9"/>
        <color rgb="FF2D2D31"/>
        <rFont val="Arial"/>
        <family val="2"/>
      </rPr>
      <t>n  pr</t>
    </r>
    <r>
      <rPr>
        <vertAlign val="superscript"/>
        <sz val="9"/>
        <color rgb="FF4D4D4F"/>
        <rFont val="Arial"/>
        <family val="2"/>
      </rPr>
      <t>ivasi,  ma</t>
    </r>
    <r>
      <rPr>
        <vertAlign val="superscript"/>
        <sz val="9"/>
        <color rgb="FF2D2D31"/>
        <rFont val="Arial"/>
        <family val="2"/>
      </rPr>
      <t>ni</t>
    </r>
    <r>
      <rPr>
        <vertAlign val="superscript"/>
        <sz val="9"/>
        <color rgb="FF4D4D4F"/>
        <rFont val="Arial"/>
        <family val="2"/>
      </rPr>
      <t>pu</t>
    </r>
    <r>
      <rPr>
        <vertAlign val="superscript"/>
        <sz val="9"/>
        <color rgb="FF2D2D31"/>
        <rFont val="Arial"/>
        <family val="2"/>
      </rPr>
      <t>l</t>
    </r>
    <r>
      <rPr>
        <vertAlign val="superscript"/>
        <sz val="9"/>
        <color rgb="FF4D4D4F"/>
        <rFont val="Arial"/>
        <family val="2"/>
      </rPr>
      <t xml:space="preserve">asi  data
</t>
    </r>
    <r>
      <rPr>
        <sz val="9"/>
        <color rgb="FF2D2D31"/>
        <rFont val="Arial"/>
        <family val="2"/>
      </rPr>
      <t>berbahaya, dan</t>
    </r>
    <r>
      <rPr>
        <sz val="9"/>
        <color rgb="FF626267"/>
        <rFont val="Arial"/>
        <family val="2"/>
      </rPr>
      <t>/</t>
    </r>
    <r>
      <rPr>
        <sz val="9"/>
        <color rgb="FF3D3D41"/>
        <rFont val="Arial"/>
        <family val="2"/>
      </rPr>
      <t xml:space="preserve">atau </t>
    </r>
    <r>
      <rPr>
        <sz val="9"/>
        <color rgb="FF2D2D31"/>
        <rFont val="Arial"/>
        <family val="2"/>
      </rPr>
      <t>penge</t>
    </r>
    <r>
      <rPr>
        <sz val="9"/>
        <color rgb="FF4D4D4F"/>
        <rFont val="Arial"/>
        <family val="2"/>
      </rPr>
      <t>lo</t>
    </r>
    <r>
      <rPr>
        <sz val="9"/>
        <color rgb="FF2D2D31"/>
        <rFont val="Arial"/>
        <family val="2"/>
      </rPr>
      <t>l</t>
    </r>
    <r>
      <rPr>
        <sz val="9"/>
        <color rgb="FF4D4D4F"/>
        <rFont val="Arial"/>
        <family val="2"/>
      </rPr>
      <t>aa</t>
    </r>
    <r>
      <rPr>
        <sz val="9"/>
        <color rgb="FF1C1C1F"/>
        <rFont val="Arial"/>
        <family val="2"/>
      </rPr>
      <t xml:space="preserve">n </t>
    </r>
    <r>
      <rPr>
        <sz val="9"/>
        <color rgb="FF4D4D4F"/>
        <rFont val="Arial"/>
        <family val="2"/>
      </rPr>
      <t xml:space="preserve">akses </t>
    </r>
    <r>
      <rPr>
        <sz val="9"/>
        <color rgb="FF3D3D41"/>
        <rFont val="Arial"/>
        <family val="2"/>
      </rPr>
      <t>data</t>
    </r>
  </si>
  <si>
    <r>
      <rPr>
        <b/>
        <sz val="8"/>
        <color rgb="FF18181C"/>
        <rFont val="Arial"/>
        <family val="2"/>
      </rPr>
      <t>N</t>
    </r>
    <r>
      <rPr>
        <b/>
        <sz val="8"/>
        <color rgb="FF030303"/>
        <rFont val="Arial"/>
        <family val="2"/>
      </rPr>
      <t>o</t>
    </r>
  </si>
  <si>
    <r>
      <rPr>
        <b/>
        <sz val="8"/>
        <color rgb="FF313134"/>
        <rFont val="Arial"/>
        <family val="2"/>
      </rPr>
      <t>Ke</t>
    </r>
    <r>
      <rPr>
        <b/>
        <sz val="8"/>
        <color rgb="FF030303"/>
        <rFont val="Arial"/>
        <family val="2"/>
      </rPr>
      <t>l</t>
    </r>
    <r>
      <rPr>
        <b/>
        <sz val="8"/>
        <color rgb="FF18181C"/>
        <rFont val="Arial"/>
        <family val="2"/>
      </rPr>
      <t xml:space="preserve">ompok  </t>
    </r>
    <r>
      <rPr>
        <b/>
        <sz val="8"/>
        <color rgb="FF030303"/>
        <rFont val="Arial"/>
        <family val="2"/>
      </rPr>
      <t>P</t>
    </r>
    <r>
      <rPr>
        <b/>
        <sz val="8"/>
        <color rgb="FF18181C"/>
        <rFont val="Arial"/>
        <family val="2"/>
      </rPr>
      <t xml:space="preserve">eri </t>
    </r>
    <r>
      <rPr>
        <b/>
        <sz val="8"/>
        <color rgb="FF030303"/>
        <rFont val="Arial"/>
        <family val="2"/>
      </rPr>
      <t>s</t>
    </r>
    <r>
      <rPr>
        <b/>
        <sz val="8"/>
        <color rgb="FF18181C"/>
        <rFont val="Arial"/>
        <family val="2"/>
      </rPr>
      <t>tiwa  Risiko (T3)</t>
    </r>
  </si>
  <si>
    <r>
      <rPr>
        <b/>
        <sz val="8"/>
        <color rgb="FF030303"/>
        <rFont val="Arial"/>
        <family val="2"/>
      </rPr>
      <t>P</t>
    </r>
    <r>
      <rPr>
        <b/>
        <sz val="8"/>
        <color rgb="FF18181C"/>
        <rFont val="Arial"/>
        <family val="2"/>
      </rPr>
      <t>engert</t>
    </r>
    <r>
      <rPr>
        <b/>
        <sz val="8"/>
        <color rgb="FF030303"/>
        <rFont val="Arial"/>
        <family val="2"/>
      </rPr>
      <t>i</t>
    </r>
    <r>
      <rPr>
        <b/>
        <sz val="8"/>
        <color rgb="FF313134"/>
        <rFont val="Arial"/>
        <family val="2"/>
      </rPr>
      <t>an</t>
    </r>
  </si>
  <si>
    <r>
      <rPr>
        <sz val="8"/>
        <color rgb="FF313134"/>
        <rFont val="Arial"/>
        <family val="2"/>
      </rPr>
      <t xml:space="preserve">Risiko terkait </t>
    </r>
    <r>
      <rPr>
        <sz val="8"/>
        <color rgb="FF444446"/>
        <rFont val="Arial"/>
        <family val="2"/>
      </rPr>
      <t xml:space="preserve">sosial </t>
    </r>
    <r>
      <rPr>
        <sz val="8"/>
        <color rgb="FF313134"/>
        <rFont val="Arial"/>
        <family val="2"/>
      </rPr>
      <t xml:space="preserve">dan </t>
    </r>
    <r>
      <rPr>
        <sz val="8"/>
        <color rgb="FF444446"/>
        <rFont val="Arial"/>
        <family val="2"/>
      </rPr>
      <t>lingkungan</t>
    </r>
  </si>
  <si>
    <r>
      <rPr>
        <sz val="8"/>
        <color rgb="FF313134"/>
        <rFont val="Arial"/>
        <family val="2"/>
      </rPr>
      <t xml:space="preserve">Potensi </t>
    </r>
    <r>
      <rPr>
        <sz val="8"/>
        <color rgb="FF444446"/>
        <rFont val="Arial"/>
        <family val="2"/>
      </rPr>
      <t xml:space="preserve">eksposur yang </t>
    </r>
    <r>
      <rPr>
        <sz val="8"/>
        <color rgb="FF313134"/>
        <rFont val="Arial"/>
        <family val="2"/>
      </rPr>
      <t xml:space="preserve">disebabkan </t>
    </r>
    <r>
      <rPr>
        <sz val="8"/>
        <color rgb="FF444446"/>
        <rFont val="Arial"/>
        <family val="2"/>
      </rPr>
      <t>oleh perist</t>
    </r>
    <r>
      <rPr>
        <sz val="8"/>
        <color rgb="FF18181C"/>
        <rFont val="Arial"/>
        <family val="2"/>
      </rPr>
      <t>i</t>
    </r>
    <r>
      <rPr>
        <sz val="8"/>
        <color rgb="FF444446"/>
        <rFont val="Arial"/>
        <family val="2"/>
      </rPr>
      <t xml:space="preserve">wa perubahan iklim </t>
    </r>
    <r>
      <rPr>
        <sz val="8"/>
        <color rgb="FF313134"/>
        <rFont val="Arial"/>
        <family val="2"/>
      </rPr>
      <t xml:space="preserve">fisik, </t>
    </r>
    <r>
      <rPr>
        <sz val="8"/>
        <color rgb="FF444446"/>
        <rFont val="Arial"/>
        <family val="2"/>
      </rPr>
      <t>dan</t>
    </r>
    <r>
      <rPr>
        <sz val="8"/>
        <color rgb="FF6B6B72"/>
        <rFont val="Arial"/>
        <family val="2"/>
      </rPr>
      <t>/</t>
    </r>
    <r>
      <rPr>
        <sz val="8"/>
        <color rgb="FF444446"/>
        <rFont val="Arial"/>
        <family val="2"/>
      </rPr>
      <t>atau R</t>
    </r>
    <r>
      <rPr>
        <sz val="8"/>
        <color rgb="FF18181C"/>
        <rFont val="Arial"/>
        <family val="2"/>
      </rPr>
      <t>i</t>
    </r>
    <r>
      <rPr>
        <sz val="8"/>
        <color rgb="FF444446"/>
        <rFont val="Arial"/>
        <family val="2"/>
      </rPr>
      <t xml:space="preserve">siko transisi </t>
    </r>
    <r>
      <rPr>
        <sz val="8"/>
        <color rgb="FF313134"/>
        <rFont val="Arial"/>
        <family val="2"/>
      </rPr>
      <t xml:space="preserve">terkait  perubahan  </t>
    </r>
    <r>
      <rPr>
        <sz val="8"/>
        <color rgb="FF444446"/>
        <rFont val="Arial"/>
        <family val="2"/>
      </rPr>
      <t xml:space="preserve">kebijakan  </t>
    </r>
    <r>
      <rPr>
        <sz val="8"/>
        <color rgb="FF313134"/>
        <rFont val="Arial"/>
        <family val="2"/>
      </rPr>
      <t xml:space="preserve">lingkungan,  Risiko  </t>
    </r>
    <r>
      <rPr>
        <sz val="8"/>
        <color rgb="FF444446"/>
        <rFont val="Arial"/>
        <family val="2"/>
      </rPr>
      <t xml:space="preserve">terkait  hubungan  yang  tidak  baik  </t>
    </r>
    <r>
      <rPr>
        <sz val="8"/>
        <color rgb="FF313134"/>
        <rFont val="Arial"/>
        <family val="2"/>
      </rPr>
      <t xml:space="preserve">dengan
</t>
    </r>
    <r>
      <rPr>
        <sz val="8"/>
        <color rgb="FF444446"/>
        <rFont val="Arial"/>
        <family val="2"/>
      </rPr>
      <t xml:space="preserve">komunitas/masyarakat sekitar dan </t>
    </r>
    <r>
      <rPr>
        <i/>
        <sz val="8"/>
        <color rgb="FF444446"/>
        <rFont val="Arial"/>
        <family val="2"/>
      </rPr>
      <t>social engagement</t>
    </r>
  </si>
  <si>
    <r>
      <rPr>
        <sz val="8"/>
        <color rgb="FF313134"/>
        <rFont val="Arial"/>
        <family val="2"/>
      </rPr>
      <t xml:space="preserve">Risiko </t>
    </r>
    <r>
      <rPr>
        <sz val="8"/>
        <color rgb="FF18181C"/>
        <rFont val="Arial"/>
        <family val="2"/>
      </rPr>
      <t>t</t>
    </r>
    <r>
      <rPr>
        <sz val="8"/>
        <color rgb="FF444446"/>
        <rFont val="Arial"/>
        <family val="2"/>
      </rPr>
      <t>erka</t>
    </r>
    <r>
      <rPr>
        <sz val="8"/>
        <color rgb="FF18181C"/>
        <rFont val="Arial"/>
        <family val="2"/>
      </rPr>
      <t xml:space="preserve">it </t>
    </r>
    <r>
      <rPr>
        <sz val="8"/>
        <color rgb="FF444446"/>
        <rFont val="Arial"/>
        <family val="2"/>
      </rPr>
      <t>ope</t>
    </r>
    <r>
      <rPr>
        <sz val="8"/>
        <color rgb="FF18181C"/>
        <rFont val="Arial"/>
        <family val="2"/>
      </rPr>
      <t>rasion</t>
    </r>
    <r>
      <rPr>
        <sz val="8"/>
        <color rgb="FF444446"/>
        <rFont val="Arial"/>
        <family val="2"/>
      </rPr>
      <t>a</t>
    </r>
    <r>
      <rPr>
        <sz val="8"/>
        <color rgb="FF18181C"/>
        <rFont val="Arial"/>
        <family val="2"/>
      </rPr>
      <t>l</t>
    </r>
  </si>
  <si>
    <r>
      <rPr>
        <sz val="8"/>
        <color rgb="FF313134"/>
        <rFont val="Arial"/>
        <family val="2"/>
      </rPr>
      <t xml:space="preserve">Potensi </t>
    </r>
    <r>
      <rPr>
        <sz val="8"/>
        <color rgb="FF444446"/>
        <rFont val="Arial"/>
        <family val="2"/>
      </rPr>
      <t xml:space="preserve">kerugian yang </t>
    </r>
    <r>
      <rPr>
        <sz val="8"/>
        <color rgb="FF313134"/>
        <rFont val="Arial"/>
        <family val="2"/>
      </rPr>
      <t xml:space="preserve">disebabkan oleh proses </t>
    </r>
    <r>
      <rPr>
        <sz val="8"/>
        <color rgb="FF18181C"/>
        <rFont val="Arial"/>
        <family val="2"/>
      </rPr>
      <t>i</t>
    </r>
    <r>
      <rPr>
        <sz val="8"/>
        <color rgb="FF444446"/>
        <rFont val="Arial"/>
        <family val="2"/>
      </rPr>
      <t>nterna</t>
    </r>
    <r>
      <rPr>
        <sz val="8"/>
        <color rgb="FF18181C"/>
        <rFont val="Arial"/>
        <family val="2"/>
      </rPr>
      <t>l</t>
    </r>
    <r>
      <rPr>
        <sz val="8"/>
        <color rgb="FF444446"/>
        <rFont val="Arial"/>
        <family val="2"/>
      </rPr>
      <t xml:space="preserve">, </t>
    </r>
    <r>
      <rPr>
        <sz val="8"/>
        <color rgb="FF313134"/>
        <rFont val="Arial"/>
        <family val="2"/>
      </rPr>
      <t>kegagalan sistem, kece</t>
    </r>
    <r>
      <rPr>
        <sz val="8"/>
        <color rgb="FF030303"/>
        <rFont val="Arial"/>
        <family val="2"/>
      </rPr>
      <t>l</t>
    </r>
    <r>
      <rPr>
        <sz val="8"/>
        <color rgb="FF444446"/>
        <rFont val="Arial"/>
        <family val="2"/>
      </rPr>
      <t xml:space="preserve">akaan </t>
    </r>
    <r>
      <rPr>
        <sz val="8"/>
        <color rgb="FF313134"/>
        <rFont val="Arial"/>
        <family val="2"/>
      </rPr>
      <t>dalam kesehatan kese</t>
    </r>
    <r>
      <rPr>
        <sz val="8"/>
        <color rgb="FF030303"/>
        <rFont val="Arial"/>
        <family val="2"/>
      </rPr>
      <t>l</t>
    </r>
    <r>
      <rPr>
        <sz val="8"/>
        <color rgb="FF444446"/>
        <rFont val="Arial"/>
        <family val="2"/>
      </rPr>
      <t>amata</t>
    </r>
    <r>
      <rPr>
        <sz val="8"/>
        <color rgb="FF18181C"/>
        <rFont val="Arial"/>
        <family val="2"/>
      </rPr>
      <t xml:space="preserve">n </t>
    </r>
    <r>
      <rPr>
        <sz val="8"/>
        <color rgb="FF313134"/>
        <rFont val="Arial"/>
        <family val="2"/>
      </rPr>
      <t xml:space="preserve">kerja, </t>
    </r>
    <r>
      <rPr>
        <sz val="8"/>
        <color rgb="FF444446"/>
        <rFont val="Arial"/>
        <family val="2"/>
      </rPr>
      <t>kesa</t>
    </r>
    <r>
      <rPr>
        <sz val="8"/>
        <color rgb="FF030303"/>
        <rFont val="Arial"/>
        <family val="2"/>
      </rPr>
      <t>l</t>
    </r>
    <r>
      <rPr>
        <sz val="8"/>
        <color rgb="FF444446"/>
        <rFont val="Arial"/>
        <family val="2"/>
      </rPr>
      <t xml:space="preserve">ahan </t>
    </r>
    <r>
      <rPr>
        <sz val="8"/>
        <color rgb="FF313134"/>
        <rFont val="Arial"/>
        <family val="2"/>
      </rPr>
      <t>manusia, atau kejadian eksterna</t>
    </r>
    <r>
      <rPr>
        <sz val="8"/>
        <color rgb="FF030303"/>
        <rFont val="Arial"/>
        <family val="2"/>
      </rPr>
      <t xml:space="preserve">l </t>
    </r>
    <r>
      <rPr>
        <sz val="8"/>
        <color rgb="FF444446"/>
        <rFont val="Arial"/>
        <family val="2"/>
      </rPr>
      <t xml:space="preserve">(seperti </t>
    </r>
    <r>
      <rPr>
        <sz val="8"/>
        <color rgb="FF313134"/>
        <rFont val="Arial"/>
        <family val="2"/>
      </rPr>
      <t xml:space="preserve">gangguan
</t>
    </r>
    <r>
      <rPr>
        <sz val="8"/>
        <color rgb="FF313134"/>
        <rFont val="Arial"/>
        <family val="2"/>
      </rPr>
      <t xml:space="preserve">rantai </t>
    </r>
    <r>
      <rPr>
        <sz val="8"/>
        <color rgb="FF444446"/>
        <rFont val="Arial"/>
        <family val="2"/>
      </rPr>
      <t xml:space="preserve">pasok, </t>
    </r>
    <r>
      <rPr>
        <sz val="8"/>
        <color rgb="FF313134"/>
        <rFont val="Arial"/>
        <family val="2"/>
      </rPr>
      <t xml:space="preserve">logistik, dan </t>
    </r>
    <r>
      <rPr>
        <sz val="8"/>
        <color rgb="FF18181C"/>
        <rFont val="Arial"/>
        <family val="2"/>
      </rPr>
      <t>la</t>
    </r>
    <r>
      <rPr>
        <sz val="8"/>
        <color rgb="FF444446"/>
        <rFont val="Arial"/>
        <family val="2"/>
      </rPr>
      <t xml:space="preserve">in sebagainya) </t>
    </r>
    <r>
      <rPr>
        <sz val="8"/>
        <color rgb="FF313134"/>
        <rFont val="Arial"/>
        <family val="2"/>
      </rPr>
      <t xml:space="preserve">yang mempengaruhi </t>
    </r>
    <r>
      <rPr>
        <sz val="8"/>
        <color rgb="FF444446"/>
        <rFont val="Arial"/>
        <family val="2"/>
      </rPr>
      <t>ope</t>
    </r>
    <r>
      <rPr>
        <sz val="8"/>
        <color rgb="FF18181C"/>
        <rFont val="Arial"/>
        <family val="2"/>
      </rPr>
      <t xml:space="preserve">rasi </t>
    </r>
    <r>
      <rPr>
        <sz val="8"/>
        <color rgb="FF313134"/>
        <rFont val="Arial"/>
        <family val="2"/>
      </rPr>
      <t xml:space="preserve">bisnis </t>
    </r>
    <r>
      <rPr>
        <sz val="8"/>
        <color rgb="FF444446"/>
        <rFont val="Arial"/>
        <family val="2"/>
      </rPr>
      <t>seha</t>
    </r>
    <r>
      <rPr>
        <sz val="8"/>
        <color rgb="FF18181C"/>
        <rFont val="Arial"/>
        <family val="2"/>
      </rPr>
      <t>r</t>
    </r>
    <r>
      <rPr>
        <sz val="8"/>
        <color rgb="FF444446"/>
        <rFont val="Arial"/>
        <family val="2"/>
      </rPr>
      <t>i-ha</t>
    </r>
    <r>
      <rPr>
        <sz val="8"/>
        <color rgb="FF18181C"/>
        <rFont val="Arial"/>
        <family val="2"/>
      </rPr>
      <t>ri</t>
    </r>
  </si>
  <si>
    <r>
      <rPr>
        <b/>
        <sz val="10"/>
        <color rgb="FF18181C"/>
        <rFont val="Arial"/>
        <family val="2"/>
      </rPr>
      <t xml:space="preserve">TAKSONOMI RISIKO PLN TINGKAT </t>
    </r>
    <r>
      <rPr>
        <b/>
        <sz val="10"/>
        <color rgb="FF2A2A2D"/>
        <rFont val="Arial"/>
        <family val="2"/>
      </rPr>
      <t xml:space="preserve">4 </t>
    </r>
    <r>
      <rPr>
        <b/>
        <sz val="10"/>
        <color rgb="FF18181C"/>
        <rFont val="Arial"/>
        <family val="2"/>
      </rPr>
      <t>(T4}</t>
    </r>
  </si>
  <si>
    <r>
      <rPr>
        <b/>
        <sz val="10"/>
        <color rgb="FF18181C"/>
        <rFont val="Arial"/>
        <family val="2"/>
      </rPr>
      <t>No</t>
    </r>
  </si>
  <si>
    <r>
      <rPr>
        <b/>
        <sz val="10"/>
        <color rgb="FF18181C"/>
        <rFont val="Arial"/>
        <family val="2"/>
      </rPr>
      <t>Sub Kelompok Peristiwa Risiko (T4)</t>
    </r>
  </si>
  <si>
    <r>
      <rPr>
        <b/>
        <sz val="10"/>
        <color rgb="FF18181C"/>
        <rFont val="Arial"/>
        <family val="2"/>
      </rPr>
      <t>Pengertian</t>
    </r>
  </si>
  <si>
    <r>
      <rPr>
        <b/>
        <sz val="10"/>
        <color rgb="FF18181C"/>
        <rFont val="Arial"/>
        <family val="2"/>
      </rPr>
      <t>Contoh Peristiwa Risiko</t>
    </r>
  </si>
  <si>
    <r>
      <rPr>
        <sz val="10"/>
        <color rgb="FF413F44"/>
        <rFont val="Arial"/>
        <family val="2"/>
      </rPr>
      <t>Risiko pembaya</t>
    </r>
    <r>
      <rPr>
        <sz val="10"/>
        <color rgb="FF18181C"/>
        <rFont val="Arial"/>
        <family val="2"/>
      </rPr>
      <t>r</t>
    </r>
    <r>
      <rPr>
        <sz val="10"/>
        <color rgb="FF413F44"/>
        <rFont val="Arial"/>
        <family val="2"/>
      </rPr>
      <t>an divid</t>
    </r>
    <r>
      <rPr>
        <sz val="10"/>
        <color rgb="FF646469"/>
        <rFont val="Arial"/>
        <family val="2"/>
      </rPr>
      <t>e</t>
    </r>
    <r>
      <rPr>
        <sz val="10"/>
        <color rgb="FF2A2A2D"/>
        <rFont val="Arial"/>
        <family val="2"/>
      </rPr>
      <t>n</t>
    </r>
  </si>
  <si>
    <r>
      <rPr>
        <sz val="10"/>
        <color rgb="FF2A2A2D"/>
        <rFont val="Arial"/>
        <family val="2"/>
      </rPr>
      <t xml:space="preserve">Risiko     </t>
    </r>
    <r>
      <rPr>
        <sz val="10"/>
        <color rgb="FF413F44"/>
        <rFont val="Arial"/>
        <family val="2"/>
      </rPr>
      <t xml:space="preserve">terkait     ketidakmampuan    Perusahaan     </t>
    </r>
    <r>
      <rPr>
        <sz val="10"/>
        <color rgb="FF2A2A2D"/>
        <rFont val="Arial"/>
        <family val="2"/>
      </rPr>
      <t xml:space="preserve">untuk </t>
    </r>
    <r>
      <rPr>
        <sz val="10"/>
        <color rgb="FF413F44"/>
        <rFont val="Arial"/>
        <family val="2"/>
      </rPr>
      <t>membayarkan   div</t>
    </r>
    <r>
      <rPr>
        <sz val="10"/>
        <color rgb="FF18181C"/>
        <rFont val="Arial"/>
        <family val="2"/>
      </rPr>
      <t>i</t>
    </r>
    <r>
      <rPr>
        <sz val="10"/>
        <color rgb="FF413F44"/>
        <rFont val="Arial"/>
        <family val="2"/>
      </rPr>
      <t>den   yang   disebabkan   oleh   kondisi keuangan  yang  tidak  stabil  mengakibatkan  kehi</t>
    </r>
    <r>
      <rPr>
        <sz val="10"/>
        <color rgb="FF18181C"/>
        <rFont val="Arial"/>
        <family val="2"/>
      </rPr>
      <t>l</t>
    </r>
    <r>
      <rPr>
        <sz val="10"/>
        <color rgb="FF413F44"/>
        <rFont val="Arial"/>
        <family val="2"/>
      </rPr>
      <t xml:space="preserve">angkan potensi </t>
    </r>
    <r>
      <rPr>
        <sz val="10"/>
        <color rgb="FF18181C"/>
        <rFont val="Arial"/>
        <family val="2"/>
      </rPr>
      <t>in</t>
    </r>
    <r>
      <rPr>
        <sz val="10"/>
        <color rgb="FF413F44"/>
        <rFont val="Arial"/>
        <family val="2"/>
      </rPr>
      <t xml:space="preserve">vestasi </t>
    </r>
    <r>
      <rPr>
        <sz val="10"/>
        <color rgb="FF18181C"/>
        <rFont val="Arial"/>
        <family val="2"/>
      </rPr>
      <t>b</t>
    </r>
    <r>
      <rPr>
        <sz val="10"/>
        <color rgb="FF413F44"/>
        <rFont val="Arial"/>
        <family val="2"/>
      </rPr>
      <t>agi pe</t>
    </r>
    <r>
      <rPr>
        <sz val="10"/>
        <color rgb="FF18181C"/>
        <rFont val="Arial"/>
        <family val="2"/>
      </rPr>
      <t>m</t>
    </r>
    <r>
      <rPr>
        <sz val="10"/>
        <color rgb="FF413F44"/>
        <rFont val="Arial"/>
        <family val="2"/>
      </rPr>
      <t>egang sa</t>
    </r>
    <r>
      <rPr>
        <sz val="10"/>
        <color rgb="FF18181C"/>
        <rFont val="Arial"/>
        <family val="2"/>
      </rPr>
      <t>h</t>
    </r>
    <r>
      <rPr>
        <sz val="10"/>
        <color rgb="FF413F44"/>
        <rFont val="Arial"/>
        <family val="2"/>
      </rPr>
      <t>am</t>
    </r>
  </si>
  <si>
    <r>
      <rPr>
        <sz val="10"/>
        <color rgb="FF413F44"/>
        <rFont val="Arial"/>
        <family val="2"/>
      </rPr>
      <t>a.    Ket</t>
    </r>
    <r>
      <rPr>
        <sz val="10"/>
        <color rgb="FF18181C"/>
        <rFont val="Arial"/>
        <family val="2"/>
      </rPr>
      <t>i</t>
    </r>
    <r>
      <rPr>
        <sz val="10"/>
        <color rgb="FF413F44"/>
        <rFont val="Arial"/>
        <family val="2"/>
      </rPr>
      <t xml:space="preserve">dakmampuan         </t>
    </r>
    <r>
      <rPr>
        <sz val="10"/>
        <color rgb="FF2A2A2D"/>
        <rFont val="Arial"/>
        <family val="2"/>
      </rPr>
      <t xml:space="preserve">Perusahaan         </t>
    </r>
    <r>
      <rPr>
        <sz val="10"/>
        <color rgb="FF413F44"/>
        <rFont val="Arial"/>
        <family val="2"/>
      </rPr>
      <t>untuk membayarkan dividen</t>
    </r>
    <r>
      <rPr>
        <sz val="10"/>
        <color rgb="FF75757B"/>
        <rFont val="Arial"/>
        <family val="2"/>
      </rPr>
      <t xml:space="preserve">;
</t>
    </r>
    <r>
      <rPr>
        <sz val="10"/>
        <color rgb="FF413F44"/>
        <rFont val="Arial"/>
        <family val="2"/>
      </rPr>
      <t xml:space="preserve">b.    Penghentian   pembayaran   </t>
    </r>
    <r>
      <rPr>
        <vertAlign val="superscript"/>
        <sz val="10"/>
        <color rgb="FF413F44"/>
        <rFont val="Arial"/>
        <family val="2"/>
      </rPr>
      <t xml:space="preserve">dividen   </t>
    </r>
    <r>
      <rPr>
        <sz val="10"/>
        <color rgb="FF413F44"/>
        <rFont val="Arial"/>
        <family val="2"/>
      </rPr>
      <t xml:space="preserve">kepada pemegang saham;
C.      </t>
    </r>
    <r>
      <rPr>
        <sz val="10"/>
        <color rgb="FF2A2A2D"/>
        <rFont val="Arial"/>
        <family val="2"/>
      </rPr>
      <t xml:space="preserve">{dapat ditambahkan </t>
    </r>
    <r>
      <rPr>
        <sz val="10"/>
        <color rgb="FF413F44"/>
        <rFont val="Arial"/>
        <family val="2"/>
      </rPr>
      <t>sesua</t>
    </r>
    <r>
      <rPr>
        <sz val="10"/>
        <color rgb="FF18181C"/>
        <rFont val="Arial"/>
        <family val="2"/>
      </rPr>
      <t xml:space="preserve">i </t>
    </r>
    <r>
      <rPr>
        <sz val="10"/>
        <color rgb="FF413F44"/>
        <rFont val="Arial"/>
        <family val="2"/>
      </rPr>
      <t>konteks per</t>
    </r>
    <r>
      <rPr>
        <sz val="10"/>
        <color rgb="FF18181C"/>
        <rFont val="Arial"/>
        <family val="2"/>
      </rPr>
      <t>i</t>
    </r>
    <r>
      <rPr>
        <sz val="10"/>
        <color rgb="FF413F44"/>
        <rFont val="Arial"/>
        <family val="2"/>
      </rPr>
      <t>s</t>
    </r>
    <r>
      <rPr>
        <sz val="10"/>
        <color rgb="FF18181C"/>
        <rFont val="Arial"/>
        <family val="2"/>
      </rPr>
      <t>ti</t>
    </r>
    <r>
      <rPr>
        <sz val="10"/>
        <color rgb="FF413F44"/>
        <rFont val="Arial"/>
        <family val="2"/>
      </rPr>
      <t xml:space="preserve">wa </t>
    </r>
    <r>
      <rPr>
        <sz val="10"/>
        <color rgb="FF18181C"/>
        <rFont val="Arial"/>
        <family val="2"/>
      </rPr>
      <t>r</t>
    </r>
    <r>
      <rPr>
        <sz val="10"/>
        <color rgb="FF413F44"/>
        <rFont val="Arial"/>
        <family val="2"/>
      </rPr>
      <t>is</t>
    </r>
    <r>
      <rPr>
        <sz val="10"/>
        <color rgb="FF18181C"/>
        <rFont val="Arial"/>
        <family val="2"/>
      </rPr>
      <t>i</t>
    </r>
    <r>
      <rPr>
        <sz val="10"/>
        <color rgb="FF413F44"/>
        <rFont val="Arial"/>
        <family val="2"/>
      </rPr>
      <t>ko pada satuan ke</t>
    </r>
    <r>
      <rPr>
        <sz val="10"/>
        <color rgb="FF18181C"/>
        <rFont val="Arial"/>
        <family val="2"/>
      </rPr>
      <t>ri</t>
    </r>
    <r>
      <rPr>
        <sz val="10"/>
        <color rgb="FF413F44"/>
        <rFont val="Arial"/>
        <family val="2"/>
      </rPr>
      <t>a mas</t>
    </r>
    <r>
      <rPr>
        <sz val="10"/>
        <color rgb="FF18181C"/>
        <rFont val="Arial"/>
        <family val="2"/>
      </rPr>
      <t>in</t>
    </r>
    <r>
      <rPr>
        <sz val="10"/>
        <color rgb="FF413F44"/>
        <rFont val="Arial"/>
        <family val="2"/>
      </rPr>
      <t>q</t>
    </r>
    <r>
      <rPr>
        <sz val="10"/>
        <color rgb="FF18181C"/>
        <rFont val="Arial"/>
        <family val="2"/>
      </rPr>
      <t>-m</t>
    </r>
    <r>
      <rPr>
        <sz val="10"/>
        <color rgb="FF413F44"/>
        <rFont val="Arial"/>
        <family val="2"/>
      </rPr>
      <t>as</t>
    </r>
    <r>
      <rPr>
        <sz val="10"/>
        <color rgb="FF18181C"/>
        <rFont val="Arial"/>
        <family val="2"/>
      </rPr>
      <t>in</t>
    </r>
    <r>
      <rPr>
        <sz val="10"/>
        <color rgb="FF413F44"/>
        <rFont val="Arial"/>
        <family val="2"/>
      </rPr>
      <t>q)</t>
    </r>
  </si>
  <si>
    <r>
      <rPr>
        <sz val="10"/>
        <color rgb="FF413F44"/>
        <rFont val="Arial"/>
        <family val="2"/>
      </rPr>
      <t>Risiko penerimaan PMN</t>
    </r>
  </si>
  <si>
    <r>
      <rPr>
        <sz val="10"/>
        <color rgb="FF413F44"/>
        <rFont val="Arial"/>
        <family val="2"/>
      </rPr>
      <t xml:space="preserve">Risiko    </t>
    </r>
    <r>
      <rPr>
        <sz val="10"/>
        <color rgb="FF2A2A2D"/>
        <rFont val="Arial"/>
        <family val="2"/>
      </rPr>
      <t xml:space="preserve">terkait    </t>
    </r>
    <r>
      <rPr>
        <sz val="10"/>
        <color rgb="FF413F44"/>
        <rFont val="Arial"/>
        <family val="2"/>
      </rPr>
      <t xml:space="preserve">penurunan    alokasi    </t>
    </r>
    <r>
      <rPr>
        <sz val="10"/>
        <color rgb="FF18181C"/>
        <rFont val="Arial"/>
        <family val="2"/>
      </rPr>
      <t xml:space="preserve">PMN    </t>
    </r>
    <r>
      <rPr>
        <sz val="10"/>
        <color rgb="FF413F44"/>
        <rFont val="Arial"/>
        <family val="2"/>
      </rPr>
      <t>a</t>
    </r>
    <r>
      <rPr>
        <sz val="10"/>
        <color rgb="FF18181C"/>
        <rFont val="Arial"/>
        <family val="2"/>
      </rPr>
      <t>t</t>
    </r>
    <r>
      <rPr>
        <sz val="10"/>
        <color rgb="FF413F44"/>
        <rFont val="Arial"/>
        <family val="2"/>
      </rPr>
      <t xml:space="preserve">au    </t>
    </r>
    <r>
      <rPr>
        <sz val="10"/>
        <color rgb="FF2A2A2D"/>
        <rFont val="Arial"/>
        <family val="2"/>
      </rPr>
      <t xml:space="preserve">risiko </t>
    </r>
    <r>
      <rPr>
        <sz val="10"/>
        <color rgb="FF413F44"/>
        <rFont val="Arial"/>
        <family val="2"/>
      </rPr>
      <t xml:space="preserve">penolakan    </t>
    </r>
    <r>
      <rPr>
        <sz val="10"/>
        <color rgb="FF2A2A2D"/>
        <rFont val="Arial"/>
        <family val="2"/>
      </rPr>
      <t xml:space="preserve">usulan    </t>
    </r>
    <r>
      <rPr>
        <sz val="10"/>
        <color rgb="FF413F44"/>
        <rFont val="Arial"/>
        <family val="2"/>
      </rPr>
      <t>penambahan    dana    PMN     yang disebabkan</t>
    </r>
    <r>
      <rPr>
        <sz val="10"/>
        <color rgb="FF75757B"/>
        <rFont val="Arial"/>
        <family val="2"/>
      </rPr>
      <t xml:space="preserve">, </t>
    </r>
    <r>
      <rPr>
        <sz val="10"/>
        <color rgb="FF413F44"/>
        <rFont val="Arial"/>
        <family val="2"/>
      </rPr>
      <t>dia</t>
    </r>
    <r>
      <rPr>
        <sz val="10"/>
        <color rgb="FF18181C"/>
        <rFont val="Arial"/>
        <family val="2"/>
      </rPr>
      <t>n</t>
    </r>
    <r>
      <rPr>
        <sz val="10"/>
        <color rgb="FF413F44"/>
        <rFont val="Arial"/>
        <family val="2"/>
      </rPr>
      <t>taranya</t>
    </r>
    <r>
      <rPr>
        <sz val="10"/>
        <color rgb="FF646469"/>
        <rFont val="Arial"/>
        <family val="2"/>
      </rPr>
      <t xml:space="preserve">, </t>
    </r>
    <r>
      <rPr>
        <sz val="10"/>
        <color rgb="FF2A2A2D"/>
        <rFont val="Arial"/>
        <family val="2"/>
      </rPr>
      <t xml:space="preserve">kebijakan </t>
    </r>
    <r>
      <rPr>
        <sz val="10"/>
        <color rgb="FF413F44"/>
        <rFont val="Arial"/>
        <family val="2"/>
      </rPr>
      <t>fiska</t>
    </r>
    <r>
      <rPr>
        <sz val="10"/>
        <color rgb="FF18181C"/>
        <rFont val="Arial"/>
        <family val="2"/>
      </rPr>
      <t xml:space="preserve">l </t>
    </r>
    <r>
      <rPr>
        <sz val="10"/>
        <color rgb="FF413F44"/>
        <rFont val="Arial"/>
        <family val="2"/>
      </rPr>
      <t>yang lebih ketat
atau perubaha</t>
    </r>
    <r>
      <rPr>
        <sz val="10"/>
        <color rgb="FF18181C"/>
        <rFont val="Arial"/>
        <family val="2"/>
      </rPr>
      <t xml:space="preserve">n </t>
    </r>
    <r>
      <rPr>
        <sz val="10"/>
        <color rgb="FF413F44"/>
        <rFont val="Arial"/>
        <family val="2"/>
      </rPr>
      <t>pr</t>
    </r>
    <r>
      <rPr>
        <sz val="10"/>
        <color rgb="FF18181C"/>
        <rFont val="Arial"/>
        <family val="2"/>
      </rPr>
      <t>i</t>
    </r>
    <r>
      <rPr>
        <sz val="10"/>
        <color rgb="FF413F44"/>
        <rFont val="Arial"/>
        <family val="2"/>
      </rPr>
      <t xml:space="preserve">oritas </t>
    </r>
    <r>
      <rPr>
        <sz val="10"/>
        <color rgb="FF646469"/>
        <rFont val="Arial"/>
        <family val="2"/>
      </rPr>
      <t>i</t>
    </r>
    <r>
      <rPr>
        <sz val="10"/>
        <color rgb="FF413F44"/>
        <rFont val="Arial"/>
        <family val="2"/>
      </rPr>
      <t xml:space="preserve">nvestasi </t>
    </r>
    <r>
      <rPr>
        <sz val="10"/>
        <color rgb="FF2A2A2D"/>
        <rFont val="Arial"/>
        <family val="2"/>
      </rPr>
      <t>Pemerintah</t>
    </r>
  </si>
  <si>
    <r>
      <rPr>
        <sz val="10"/>
        <color rgb="FF413F44"/>
        <rFont val="Arial"/>
        <family val="2"/>
      </rPr>
      <t>a.    Ke</t>
    </r>
    <r>
      <rPr>
        <sz val="10"/>
        <color rgb="FF18181C"/>
        <rFont val="Arial"/>
        <family val="2"/>
      </rPr>
      <t>t</t>
    </r>
    <r>
      <rPr>
        <sz val="10"/>
        <color rgb="FF413F44"/>
        <rFont val="Arial"/>
        <family val="2"/>
      </rPr>
      <t>er</t>
    </r>
    <r>
      <rPr>
        <sz val="10"/>
        <color rgb="FF18181C"/>
        <rFont val="Arial"/>
        <family val="2"/>
      </rPr>
      <t>l</t>
    </r>
    <r>
      <rPr>
        <sz val="10"/>
        <color rgb="FF413F44"/>
        <rFont val="Arial"/>
        <family val="2"/>
      </rPr>
      <t>ambatan pener</t>
    </r>
    <r>
      <rPr>
        <sz val="10"/>
        <color rgb="FF18181C"/>
        <rFont val="Arial"/>
        <family val="2"/>
      </rPr>
      <t>i</t>
    </r>
    <r>
      <rPr>
        <sz val="10"/>
        <color rgb="FF413F44"/>
        <rFont val="Arial"/>
        <family val="2"/>
      </rPr>
      <t xml:space="preserve">maan PMN
b.    </t>
    </r>
    <r>
      <rPr>
        <sz val="10"/>
        <color rgb="FF2A2A2D"/>
        <rFont val="Arial"/>
        <family val="2"/>
      </rPr>
      <t xml:space="preserve">Tidak </t>
    </r>
    <r>
      <rPr>
        <sz val="10"/>
        <color rgb="FF413F44"/>
        <rFont val="Arial"/>
        <family val="2"/>
      </rPr>
      <t>disetu</t>
    </r>
    <r>
      <rPr>
        <sz val="10"/>
        <color rgb="FF18181C"/>
        <rFont val="Arial"/>
        <family val="2"/>
      </rPr>
      <t>j</t>
    </r>
    <r>
      <rPr>
        <sz val="10"/>
        <color rgb="FF413F44"/>
        <rFont val="Arial"/>
        <family val="2"/>
      </rPr>
      <t xml:space="preserve">uinya usulan PMN
C.     </t>
    </r>
    <r>
      <rPr>
        <vertAlign val="superscript"/>
        <sz val="10"/>
        <color rgb="FF413F44"/>
        <rFont val="Arial"/>
        <family val="2"/>
      </rPr>
      <t>(dapat ditambahkan sesua</t>
    </r>
    <r>
      <rPr>
        <vertAlign val="superscript"/>
        <sz val="10"/>
        <color rgb="FF646469"/>
        <rFont val="Arial"/>
        <family val="2"/>
      </rPr>
      <t xml:space="preserve">i </t>
    </r>
    <r>
      <rPr>
        <vertAlign val="superscript"/>
        <sz val="10"/>
        <color rgb="FF413F44"/>
        <rFont val="Arial"/>
        <family val="2"/>
      </rPr>
      <t>kon</t>
    </r>
    <r>
      <rPr>
        <vertAlign val="superscript"/>
        <sz val="10"/>
        <color rgb="FF18181C"/>
        <rFont val="Arial"/>
        <family val="2"/>
      </rPr>
      <t>t</t>
    </r>
    <r>
      <rPr>
        <vertAlign val="superscript"/>
        <sz val="10"/>
        <color rgb="FF413F44"/>
        <rFont val="Arial"/>
        <family val="2"/>
      </rPr>
      <t xml:space="preserve">eks perisliwa </t>
    </r>
    <r>
      <rPr>
        <sz val="10"/>
        <color rgb="FF2A2A2D"/>
        <rFont val="Arial"/>
        <family val="2"/>
      </rPr>
      <t xml:space="preserve">risiko </t>
    </r>
    <r>
      <rPr>
        <sz val="10"/>
        <color rgb="FF413F44"/>
        <rFont val="Arial"/>
        <family val="2"/>
      </rPr>
      <t>pada satuan kerja masing</t>
    </r>
    <r>
      <rPr>
        <sz val="10"/>
        <color rgb="FF18181C"/>
        <rFont val="Arial"/>
        <family val="2"/>
      </rPr>
      <t>-</t>
    </r>
    <r>
      <rPr>
        <sz val="10"/>
        <color rgb="FF413F44"/>
        <rFont val="Arial"/>
        <family val="2"/>
      </rPr>
      <t>masing)</t>
    </r>
  </si>
  <si>
    <r>
      <rPr>
        <sz val="10"/>
        <color rgb="FF2A2A2D"/>
        <rFont val="Arial"/>
        <family val="2"/>
      </rPr>
      <t>Risiko penggunaan PMN</t>
    </r>
  </si>
  <si>
    <r>
      <rPr>
        <sz val="10"/>
        <color rgb="FF2A2A2D"/>
        <rFont val="Arial"/>
        <family val="2"/>
      </rPr>
      <t xml:space="preserve">Risiko terkait inefisiensi </t>
    </r>
    <r>
      <rPr>
        <sz val="10"/>
        <color rgb="FF413F44"/>
        <rFont val="Arial"/>
        <family val="2"/>
      </rPr>
      <t>penge</t>
    </r>
    <r>
      <rPr>
        <sz val="10"/>
        <color rgb="FF18181C"/>
        <rFont val="Arial"/>
        <family val="2"/>
      </rPr>
      <t>l</t>
    </r>
    <r>
      <rPr>
        <sz val="10"/>
        <color rgb="FF413F44"/>
        <rFont val="Arial"/>
        <family val="2"/>
      </rPr>
      <t>olaan dana PM</t>
    </r>
    <r>
      <rPr>
        <sz val="10"/>
        <color rgb="FF18181C"/>
        <rFont val="Arial"/>
        <family val="2"/>
      </rPr>
      <t xml:space="preserve">N </t>
    </r>
    <r>
      <rPr>
        <sz val="10"/>
        <color rgb="FF413F44"/>
        <rFont val="Arial"/>
        <family val="2"/>
      </rPr>
      <t>a</t>
    </r>
    <r>
      <rPr>
        <sz val="10"/>
        <color rgb="FF18181C"/>
        <rFont val="Arial"/>
        <family val="2"/>
      </rPr>
      <t xml:space="preserve">tau </t>
    </r>
    <r>
      <rPr>
        <sz val="10"/>
        <color rgb="FF2A2A2D"/>
        <rFont val="Arial"/>
        <family val="2"/>
      </rPr>
      <t xml:space="preserve">risiko </t>
    </r>
    <r>
      <rPr>
        <sz val="10"/>
        <color rgb="FF413F44"/>
        <rFont val="Arial"/>
        <family val="2"/>
      </rPr>
      <t>kegaga</t>
    </r>
    <r>
      <rPr>
        <sz val="10"/>
        <color rgb="FF18181C"/>
        <rFont val="Arial"/>
        <family val="2"/>
      </rPr>
      <t>l</t>
    </r>
    <r>
      <rPr>
        <sz val="10"/>
        <color rgb="FF413F44"/>
        <rFont val="Arial"/>
        <family val="2"/>
      </rPr>
      <t xml:space="preserve">an  </t>
    </r>
    <r>
      <rPr>
        <sz val="10"/>
        <color rgb="FF18181C"/>
        <rFont val="Arial"/>
        <family val="2"/>
      </rPr>
      <t>im</t>
    </r>
    <r>
      <rPr>
        <sz val="10"/>
        <color rgb="FF413F44"/>
        <rFont val="Arial"/>
        <family val="2"/>
      </rPr>
      <t>p</t>
    </r>
    <r>
      <rPr>
        <sz val="10"/>
        <color rgb="FF18181C"/>
        <rFont val="Arial"/>
        <family val="2"/>
      </rPr>
      <t>l</t>
    </r>
    <r>
      <rPr>
        <sz val="10"/>
        <color rgb="FF413F44"/>
        <rFont val="Arial"/>
        <family val="2"/>
      </rPr>
      <t xml:space="preserve">ementasi  proyek  </t>
    </r>
    <r>
      <rPr>
        <sz val="10"/>
        <color rgb="FF2A2A2D"/>
        <rFont val="Arial"/>
        <family val="2"/>
      </rPr>
      <t xml:space="preserve">PMN  </t>
    </r>
    <r>
      <rPr>
        <sz val="10"/>
        <color rgb="FF413F44"/>
        <rFont val="Arial"/>
        <family val="2"/>
      </rPr>
      <t>yang  d</t>
    </r>
    <r>
      <rPr>
        <sz val="10"/>
        <color rgb="FF18181C"/>
        <rFont val="Arial"/>
        <family val="2"/>
      </rPr>
      <t>i</t>
    </r>
    <r>
      <rPr>
        <sz val="10"/>
        <color rgb="FF413F44"/>
        <rFont val="Arial"/>
        <family val="2"/>
      </rPr>
      <t>sebabkan</t>
    </r>
    <r>
      <rPr>
        <sz val="10"/>
        <color rgb="FF646469"/>
        <rFont val="Arial"/>
        <family val="2"/>
      </rPr>
      <t xml:space="preserve">, </t>
    </r>
    <r>
      <rPr>
        <vertAlign val="superscript"/>
        <sz val="10"/>
        <color rgb="FF2A2A2D"/>
        <rFont val="Arial"/>
        <family val="2"/>
      </rPr>
      <t>diantaranya</t>
    </r>
    <r>
      <rPr>
        <vertAlign val="superscript"/>
        <sz val="10"/>
        <color rgb="FF75757B"/>
        <rFont val="Arial"/>
        <family val="2"/>
      </rPr>
      <t xml:space="preserve">,   </t>
    </r>
    <r>
      <rPr>
        <sz val="10"/>
        <color rgb="FF413F44"/>
        <rFont val="Arial"/>
        <family val="2"/>
      </rPr>
      <t>k</t>
    </r>
    <r>
      <rPr>
        <sz val="10"/>
        <color rgb="FF18181C"/>
        <rFont val="Arial"/>
        <family val="2"/>
      </rPr>
      <t>ur</t>
    </r>
    <r>
      <rPr>
        <sz val="10"/>
        <color rgb="FF413F44"/>
        <rFont val="Arial"/>
        <family val="2"/>
      </rPr>
      <t>angnya   pengawasan   atau   kesa</t>
    </r>
    <r>
      <rPr>
        <sz val="10"/>
        <color rgb="FF18181C"/>
        <rFont val="Arial"/>
        <family val="2"/>
      </rPr>
      <t>l</t>
    </r>
    <r>
      <rPr>
        <sz val="10"/>
        <color rgb="FF413F44"/>
        <rFont val="Arial"/>
        <family val="2"/>
      </rPr>
      <t xml:space="preserve">ahan </t>
    </r>
    <r>
      <rPr>
        <sz val="10"/>
        <color rgb="FF2A2A2D"/>
        <rFont val="Arial"/>
        <family val="2"/>
      </rPr>
      <t xml:space="preserve">dalam </t>
    </r>
    <r>
      <rPr>
        <sz val="10"/>
        <color rgb="FF413F44"/>
        <rFont val="Arial"/>
        <family val="2"/>
      </rPr>
      <t>perencanaan proyek.</t>
    </r>
  </si>
  <si>
    <r>
      <rPr>
        <sz val="10"/>
        <color rgb="FF413F44"/>
        <rFont val="Arial"/>
        <family val="2"/>
      </rPr>
      <t>a</t>
    </r>
    <r>
      <rPr>
        <sz val="10"/>
        <color rgb="FF18181C"/>
        <rFont val="Arial"/>
        <family val="2"/>
      </rPr>
      <t xml:space="preserve">.    </t>
    </r>
    <r>
      <rPr>
        <sz val="10"/>
        <color rgb="FF413F44"/>
        <rFont val="Arial"/>
        <family val="2"/>
      </rPr>
      <t>K</t>
    </r>
    <r>
      <rPr>
        <sz val="10"/>
        <color rgb="FF18181C"/>
        <rFont val="Arial"/>
        <family val="2"/>
      </rPr>
      <t>ur</t>
    </r>
    <r>
      <rPr>
        <sz val="10"/>
        <color rgb="FF413F44"/>
        <rFont val="Arial"/>
        <family val="2"/>
      </rPr>
      <t>a</t>
    </r>
    <r>
      <rPr>
        <sz val="10"/>
        <color rgb="FF18181C"/>
        <rFont val="Arial"/>
        <family val="2"/>
      </rPr>
      <t>n</t>
    </r>
    <r>
      <rPr>
        <sz val="10"/>
        <color rgb="FF413F44"/>
        <rFont val="Arial"/>
        <family val="2"/>
      </rPr>
      <t>gnya  pe</t>
    </r>
    <r>
      <rPr>
        <sz val="10"/>
        <color rgb="FF18181C"/>
        <rFont val="Arial"/>
        <family val="2"/>
      </rPr>
      <t>n</t>
    </r>
    <r>
      <rPr>
        <sz val="10"/>
        <color rgb="FF413F44"/>
        <rFont val="Arial"/>
        <family val="2"/>
      </rPr>
      <t>gawasan  da</t>
    </r>
    <r>
      <rPr>
        <sz val="10"/>
        <color rgb="FF18181C"/>
        <rFont val="Arial"/>
        <family val="2"/>
      </rPr>
      <t xml:space="preserve">lam  </t>
    </r>
    <r>
      <rPr>
        <sz val="10"/>
        <color rgb="FF2A2A2D"/>
        <rFont val="Arial"/>
        <family val="2"/>
      </rPr>
      <t xml:space="preserve">pengambilan </t>
    </r>
    <r>
      <rPr>
        <sz val="10"/>
        <color rgb="FF413F44"/>
        <rFont val="Arial"/>
        <family val="2"/>
      </rPr>
      <t>kep</t>
    </r>
    <r>
      <rPr>
        <sz val="10"/>
        <color rgb="FF18181C"/>
        <rFont val="Arial"/>
        <family val="2"/>
      </rPr>
      <t>utu</t>
    </r>
    <r>
      <rPr>
        <sz val="10"/>
        <color rgb="FF413F44"/>
        <rFont val="Arial"/>
        <family val="2"/>
      </rPr>
      <t xml:space="preserve">san </t>
    </r>
    <r>
      <rPr>
        <sz val="10"/>
        <color rgb="FF2A2A2D"/>
        <rFont val="Arial"/>
        <family val="2"/>
      </rPr>
      <t xml:space="preserve">investasi
</t>
    </r>
    <r>
      <rPr>
        <sz val="10"/>
        <color rgb="FF413F44"/>
        <rFont val="Arial"/>
        <family val="2"/>
      </rPr>
      <t xml:space="preserve">b.    </t>
    </r>
    <r>
      <rPr>
        <vertAlign val="superscript"/>
        <sz val="10"/>
        <color rgb="FF413F44"/>
        <rFont val="Arial"/>
        <family val="2"/>
      </rPr>
      <t>Ket</t>
    </r>
    <r>
      <rPr>
        <vertAlign val="superscript"/>
        <sz val="10"/>
        <color rgb="FF18181C"/>
        <rFont val="Arial"/>
        <family val="2"/>
      </rPr>
      <t>i</t>
    </r>
    <r>
      <rPr>
        <vertAlign val="superscript"/>
        <sz val="10"/>
        <color rgb="FF413F44"/>
        <rFont val="Arial"/>
        <family val="2"/>
      </rPr>
      <t>dakcocokan a</t>
    </r>
    <r>
      <rPr>
        <vertAlign val="superscript"/>
        <sz val="10"/>
        <color rgb="FF18181C"/>
        <rFont val="Arial"/>
        <family val="2"/>
      </rPr>
      <t>l</t>
    </r>
    <r>
      <rPr>
        <vertAlign val="superscript"/>
        <sz val="10"/>
        <color rgb="FF413F44"/>
        <rFont val="Arial"/>
        <family val="2"/>
      </rPr>
      <t xml:space="preserve">okasi dana dengan prioritas
</t>
    </r>
    <r>
      <rPr>
        <sz val="10"/>
        <color rgb="FF2A2A2D"/>
        <rFont val="Arial"/>
        <family val="2"/>
      </rPr>
      <t xml:space="preserve">Pemerintah
</t>
    </r>
    <r>
      <rPr>
        <sz val="10"/>
        <color rgb="FF413F44"/>
        <rFont val="Arial"/>
        <family val="2"/>
      </rPr>
      <t xml:space="preserve">C.     (dapat ditambahkan sesuai konteks peristiwa </t>
    </r>
    <r>
      <rPr>
        <sz val="10"/>
        <color rgb="FF18181C"/>
        <rFont val="Arial"/>
        <family val="2"/>
      </rPr>
      <t>r</t>
    </r>
    <r>
      <rPr>
        <sz val="10"/>
        <color rgb="FF413F44"/>
        <rFont val="Arial"/>
        <family val="2"/>
      </rPr>
      <t>isiko pada satuan ker</t>
    </r>
    <r>
      <rPr>
        <sz val="10"/>
        <color rgb="FF18181C"/>
        <rFont val="Arial"/>
        <family val="2"/>
      </rPr>
      <t>i</t>
    </r>
    <r>
      <rPr>
        <sz val="10"/>
        <color rgb="FF413F44"/>
        <rFont val="Arial"/>
        <family val="2"/>
      </rPr>
      <t>a masing-masinq)</t>
    </r>
  </si>
  <si>
    <r>
      <rPr>
        <sz val="10"/>
        <color rgb="FF413F44"/>
        <rFont val="Arial"/>
        <family val="2"/>
      </rPr>
      <t>Risiko ko</t>
    </r>
    <r>
      <rPr>
        <sz val="10"/>
        <color rgb="FF18181C"/>
        <rFont val="Arial"/>
        <family val="2"/>
      </rPr>
      <t>m</t>
    </r>
    <r>
      <rPr>
        <sz val="10"/>
        <color rgb="FF413F44"/>
        <rFont val="Arial"/>
        <family val="2"/>
      </rPr>
      <t>pe</t>
    </r>
    <r>
      <rPr>
        <sz val="10"/>
        <color rgb="FF18181C"/>
        <rFont val="Arial"/>
        <family val="2"/>
      </rPr>
      <t>n</t>
    </r>
    <r>
      <rPr>
        <sz val="10"/>
        <color rgb="FF413F44"/>
        <rFont val="Arial"/>
        <family val="2"/>
      </rPr>
      <t>sasi</t>
    </r>
  </si>
  <si>
    <r>
      <rPr>
        <sz val="10"/>
        <color rgb="FF2A2A2D"/>
        <rFont val="Arial"/>
        <family val="2"/>
      </rPr>
      <t xml:space="preserve">Risiko  terkait  penundaan  pembayaran  kompensasi  </t>
    </r>
    <r>
      <rPr>
        <sz val="10"/>
        <color rgb="FF413F44"/>
        <rFont val="Arial"/>
        <family val="2"/>
      </rPr>
      <t>a</t>
    </r>
    <r>
      <rPr>
        <sz val="10"/>
        <color rgb="FF18181C"/>
        <rFont val="Arial"/>
        <family val="2"/>
      </rPr>
      <t>t</t>
    </r>
    <r>
      <rPr>
        <sz val="10"/>
        <color rgb="FF413F44"/>
        <rFont val="Arial"/>
        <family val="2"/>
      </rPr>
      <t>au kemungk</t>
    </r>
    <r>
      <rPr>
        <sz val="10"/>
        <color rgb="FF18181C"/>
        <rFont val="Arial"/>
        <family val="2"/>
      </rPr>
      <t>in</t>
    </r>
    <r>
      <rPr>
        <sz val="10"/>
        <color rgb="FF413F44"/>
        <rFont val="Arial"/>
        <family val="2"/>
      </rPr>
      <t xml:space="preserve">an  </t>
    </r>
    <r>
      <rPr>
        <sz val="10"/>
        <color rgb="FF2A2A2D"/>
        <rFont val="Arial"/>
        <family val="2"/>
      </rPr>
      <t xml:space="preserve">ketidaksesuaian  pembayaran  kompensasi </t>
    </r>
    <r>
      <rPr>
        <sz val="10"/>
        <color rgb="FF413F44"/>
        <rFont val="Arial"/>
        <family val="2"/>
      </rPr>
      <t>yang diterima  ya</t>
    </r>
    <r>
      <rPr>
        <sz val="10"/>
        <color rgb="FF18181C"/>
        <rFont val="Arial"/>
        <family val="2"/>
      </rPr>
      <t>n</t>
    </r>
    <r>
      <rPr>
        <sz val="10"/>
        <color rgb="FF413F44"/>
        <rFont val="Arial"/>
        <family val="2"/>
      </rPr>
      <t xml:space="preserve">g  disebabkan,  </t>
    </r>
    <r>
      <rPr>
        <sz val="10"/>
        <color rgb="FF2A2A2D"/>
        <rFont val="Arial"/>
        <family val="2"/>
      </rPr>
      <t>diantaranya</t>
    </r>
    <r>
      <rPr>
        <sz val="10"/>
        <color rgb="FF75757B"/>
        <rFont val="Arial"/>
        <family val="2"/>
      </rPr>
      <t xml:space="preserve">,  </t>
    </r>
    <r>
      <rPr>
        <sz val="10"/>
        <color rgb="FF413F44"/>
        <rFont val="Arial"/>
        <family val="2"/>
      </rPr>
      <t>perubahan keb</t>
    </r>
    <r>
      <rPr>
        <sz val="10"/>
        <color rgb="FF18181C"/>
        <rFont val="Arial"/>
        <family val="2"/>
      </rPr>
      <t>i</t>
    </r>
    <r>
      <rPr>
        <sz val="10"/>
        <color rgb="FF413F44"/>
        <rFont val="Arial"/>
        <family val="2"/>
      </rPr>
      <t xml:space="preserve">jakan   </t>
    </r>
    <r>
      <rPr>
        <sz val="10"/>
        <color rgb="FF2A2A2D"/>
        <rFont val="Arial"/>
        <family val="2"/>
      </rPr>
      <t xml:space="preserve">Pemerintah   </t>
    </r>
    <r>
      <rPr>
        <sz val="10"/>
        <color rgb="FF413F44"/>
        <rFont val="Arial"/>
        <family val="2"/>
      </rPr>
      <t>atau   perubahan   skema   subsidi
e</t>
    </r>
    <r>
      <rPr>
        <sz val="10"/>
        <color rgb="FF18181C"/>
        <rFont val="Arial"/>
        <family val="2"/>
      </rPr>
      <t>n</t>
    </r>
    <r>
      <rPr>
        <sz val="10"/>
        <color rgb="FF413F44"/>
        <rFont val="Arial"/>
        <family val="2"/>
      </rPr>
      <t>ergi</t>
    </r>
  </si>
  <si>
    <r>
      <rPr>
        <sz val="10"/>
        <color rgb="FF413F44"/>
        <rFont val="Arial"/>
        <family val="2"/>
      </rPr>
      <t xml:space="preserve">a.    </t>
    </r>
    <r>
      <rPr>
        <vertAlign val="superscript"/>
        <sz val="10"/>
        <color rgb="FF413F44"/>
        <rFont val="Arial"/>
        <family val="2"/>
      </rPr>
      <t>Ke</t>
    </r>
    <r>
      <rPr>
        <vertAlign val="superscript"/>
        <sz val="10"/>
        <color rgb="FF18181C"/>
        <rFont val="Arial"/>
        <family val="2"/>
      </rPr>
      <t>t</t>
    </r>
    <r>
      <rPr>
        <vertAlign val="superscript"/>
        <sz val="10"/>
        <color rgb="FF413F44"/>
        <rFont val="Arial"/>
        <family val="2"/>
      </rPr>
      <t>er</t>
    </r>
    <r>
      <rPr>
        <vertAlign val="superscript"/>
        <sz val="10"/>
        <color rgb="FF18181C"/>
        <rFont val="Arial"/>
        <family val="2"/>
      </rPr>
      <t>l</t>
    </r>
    <r>
      <rPr>
        <vertAlign val="superscript"/>
        <sz val="10"/>
        <color rgb="FF413F44"/>
        <rFont val="Arial"/>
        <family val="2"/>
      </rPr>
      <t xml:space="preserve">ambatan pembayaran </t>
    </r>
    <r>
      <rPr>
        <vertAlign val="superscript"/>
        <sz val="10"/>
        <color rgb="FF2A2A2D"/>
        <rFont val="Arial"/>
        <family val="2"/>
      </rPr>
      <t xml:space="preserve">kompensasi
</t>
    </r>
    <r>
      <rPr>
        <sz val="10"/>
        <color rgb="FF2A2A2D"/>
        <rFont val="Arial"/>
        <family val="2"/>
      </rPr>
      <t xml:space="preserve">b.    </t>
    </r>
    <r>
      <rPr>
        <vertAlign val="superscript"/>
        <sz val="10"/>
        <color rgb="FF413F44"/>
        <rFont val="Arial"/>
        <family val="2"/>
      </rPr>
      <t>Ke</t>
    </r>
    <r>
      <rPr>
        <vertAlign val="superscript"/>
        <sz val="10"/>
        <color rgb="FF18181C"/>
        <rFont val="Arial"/>
        <family val="2"/>
      </rPr>
      <t>tid</t>
    </r>
    <r>
      <rPr>
        <vertAlign val="superscript"/>
        <sz val="10"/>
        <color rgb="FF413F44"/>
        <rFont val="Arial"/>
        <family val="2"/>
      </rPr>
      <t>ak</t>
    </r>
    <r>
      <rPr>
        <vertAlign val="superscript"/>
        <sz val="10"/>
        <color rgb="FF18181C"/>
        <rFont val="Arial"/>
        <family val="2"/>
      </rPr>
      <t>t</t>
    </r>
    <r>
      <rPr>
        <vertAlign val="superscript"/>
        <sz val="10"/>
        <color rgb="FF413F44"/>
        <rFont val="Arial"/>
        <family val="2"/>
      </rPr>
      <t xml:space="preserve">epatan </t>
    </r>
    <r>
      <rPr>
        <vertAlign val="superscript"/>
        <sz val="10"/>
        <color rgb="FF2A2A2D"/>
        <rFont val="Arial"/>
        <family val="2"/>
      </rPr>
      <t xml:space="preserve">perhitungan </t>
    </r>
    <r>
      <rPr>
        <vertAlign val="superscript"/>
        <sz val="10"/>
        <color rgb="FF413F44"/>
        <rFont val="Arial"/>
        <family val="2"/>
      </rPr>
      <t>ni</t>
    </r>
    <r>
      <rPr>
        <vertAlign val="superscript"/>
        <sz val="10"/>
        <color rgb="FF18181C"/>
        <rFont val="Arial"/>
        <family val="2"/>
      </rPr>
      <t>l</t>
    </r>
    <r>
      <rPr>
        <vertAlign val="superscript"/>
        <sz val="10"/>
        <color rgb="FF413F44"/>
        <rFont val="Arial"/>
        <family val="2"/>
      </rPr>
      <t>a</t>
    </r>
    <r>
      <rPr>
        <vertAlign val="superscript"/>
        <sz val="10"/>
        <color rgb="FF18181C"/>
        <rFont val="Arial"/>
        <family val="2"/>
      </rPr>
      <t xml:space="preserve">i </t>
    </r>
    <r>
      <rPr>
        <vertAlign val="superscript"/>
        <sz val="10"/>
        <color rgb="FF2A2A2D"/>
        <rFont val="Arial"/>
        <family val="2"/>
      </rPr>
      <t xml:space="preserve">kompensasi
</t>
    </r>
    <r>
      <rPr>
        <sz val="10"/>
        <color rgb="FF413F44"/>
        <rFont val="Arial"/>
        <family val="2"/>
      </rPr>
      <t xml:space="preserve">C.     </t>
    </r>
    <r>
      <rPr>
        <vertAlign val="superscript"/>
        <sz val="10"/>
        <color rgb="FF413F44"/>
        <rFont val="Arial"/>
        <family val="2"/>
      </rPr>
      <t>(da</t>
    </r>
    <r>
      <rPr>
        <vertAlign val="superscript"/>
        <sz val="10"/>
        <color rgb="FF18181C"/>
        <rFont val="Arial"/>
        <family val="2"/>
      </rPr>
      <t>p</t>
    </r>
    <r>
      <rPr>
        <vertAlign val="superscript"/>
        <sz val="10"/>
        <color rgb="FF413F44"/>
        <rFont val="Arial"/>
        <family val="2"/>
      </rPr>
      <t>at d</t>
    </r>
    <r>
      <rPr>
        <vertAlign val="superscript"/>
        <sz val="10"/>
        <color rgb="FF18181C"/>
        <rFont val="Arial"/>
        <family val="2"/>
      </rPr>
      <t>i</t>
    </r>
    <r>
      <rPr>
        <vertAlign val="superscript"/>
        <sz val="10"/>
        <color rgb="FF413F44"/>
        <rFont val="Arial"/>
        <family val="2"/>
      </rPr>
      <t>ta</t>
    </r>
    <r>
      <rPr>
        <vertAlign val="superscript"/>
        <sz val="10"/>
        <color rgb="FF18181C"/>
        <rFont val="Arial"/>
        <family val="2"/>
      </rPr>
      <t>mb</t>
    </r>
    <r>
      <rPr>
        <vertAlign val="superscript"/>
        <sz val="10"/>
        <color rgb="FF413F44"/>
        <rFont val="Arial"/>
        <family val="2"/>
      </rPr>
      <t>a</t>
    </r>
    <r>
      <rPr>
        <vertAlign val="superscript"/>
        <sz val="10"/>
        <color rgb="FF18181C"/>
        <rFont val="Arial"/>
        <family val="2"/>
      </rPr>
      <t>h</t>
    </r>
    <r>
      <rPr>
        <vertAlign val="superscript"/>
        <sz val="10"/>
        <color rgb="FF413F44"/>
        <rFont val="Arial"/>
        <family val="2"/>
      </rPr>
      <t>ka</t>
    </r>
    <r>
      <rPr>
        <vertAlign val="superscript"/>
        <sz val="10"/>
        <color rgb="FF18181C"/>
        <rFont val="Arial"/>
        <family val="2"/>
      </rPr>
      <t xml:space="preserve">n </t>
    </r>
    <r>
      <rPr>
        <vertAlign val="superscript"/>
        <sz val="10"/>
        <color rgb="FF413F44"/>
        <rFont val="Arial"/>
        <family val="2"/>
      </rPr>
      <t>sesuai kon</t>
    </r>
    <r>
      <rPr>
        <vertAlign val="superscript"/>
        <sz val="10"/>
        <color rgb="FF18181C"/>
        <rFont val="Arial"/>
        <family val="2"/>
      </rPr>
      <t>t</t>
    </r>
    <r>
      <rPr>
        <vertAlign val="superscript"/>
        <sz val="10"/>
        <color rgb="FF413F44"/>
        <rFont val="Arial"/>
        <family val="2"/>
      </rPr>
      <t>eks per</t>
    </r>
    <r>
      <rPr>
        <vertAlign val="superscript"/>
        <sz val="10"/>
        <color rgb="FF18181C"/>
        <rFont val="Arial"/>
        <family val="2"/>
      </rPr>
      <t>i</t>
    </r>
    <r>
      <rPr>
        <vertAlign val="superscript"/>
        <sz val="10"/>
        <color rgb="FF413F44"/>
        <rFont val="Arial"/>
        <family val="2"/>
      </rPr>
      <t xml:space="preserve">stiwa </t>
    </r>
    <r>
      <rPr>
        <sz val="10"/>
        <color rgb="FF413F44"/>
        <rFont val="Arial"/>
        <family val="2"/>
      </rPr>
      <t>risiko pada satuan kerja masing-masing)</t>
    </r>
  </si>
  <si>
    <r>
      <rPr>
        <sz val="10"/>
        <color rgb="FF413F44"/>
        <rFont val="Arial"/>
        <family val="2"/>
      </rPr>
      <t>Risiko subs</t>
    </r>
    <r>
      <rPr>
        <sz val="10"/>
        <color rgb="FF18181C"/>
        <rFont val="Arial"/>
        <family val="2"/>
      </rPr>
      <t>i</t>
    </r>
    <r>
      <rPr>
        <sz val="10"/>
        <color rgb="FF413F44"/>
        <rFont val="Arial"/>
        <family val="2"/>
      </rPr>
      <t>d</t>
    </r>
    <r>
      <rPr>
        <sz val="10"/>
        <color rgb="FF18181C"/>
        <rFont val="Arial"/>
        <family val="2"/>
      </rPr>
      <t>i</t>
    </r>
  </si>
  <si>
    <r>
      <rPr>
        <sz val="10"/>
        <color rgb="FF18181C"/>
        <rFont val="Arial"/>
        <family val="2"/>
      </rPr>
      <t>Ri</t>
    </r>
    <r>
      <rPr>
        <sz val="10"/>
        <color rgb="FF413F44"/>
        <rFont val="Arial"/>
        <family val="2"/>
      </rPr>
      <t xml:space="preserve">siko   </t>
    </r>
    <r>
      <rPr>
        <sz val="10"/>
        <color rgb="FF2A2A2D"/>
        <rFont val="Arial"/>
        <family val="2"/>
      </rPr>
      <t xml:space="preserve">terkait    </t>
    </r>
    <r>
      <rPr>
        <sz val="10"/>
        <color rgb="FF413F44"/>
        <rFont val="Arial"/>
        <family val="2"/>
      </rPr>
      <t xml:space="preserve">penundaan    </t>
    </r>
    <r>
      <rPr>
        <sz val="10"/>
        <color rgb="FF2A2A2D"/>
        <rFont val="Arial"/>
        <family val="2"/>
      </rPr>
      <t xml:space="preserve">pembayaran    </t>
    </r>
    <r>
      <rPr>
        <sz val="10"/>
        <color rgb="FF413F44"/>
        <rFont val="Arial"/>
        <family val="2"/>
      </rPr>
      <t xml:space="preserve">subsidi    atau
</t>
    </r>
    <r>
      <rPr>
        <vertAlign val="superscript"/>
        <sz val="10"/>
        <color rgb="FF413F44"/>
        <rFont val="Arial"/>
        <family val="2"/>
      </rPr>
      <t>kelidakpas</t>
    </r>
    <r>
      <rPr>
        <vertAlign val="superscript"/>
        <sz val="10"/>
        <color rgb="FF18181C"/>
        <rFont val="Arial"/>
        <family val="2"/>
      </rPr>
      <t>ti</t>
    </r>
    <r>
      <rPr>
        <vertAlign val="superscript"/>
        <sz val="10"/>
        <color rgb="FF413F44"/>
        <rFont val="Arial"/>
        <family val="2"/>
      </rPr>
      <t xml:space="preserve">an      </t>
    </r>
    <r>
      <rPr>
        <vertAlign val="superscript"/>
        <sz val="10"/>
        <color rgb="FF18181C"/>
        <rFont val="Arial"/>
        <family val="2"/>
      </rPr>
      <t>juml</t>
    </r>
    <r>
      <rPr>
        <vertAlign val="superscript"/>
        <sz val="10"/>
        <color rgb="FF413F44"/>
        <rFont val="Arial"/>
        <family val="2"/>
      </rPr>
      <t>ah     pe</t>
    </r>
    <r>
      <rPr>
        <vertAlign val="superscript"/>
        <sz val="10"/>
        <color rgb="FF18181C"/>
        <rFont val="Arial"/>
        <family val="2"/>
      </rPr>
      <t>mbay</t>
    </r>
    <r>
      <rPr>
        <vertAlign val="superscript"/>
        <sz val="10"/>
        <color rgb="FF413F44"/>
        <rFont val="Arial"/>
        <family val="2"/>
      </rPr>
      <t>ara</t>
    </r>
    <r>
      <rPr>
        <vertAlign val="superscript"/>
        <sz val="10"/>
        <color rgb="FF18181C"/>
        <rFont val="Arial"/>
        <family val="2"/>
      </rPr>
      <t xml:space="preserve">n      </t>
    </r>
    <r>
      <rPr>
        <vertAlign val="superscript"/>
        <sz val="10"/>
        <color rgb="FF413F44"/>
        <rFont val="Arial"/>
        <family val="2"/>
      </rPr>
      <t>subsid</t>
    </r>
    <r>
      <rPr>
        <vertAlign val="superscript"/>
        <sz val="10"/>
        <color rgb="FF18181C"/>
        <rFont val="Arial"/>
        <family val="2"/>
      </rPr>
      <t xml:space="preserve">i     </t>
    </r>
    <r>
      <rPr>
        <sz val="10"/>
        <color rgb="FF413F44"/>
        <rFont val="Arial"/>
        <family val="2"/>
      </rPr>
      <t>yang</t>
    </r>
  </si>
  <si>
    <r>
      <rPr>
        <sz val="10"/>
        <color rgb="FF413F44"/>
        <rFont val="Arial"/>
        <family val="2"/>
      </rPr>
      <t>a</t>
    </r>
    <r>
      <rPr>
        <sz val="10"/>
        <color rgb="FF18181C"/>
        <rFont val="Arial"/>
        <family val="2"/>
      </rPr>
      <t xml:space="preserve">.    </t>
    </r>
    <r>
      <rPr>
        <sz val="10"/>
        <color rgb="FF2A2A2D"/>
        <rFont val="Arial"/>
        <family val="2"/>
      </rPr>
      <t xml:space="preserve">Penundaan pembayaran </t>
    </r>
    <r>
      <rPr>
        <sz val="10"/>
        <color rgb="FF413F44"/>
        <rFont val="Arial"/>
        <family val="2"/>
      </rPr>
      <t xml:space="preserve">subsidi
</t>
    </r>
    <r>
      <rPr>
        <sz val="10"/>
        <color rgb="FF2A2A2D"/>
        <rFont val="Arial"/>
        <family val="2"/>
      </rPr>
      <t xml:space="preserve">b.    Perubahan </t>
    </r>
    <r>
      <rPr>
        <sz val="10"/>
        <color rgb="FF413F44"/>
        <rFont val="Arial"/>
        <family val="2"/>
      </rPr>
      <t>skema s</t>
    </r>
    <r>
      <rPr>
        <sz val="10"/>
        <color rgb="FF18181C"/>
        <rFont val="Arial"/>
        <family val="2"/>
      </rPr>
      <t>ub</t>
    </r>
    <r>
      <rPr>
        <sz val="10"/>
        <color rgb="FF413F44"/>
        <rFont val="Arial"/>
        <family val="2"/>
      </rPr>
      <t>s</t>
    </r>
    <r>
      <rPr>
        <sz val="10"/>
        <color rgb="FF18181C"/>
        <rFont val="Arial"/>
        <family val="2"/>
      </rPr>
      <t xml:space="preserve">idi </t>
    </r>
    <r>
      <rPr>
        <sz val="10"/>
        <color rgb="FF413F44"/>
        <rFont val="Arial"/>
        <family val="2"/>
      </rPr>
      <t>ene</t>
    </r>
    <r>
      <rPr>
        <sz val="10"/>
        <color rgb="FF18181C"/>
        <rFont val="Arial"/>
        <family val="2"/>
      </rPr>
      <t>rgi</t>
    </r>
  </si>
  <si>
    <r>
      <rPr>
        <sz val="10"/>
        <color rgb="FF313134"/>
        <rFont val="Arial"/>
        <family val="2"/>
      </rPr>
      <t xml:space="preserve">disebabkan,  </t>
    </r>
    <r>
      <rPr>
        <sz val="10"/>
        <color rgb="FF48464B"/>
        <rFont val="Arial"/>
        <family val="2"/>
      </rPr>
      <t>d</t>
    </r>
    <r>
      <rPr>
        <sz val="10"/>
        <color rgb="FF232326"/>
        <rFont val="Arial"/>
        <family val="2"/>
      </rPr>
      <t>i</t>
    </r>
    <r>
      <rPr>
        <sz val="10"/>
        <color rgb="FF48464B"/>
        <rFont val="Arial"/>
        <family val="2"/>
      </rPr>
      <t>a</t>
    </r>
    <r>
      <rPr>
        <sz val="10"/>
        <color rgb="FF232326"/>
        <rFont val="Arial"/>
        <family val="2"/>
      </rPr>
      <t>nt</t>
    </r>
    <r>
      <rPr>
        <sz val="10"/>
        <color rgb="FF48464B"/>
        <rFont val="Arial"/>
        <family val="2"/>
      </rPr>
      <t>aranya</t>
    </r>
    <r>
      <rPr>
        <sz val="10"/>
        <color rgb="FF605E64"/>
        <rFont val="Arial"/>
        <family val="2"/>
      </rPr>
      <t xml:space="preserve">,  </t>
    </r>
    <r>
      <rPr>
        <sz val="10"/>
        <color rgb="FF48464B"/>
        <rFont val="Arial"/>
        <family val="2"/>
      </rPr>
      <t>per</t>
    </r>
    <r>
      <rPr>
        <sz val="10"/>
        <color rgb="FF232326"/>
        <rFont val="Arial"/>
        <family val="2"/>
      </rPr>
      <t>u</t>
    </r>
    <r>
      <rPr>
        <sz val="10"/>
        <color rgb="FF48464B"/>
        <rFont val="Arial"/>
        <family val="2"/>
      </rPr>
      <t xml:space="preserve">bahan  </t>
    </r>
    <r>
      <rPr>
        <vertAlign val="superscript"/>
        <sz val="10"/>
        <color rgb="FF48464B"/>
        <rFont val="Arial"/>
        <family val="2"/>
      </rPr>
      <t>prior</t>
    </r>
    <r>
      <rPr>
        <vertAlign val="superscript"/>
        <sz val="10"/>
        <color rgb="FF232326"/>
        <rFont val="Arial"/>
        <family val="2"/>
      </rPr>
      <t>i</t>
    </r>
    <r>
      <rPr>
        <vertAlign val="superscript"/>
        <sz val="10"/>
        <color rgb="FF48464B"/>
        <rFont val="Arial"/>
        <family val="2"/>
      </rPr>
      <t>tas  a</t>
    </r>
    <r>
      <rPr>
        <vertAlign val="superscript"/>
        <sz val="10"/>
        <color rgb="FF232326"/>
        <rFont val="Arial"/>
        <family val="2"/>
      </rPr>
      <t>n</t>
    </r>
    <r>
      <rPr>
        <vertAlign val="superscript"/>
        <sz val="10"/>
        <color rgb="FF48464B"/>
        <rFont val="Arial"/>
        <family val="2"/>
      </rPr>
      <t>gga</t>
    </r>
    <r>
      <rPr>
        <vertAlign val="superscript"/>
        <sz val="10"/>
        <color rgb="FF232326"/>
        <rFont val="Arial"/>
        <family val="2"/>
      </rPr>
      <t>r</t>
    </r>
    <r>
      <rPr>
        <vertAlign val="superscript"/>
        <sz val="10"/>
        <color rgb="FF48464B"/>
        <rFont val="Arial"/>
        <family val="2"/>
      </rPr>
      <t xml:space="preserve">an
</t>
    </r>
    <r>
      <rPr>
        <sz val="10"/>
        <color rgb="FF232326"/>
        <rFont val="Arial"/>
        <family val="2"/>
      </rPr>
      <t>P</t>
    </r>
    <r>
      <rPr>
        <sz val="10"/>
        <color rgb="FF48464B"/>
        <rFont val="Arial"/>
        <family val="2"/>
      </rPr>
      <t>e</t>
    </r>
    <r>
      <rPr>
        <sz val="10"/>
        <color rgb="FF232326"/>
        <rFont val="Arial"/>
        <family val="2"/>
      </rPr>
      <t>m</t>
    </r>
    <r>
      <rPr>
        <sz val="10"/>
        <color rgb="FF48464B"/>
        <rFont val="Arial"/>
        <family val="2"/>
      </rPr>
      <t>er</t>
    </r>
    <r>
      <rPr>
        <sz val="10"/>
        <color rgb="FF232326"/>
        <rFont val="Arial"/>
        <family val="2"/>
      </rPr>
      <t>in</t>
    </r>
    <r>
      <rPr>
        <sz val="10"/>
        <color rgb="FF48464B"/>
        <rFont val="Arial"/>
        <family val="2"/>
      </rPr>
      <t xml:space="preserve">tah atau </t>
    </r>
    <r>
      <rPr>
        <sz val="10"/>
        <color rgb="FF232326"/>
        <rFont val="Arial"/>
        <family val="2"/>
      </rPr>
      <t>fluktu</t>
    </r>
    <r>
      <rPr>
        <sz val="10"/>
        <color rgb="FF48464B"/>
        <rFont val="Arial"/>
        <family val="2"/>
      </rPr>
      <t>asi eko</t>
    </r>
    <r>
      <rPr>
        <sz val="10"/>
        <color rgb="FF232326"/>
        <rFont val="Arial"/>
        <family val="2"/>
      </rPr>
      <t>n</t>
    </r>
    <r>
      <rPr>
        <sz val="10"/>
        <color rgb="FF48464B"/>
        <rFont val="Arial"/>
        <family val="2"/>
      </rPr>
      <t>omi</t>
    </r>
  </si>
  <si>
    <r>
      <rPr>
        <sz val="10"/>
        <color rgb="FF48464B"/>
        <rFont val="Arial"/>
        <family val="2"/>
      </rPr>
      <t>C</t>
    </r>
    <r>
      <rPr>
        <sz val="10"/>
        <color rgb="FF605E64"/>
        <rFont val="Arial"/>
        <family val="2"/>
      </rPr>
      <t xml:space="preserve">.      </t>
    </r>
    <r>
      <rPr>
        <vertAlign val="superscript"/>
        <sz val="10"/>
        <color rgb="FF48464B"/>
        <rFont val="Arial"/>
        <family val="2"/>
      </rPr>
      <t>(dapat ditamba</t>
    </r>
    <r>
      <rPr>
        <vertAlign val="superscript"/>
        <sz val="10"/>
        <color rgb="FF232326"/>
        <rFont val="Arial"/>
        <family val="2"/>
      </rPr>
      <t>h</t>
    </r>
    <r>
      <rPr>
        <vertAlign val="superscript"/>
        <sz val="10"/>
        <color rgb="FF48464B"/>
        <rFont val="Arial"/>
        <family val="2"/>
      </rPr>
      <t xml:space="preserve">kan sesuai </t>
    </r>
    <r>
      <rPr>
        <vertAlign val="superscript"/>
        <sz val="10"/>
        <color rgb="FF313134"/>
        <rFont val="Arial"/>
        <family val="2"/>
      </rPr>
      <t>konteks perist</t>
    </r>
    <r>
      <rPr>
        <vertAlign val="superscript"/>
        <sz val="10"/>
        <color rgb="FF131318"/>
        <rFont val="Arial"/>
        <family val="2"/>
      </rPr>
      <t>i</t>
    </r>
    <r>
      <rPr>
        <vertAlign val="superscript"/>
        <sz val="10"/>
        <color rgb="FF48464B"/>
        <rFont val="Arial"/>
        <family val="2"/>
      </rPr>
      <t xml:space="preserve">wa </t>
    </r>
    <r>
      <rPr>
        <sz val="10"/>
        <color rgb="FF48464B"/>
        <rFont val="Arial"/>
        <family val="2"/>
      </rPr>
      <t xml:space="preserve">risiko </t>
    </r>
    <r>
      <rPr>
        <sz val="10"/>
        <color rgb="FF313134"/>
        <rFont val="Arial"/>
        <family val="2"/>
      </rPr>
      <t xml:space="preserve">pada </t>
    </r>
    <r>
      <rPr>
        <sz val="10"/>
        <color rgb="FF48464B"/>
        <rFont val="Arial"/>
        <family val="2"/>
      </rPr>
      <t xml:space="preserve">satuan </t>
    </r>
    <r>
      <rPr>
        <sz val="10"/>
        <color rgb="FF313134"/>
        <rFont val="Arial"/>
        <family val="2"/>
      </rPr>
      <t xml:space="preserve">kerja </t>
    </r>
    <r>
      <rPr>
        <sz val="10"/>
        <color rgb="FF48464B"/>
        <rFont val="Arial"/>
        <family val="2"/>
      </rPr>
      <t>mas</t>
    </r>
    <r>
      <rPr>
        <sz val="10"/>
        <color rgb="FF232326"/>
        <rFont val="Arial"/>
        <family val="2"/>
      </rPr>
      <t>in</t>
    </r>
    <r>
      <rPr>
        <sz val="10"/>
        <color rgb="FF48464B"/>
        <rFont val="Arial"/>
        <family val="2"/>
      </rPr>
      <t>g-mas</t>
    </r>
    <r>
      <rPr>
        <sz val="10"/>
        <color rgb="FF232326"/>
        <rFont val="Arial"/>
        <family val="2"/>
      </rPr>
      <t>in</t>
    </r>
    <r>
      <rPr>
        <sz val="10"/>
        <color rgb="FF48464B"/>
        <rFont val="Arial"/>
        <family val="2"/>
      </rPr>
      <t>g)</t>
    </r>
  </si>
  <si>
    <r>
      <rPr>
        <sz val="10"/>
        <color rgb="FF313134"/>
        <rFont val="Arial"/>
        <family val="2"/>
      </rPr>
      <t xml:space="preserve">Risiko </t>
    </r>
    <r>
      <rPr>
        <sz val="10"/>
        <color rgb="FF48464B"/>
        <rFont val="Arial"/>
        <family val="2"/>
      </rPr>
      <t>keb</t>
    </r>
    <r>
      <rPr>
        <sz val="10"/>
        <color rgb="FF131318"/>
        <rFont val="Arial"/>
        <family val="2"/>
      </rPr>
      <t>i</t>
    </r>
    <r>
      <rPr>
        <sz val="10"/>
        <color rgb="FF48464B"/>
        <rFont val="Arial"/>
        <family val="2"/>
      </rPr>
      <t>jakan S</t>
    </r>
    <r>
      <rPr>
        <sz val="10"/>
        <color rgb="FF232326"/>
        <rFont val="Arial"/>
        <family val="2"/>
      </rPr>
      <t>D</t>
    </r>
    <r>
      <rPr>
        <sz val="10"/>
        <color rgb="FF48464B"/>
        <rFont val="Arial"/>
        <family val="2"/>
      </rPr>
      <t>M</t>
    </r>
  </si>
  <si>
    <r>
      <rPr>
        <sz val="10"/>
        <color rgb="FF313134"/>
        <rFont val="Arial"/>
        <family val="2"/>
      </rPr>
      <t xml:space="preserve">Risiko    </t>
    </r>
    <r>
      <rPr>
        <sz val="10"/>
        <color rgb="FF48464B"/>
        <rFont val="Arial"/>
        <family val="2"/>
      </rPr>
      <t xml:space="preserve">yang    </t>
    </r>
    <r>
      <rPr>
        <sz val="10"/>
        <color rgb="FF313134"/>
        <rFont val="Arial"/>
        <family val="2"/>
      </rPr>
      <t xml:space="preserve">timbul    dari   </t>
    </r>
    <r>
      <rPr>
        <sz val="10"/>
        <color rgb="FF48464B"/>
        <rFont val="Arial"/>
        <family val="2"/>
      </rPr>
      <t>keputusa</t>
    </r>
    <r>
      <rPr>
        <sz val="10"/>
        <color rgb="FF232326"/>
        <rFont val="Arial"/>
        <family val="2"/>
      </rPr>
      <t>n</t>
    </r>
    <r>
      <rPr>
        <sz val="10"/>
        <color rgb="FF605E64"/>
        <rFont val="Arial"/>
        <family val="2"/>
      </rPr>
      <t xml:space="preserve">,    </t>
    </r>
    <r>
      <rPr>
        <sz val="10"/>
        <color rgb="FF48464B"/>
        <rFont val="Arial"/>
        <family val="2"/>
      </rPr>
      <t>tindakan</t>
    </r>
    <r>
      <rPr>
        <sz val="10"/>
        <color rgb="FF605E64"/>
        <rFont val="Arial"/>
        <family val="2"/>
      </rPr>
      <t xml:space="preserve">,    </t>
    </r>
    <r>
      <rPr>
        <sz val="10"/>
        <color rgb="FF48464B"/>
        <rFont val="Arial"/>
        <family val="2"/>
      </rPr>
      <t>atau pe</t>
    </r>
    <r>
      <rPr>
        <sz val="10"/>
        <color rgb="FF131318"/>
        <rFont val="Arial"/>
        <family val="2"/>
      </rPr>
      <t>r</t>
    </r>
    <r>
      <rPr>
        <sz val="10"/>
        <color rgb="FF48464B"/>
        <rFont val="Arial"/>
        <family val="2"/>
      </rPr>
      <t xml:space="preserve">ubahan </t>
    </r>
    <r>
      <rPr>
        <sz val="10"/>
        <color rgb="FF313134"/>
        <rFont val="Arial"/>
        <family val="2"/>
      </rPr>
      <t xml:space="preserve">dalam </t>
    </r>
    <r>
      <rPr>
        <sz val="10"/>
        <color rgb="FF48464B"/>
        <rFont val="Arial"/>
        <family val="2"/>
      </rPr>
      <t>keb</t>
    </r>
    <r>
      <rPr>
        <sz val="10"/>
        <color theme="1"/>
        <rFont val="Arial"/>
        <family val="2"/>
      </rPr>
      <t>i</t>
    </r>
    <r>
      <rPr>
        <sz val="10"/>
        <color rgb="FF48464B"/>
        <rFont val="Arial"/>
        <family val="2"/>
      </rPr>
      <t>jakan yang ber</t>
    </r>
    <r>
      <rPr>
        <sz val="10"/>
        <color rgb="FF232326"/>
        <rFont val="Arial"/>
        <family val="2"/>
      </rPr>
      <t>p</t>
    </r>
    <r>
      <rPr>
        <sz val="10"/>
        <color rgb="FF48464B"/>
        <rFont val="Arial"/>
        <family val="2"/>
      </rPr>
      <t>engaru</t>
    </r>
    <r>
      <rPr>
        <sz val="10"/>
        <color rgb="FF232326"/>
        <rFont val="Arial"/>
        <family val="2"/>
      </rPr>
      <t xml:space="preserve">h </t>
    </r>
    <r>
      <rPr>
        <sz val="10"/>
        <color rgb="FF313134"/>
        <rFont val="Arial"/>
        <family val="2"/>
      </rPr>
      <t xml:space="preserve">pada </t>
    </r>
    <r>
      <rPr>
        <sz val="10"/>
        <color rgb="FF48464B"/>
        <rFont val="Arial"/>
        <family val="2"/>
      </rPr>
      <t>aspek sumber da</t>
    </r>
    <r>
      <rPr>
        <sz val="10"/>
        <color rgb="FF605E64"/>
        <rFont val="Arial"/>
        <family val="2"/>
      </rPr>
      <t>y</t>
    </r>
    <r>
      <rPr>
        <sz val="10"/>
        <color rgb="FF48464B"/>
        <rFont val="Arial"/>
        <family val="2"/>
      </rPr>
      <t>a manusia.</t>
    </r>
  </si>
  <si>
    <r>
      <rPr>
        <sz val="10"/>
        <color rgb="FF48464B"/>
        <rFont val="Arial"/>
        <family val="2"/>
      </rPr>
      <t xml:space="preserve">a.    Penempatan        </t>
    </r>
    <r>
      <rPr>
        <vertAlign val="superscript"/>
        <sz val="10"/>
        <color rgb="FF48464B"/>
        <rFont val="Arial"/>
        <family val="2"/>
      </rPr>
      <t>pegawai       t</t>
    </r>
    <r>
      <rPr>
        <vertAlign val="superscript"/>
        <sz val="10"/>
        <color rgb="FF605E64"/>
        <rFont val="Arial"/>
        <family val="2"/>
      </rPr>
      <t>i</t>
    </r>
    <r>
      <rPr>
        <vertAlign val="superscript"/>
        <sz val="10"/>
        <color rgb="FF48464B"/>
        <rFont val="Arial"/>
        <family val="2"/>
      </rPr>
      <t xml:space="preserve">dak       </t>
    </r>
    <r>
      <rPr>
        <vertAlign val="superscript"/>
        <sz val="10"/>
        <color rgb="FF313134"/>
        <rFont val="Arial"/>
        <family val="2"/>
      </rPr>
      <t>sesua</t>
    </r>
    <r>
      <rPr>
        <vertAlign val="superscript"/>
        <sz val="10"/>
        <color rgb="FF131318"/>
        <rFont val="Arial"/>
        <family val="2"/>
      </rPr>
      <t xml:space="preserve">i </t>
    </r>
    <r>
      <rPr>
        <sz val="10"/>
        <color rgb="FF48464B"/>
        <rFont val="Arial"/>
        <family val="2"/>
      </rPr>
      <t>kompetens</t>
    </r>
    <r>
      <rPr>
        <sz val="10"/>
        <color rgb="FF605E64"/>
        <rFont val="Arial"/>
        <family val="2"/>
      </rPr>
      <t xml:space="preserve">i
</t>
    </r>
    <r>
      <rPr>
        <sz val="10"/>
        <color rgb="FF313134"/>
        <rFont val="Arial"/>
        <family val="2"/>
      </rPr>
      <t xml:space="preserve">b.    </t>
    </r>
    <r>
      <rPr>
        <sz val="10"/>
        <color rgb="FF48464B"/>
        <rFont val="Arial"/>
        <family val="2"/>
      </rPr>
      <t>Suksesi jabatan t</t>
    </r>
    <r>
      <rPr>
        <sz val="10"/>
        <color rgb="FF232326"/>
        <rFont val="Arial"/>
        <family val="2"/>
      </rPr>
      <t>i</t>
    </r>
    <r>
      <rPr>
        <sz val="10"/>
        <color rgb="FF48464B"/>
        <rFont val="Arial"/>
        <family val="2"/>
      </rPr>
      <t>dak berkesinambungan
C.     (dapat ditambahka</t>
    </r>
    <r>
      <rPr>
        <sz val="10"/>
        <color rgb="FF605E64"/>
        <rFont val="Arial"/>
        <family val="2"/>
      </rPr>
      <t xml:space="preserve">n  </t>
    </r>
    <r>
      <rPr>
        <sz val="10"/>
        <color rgb="FF48464B"/>
        <rFont val="Arial"/>
        <family val="2"/>
      </rPr>
      <t xml:space="preserve">sesua </t>
    </r>
    <r>
      <rPr>
        <sz val="10"/>
        <color rgb="FF131318"/>
        <rFont val="Arial"/>
        <family val="2"/>
      </rPr>
      <t xml:space="preserve">i </t>
    </r>
    <r>
      <rPr>
        <sz val="10"/>
        <color rgb="FF313134"/>
        <rFont val="Arial"/>
        <family val="2"/>
      </rPr>
      <t>kon</t>
    </r>
    <r>
      <rPr>
        <sz val="10"/>
        <color rgb="FF605E64"/>
        <rFont val="Arial"/>
        <family val="2"/>
      </rPr>
      <t>t</t>
    </r>
    <r>
      <rPr>
        <sz val="10"/>
        <color rgb="FF48464B"/>
        <rFont val="Arial"/>
        <family val="2"/>
      </rPr>
      <t xml:space="preserve">eks </t>
    </r>
    <r>
      <rPr>
        <sz val="10"/>
        <color rgb="FF313134"/>
        <rFont val="Arial"/>
        <family val="2"/>
      </rPr>
      <t xml:space="preserve">peristiwa </t>
    </r>
    <r>
      <rPr>
        <sz val="10"/>
        <color rgb="FF48464B"/>
        <rFont val="Arial"/>
        <family val="2"/>
      </rPr>
      <t xml:space="preserve">risiko pada satuan </t>
    </r>
    <r>
      <rPr>
        <sz val="10"/>
        <color rgb="FF313134"/>
        <rFont val="Arial"/>
        <family val="2"/>
      </rPr>
      <t>ker</t>
    </r>
    <r>
      <rPr>
        <sz val="10"/>
        <color rgb="FF131318"/>
        <rFont val="Arial"/>
        <family val="2"/>
      </rPr>
      <t>i</t>
    </r>
    <r>
      <rPr>
        <sz val="10"/>
        <color rgb="FF48464B"/>
        <rFont val="Arial"/>
        <family val="2"/>
      </rPr>
      <t>a masino</t>
    </r>
    <r>
      <rPr>
        <sz val="10"/>
        <color rgb="FF232326"/>
        <rFont val="Arial"/>
        <family val="2"/>
      </rPr>
      <t>-</t>
    </r>
    <r>
      <rPr>
        <sz val="10"/>
        <color rgb="FF48464B"/>
        <rFont val="Arial"/>
        <family val="2"/>
      </rPr>
      <t>masinq)</t>
    </r>
  </si>
  <si>
    <r>
      <rPr>
        <sz val="10"/>
        <color rgb="FF48464B"/>
        <rFont val="Arial"/>
        <family val="2"/>
      </rPr>
      <t>R</t>
    </r>
    <r>
      <rPr>
        <sz val="10"/>
        <color rgb="FF131318"/>
        <rFont val="Arial"/>
        <family val="2"/>
      </rPr>
      <t>i</t>
    </r>
    <r>
      <rPr>
        <sz val="10"/>
        <color rgb="FF48464B"/>
        <rFont val="Arial"/>
        <family val="2"/>
      </rPr>
      <t>siko pe</t>
    </r>
    <r>
      <rPr>
        <sz val="10"/>
        <color rgb="FF232326"/>
        <rFont val="Arial"/>
        <family val="2"/>
      </rPr>
      <t>n</t>
    </r>
    <r>
      <rPr>
        <sz val="10"/>
        <color rgb="FF48464B"/>
        <rFont val="Arial"/>
        <family val="2"/>
      </rPr>
      <t>erapan keb</t>
    </r>
    <r>
      <rPr>
        <sz val="10"/>
        <color rgb="FF605E64"/>
        <rFont val="Arial"/>
        <family val="2"/>
      </rPr>
      <t>i</t>
    </r>
    <r>
      <rPr>
        <sz val="10"/>
        <color rgb="FF232326"/>
        <rFont val="Arial"/>
        <family val="2"/>
      </rPr>
      <t>j</t>
    </r>
    <r>
      <rPr>
        <sz val="10"/>
        <color rgb="FF48464B"/>
        <rFont val="Arial"/>
        <family val="2"/>
      </rPr>
      <t>akan pem</t>
    </r>
    <r>
      <rPr>
        <sz val="10"/>
        <color rgb="FF232326"/>
        <rFont val="Arial"/>
        <family val="2"/>
      </rPr>
      <t>ili</t>
    </r>
    <r>
      <rPr>
        <sz val="10"/>
        <color rgb="FF48464B"/>
        <rFont val="Arial"/>
        <family val="2"/>
      </rPr>
      <t>han</t>
    </r>
    <r>
      <rPr>
        <sz val="10"/>
        <color rgb="FF605E64"/>
        <rFont val="Arial"/>
        <family val="2"/>
      </rPr>
      <t xml:space="preserve">, </t>
    </r>
    <r>
      <rPr>
        <sz val="10"/>
        <color rgb="FF48464B"/>
        <rFont val="Arial"/>
        <family val="2"/>
      </rPr>
      <t>pengangka</t>
    </r>
    <r>
      <rPr>
        <sz val="10"/>
        <color rgb="FF232326"/>
        <rFont val="Arial"/>
        <family val="2"/>
      </rPr>
      <t>t</t>
    </r>
    <r>
      <rPr>
        <sz val="10"/>
        <color rgb="FF48464B"/>
        <rFont val="Arial"/>
        <family val="2"/>
      </rPr>
      <t>a</t>
    </r>
    <r>
      <rPr>
        <sz val="10"/>
        <color rgb="FF232326"/>
        <rFont val="Arial"/>
        <family val="2"/>
      </rPr>
      <t xml:space="preserve">n </t>
    </r>
    <r>
      <rPr>
        <sz val="10"/>
        <color rgb="FF48464B"/>
        <rFont val="Arial"/>
        <family val="2"/>
      </rPr>
      <t>dan D</t>
    </r>
    <r>
      <rPr>
        <sz val="10"/>
        <color rgb="FF131318"/>
        <rFont val="Arial"/>
        <family val="2"/>
      </rPr>
      <t>i</t>
    </r>
    <r>
      <rPr>
        <sz val="10"/>
        <color rgb="FF313134"/>
        <rFont val="Arial"/>
        <family val="2"/>
      </rPr>
      <t xml:space="preserve">reksi </t>
    </r>
    <r>
      <rPr>
        <sz val="10"/>
        <color rgb="FF48464B"/>
        <rFont val="Arial"/>
        <family val="2"/>
      </rPr>
      <t>dan Dewan Komisaris</t>
    </r>
  </si>
  <si>
    <r>
      <rPr>
        <sz val="10"/>
        <color rgb="FF313134"/>
        <rFont val="Arial"/>
        <family val="2"/>
      </rPr>
      <t xml:space="preserve">Risiko   terkait   </t>
    </r>
    <r>
      <rPr>
        <sz val="10"/>
        <color rgb="FF48464B"/>
        <rFont val="Arial"/>
        <family val="2"/>
      </rPr>
      <t xml:space="preserve">dengan   </t>
    </r>
    <r>
      <rPr>
        <vertAlign val="superscript"/>
        <sz val="10"/>
        <color rgb="FF48464B"/>
        <rFont val="Arial"/>
        <family val="2"/>
      </rPr>
      <t xml:space="preserve">performa   </t>
    </r>
    <r>
      <rPr>
        <vertAlign val="superscript"/>
        <sz val="10"/>
        <color rgb="FF313134"/>
        <rFont val="Arial"/>
        <family val="2"/>
      </rPr>
      <t>D</t>
    </r>
    <r>
      <rPr>
        <vertAlign val="superscript"/>
        <sz val="10"/>
        <color rgb="FF131318"/>
        <rFont val="Arial"/>
        <family val="2"/>
      </rPr>
      <t>i</t>
    </r>
    <r>
      <rPr>
        <vertAlign val="superscript"/>
        <sz val="10"/>
        <color rgb="FF313134"/>
        <rFont val="Arial"/>
        <family val="2"/>
      </rPr>
      <t>reks</t>
    </r>
    <r>
      <rPr>
        <vertAlign val="superscript"/>
        <sz val="10"/>
        <color rgb="FF605E64"/>
        <rFont val="Arial"/>
        <family val="2"/>
      </rPr>
      <t xml:space="preserve">i   </t>
    </r>
    <r>
      <rPr>
        <vertAlign val="superscript"/>
        <sz val="10"/>
        <color rgb="FF48464B"/>
        <rFont val="Arial"/>
        <family val="2"/>
      </rPr>
      <t xml:space="preserve">dan   Dewan </t>
    </r>
    <r>
      <rPr>
        <sz val="10"/>
        <color rgb="FF48464B"/>
        <rFont val="Arial"/>
        <family val="2"/>
      </rPr>
      <t>Komisaris  dalam menjalankan perusahaan sesuai p</t>
    </r>
    <r>
      <rPr>
        <sz val="10"/>
        <color rgb="FF757579"/>
        <rFont val="Arial"/>
        <family val="2"/>
      </rPr>
      <t>r</t>
    </r>
    <r>
      <rPr>
        <sz val="10"/>
        <color rgb="FF48464B"/>
        <rFont val="Arial"/>
        <family val="2"/>
      </rPr>
      <t>i</t>
    </r>
    <r>
      <rPr>
        <sz val="10"/>
        <color rgb="FF232326"/>
        <rFont val="Arial"/>
        <family val="2"/>
      </rPr>
      <t>n</t>
    </r>
    <r>
      <rPr>
        <sz val="10"/>
        <color rgb="FF48464B"/>
        <rFont val="Arial"/>
        <family val="2"/>
      </rPr>
      <t>s</t>
    </r>
    <r>
      <rPr>
        <sz val="10"/>
        <color rgb="FF232326"/>
        <rFont val="Arial"/>
        <family val="2"/>
      </rPr>
      <t>i</t>
    </r>
    <r>
      <rPr>
        <sz val="10"/>
        <color rgb="FF48464B"/>
        <rFont val="Arial"/>
        <family val="2"/>
      </rPr>
      <t xml:space="preserve">p </t>
    </r>
    <r>
      <rPr>
        <i/>
        <sz val="10"/>
        <color rgb="FF48464B"/>
        <rFont val="Arial"/>
        <family val="2"/>
      </rPr>
      <t>Good Corporate Gov</t>
    </r>
    <r>
      <rPr>
        <i/>
        <sz val="10"/>
        <color rgb="FF605E64"/>
        <rFont val="Arial"/>
        <family val="2"/>
      </rPr>
      <t>e</t>
    </r>
    <r>
      <rPr>
        <i/>
        <sz val="10"/>
        <color rgb="FF48464B"/>
        <rFont val="Arial"/>
        <family val="2"/>
      </rPr>
      <t xml:space="preserve">rnance </t>
    </r>
    <r>
      <rPr>
        <sz val="10"/>
        <color rgb="FF48464B"/>
        <rFont val="Arial"/>
        <family val="2"/>
      </rPr>
      <t>(GCG)</t>
    </r>
  </si>
  <si>
    <r>
      <rPr>
        <sz val="10"/>
        <color rgb="FF48464B"/>
        <rFont val="Arial"/>
        <family val="2"/>
      </rPr>
      <t>a.    Kegagala</t>
    </r>
    <r>
      <rPr>
        <sz val="10"/>
        <color rgb="FF232326"/>
        <rFont val="Arial"/>
        <family val="2"/>
      </rPr>
      <t xml:space="preserve">n   </t>
    </r>
    <r>
      <rPr>
        <sz val="10"/>
        <color rgb="FF48464B"/>
        <rFont val="Arial"/>
        <family val="2"/>
      </rPr>
      <t>D</t>
    </r>
    <r>
      <rPr>
        <sz val="10"/>
        <color rgb="FF605E64"/>
        <rFont val="Arial"/>
        <family val="2"/>
      </rPr>
      <t>i</t>
    </r>
    <r>
      <rPr>
        <sz val="10"/>
        <color rgb="FF48464B"/>
        <rFont val="Arial"/>
        <family val="2"/>
      </rPr>
      <t xml:space="preserve">reksi   atau   </t>
    </r>
    <r>
      <rPr>
        <sz val="10"/>
        <color rgb="FF313134"/>
        <rFont val="Arial"/>
        <family val="2"/>
      </rPr>
      <t xml:space="preserve">Dewan   </t>
    </r>
    <r>
      <rPr>
        <sz val="10"/>
        <color rgb="FF48464B"/>
        <rFont val="Arial"/>
        <family val="2"/>
      </rPr>
      <t>Komisaris dalam penerapan prins</t>
    </r>
    <r>
      <rPr>
        <sz val="10"/>
        <color rgb="FF232326"/>
        <rFont val="Arial"/>
        <family val="2"/>
      </rPr>
      <t xml:space="preserve">ip </t>
    </r>
    <r>
      <rPr>
        <sz val="10"/>
        <color rgb="FF48464B"/>
        <rFont val="Arial"/>
        <family val="2"/>
      </rPr>
      <t xml:space="preserve">GCG
b.    </t>
    </r>
    <r>
      <rPr>
        <vertAlign val="superscript"/>
        <sz val="10"/>
        <color rgb="FF48464B"/>
        <rFont val="Arial"/>
        <family val="2"/>
      </rPr>
      <t>Kurangnya kriteria sele</t>
    </r>
    <r>
      <rPr>
        <vertAlign val="superscript"/>
        <sz val="10"/>
        <color rgb="FF232326"/>
        <rFont val="Arial"/>
        <family val="2"/>
      </rPr>
      <t>k</t>
    </r>
    <r>
      <rPr>
        <vertAlign val="superscript"/>
        <sz val="10"/>
        <color rgb="FF48464B"/>
        <rFont val="Arial"/>
        <family val="2"/>
      </rPr>
      <t>si D</t>
    </r>
    <r>
      <rPr>
        <vertAlign val="superscript"/>
        <sz val="10"/>
        <color rgb="FF131318"/>
        <rFont val="Arial"/>
        <family val="2"/>
      </rPr>
      <t>i</t>
    </r>
    <r>
      <rPr>
        <vertAlign val="superscript"/>
        <sz val="10"/>
        <color rgb="FF605E64"/>
        <rFont val="Arial"/>
        <family val="2"/>
      </rPr>
      <t>r</t>
    </r>
    <r>
      <rPr>
        <vertAlign val="superscript"/>
        <sz val="10"/>
        <color rgb="FF48464B"/>
        <rFont val="Arial"/>
        <family val="2"/>
      </rPr>
      <t xml:space="preserve">eksi atau </t>
    </r>
    <r>
      <rPr>
        <vertAlign val="superscript"/>
        <sz val="10"/>
        <color rgb="FF313134"/>
        <rFont val="Arial"/>
        <family val="2"/>
      </rPr>
      <t xml:space="preserve">Dewan </t>
    </r>
    <r>
      <rPr>
        <sz val="10"/>
        <color rgb="FF48464B"/>
        <rFont val="Arial"/>
        <family val="2"/>
      </rPr>
      <t>Komisa</t>
    </r>
    <r>
      <rPr>
        <sz val="10"/>
        <color rgb="FF232326"/>
        <rFont val="Arial"/>
        <family val="2"/>
      </rPr>
      <t>ri</t>
    </r>
    <r>
      <rPr>
        <sz val="10"/>
        <color rgb="FF48464B"/>
        <rFont val="Arial"/>
        <family val="2"/>
      </rPr>
      <t>s
C.     (dapat ditambahkan sesua</t>
    </r>
    <r>
      <rPr>
        <sz val="10"/>
        <color rgb="FF131318"/>
        <rFont val="Arial"/>
        <family val="2"/>
      </rPr>
      <t xml:space="preserve">i </t>
    </r>
    <r>
      <rPr>
        <sz val="10"/>
        <color rgb="FF48464B"/>
        <rFont val="Arial"/>
        <family val="2"/>
      </rPr>
      <t>konteks perist</t>
    </r>
    <r>
      <rPr>
        <sz val="10"/>
        <color rgb="FF232326"/>
        <rFont val="Arial"/>
        <family val="2"/>
      </rPr>
      <t>i</t>
    </r>
    <r>
      <rPr>
        <sz val="10"/>
        <color rgb="FF48464B"/>
        <rFont val="Arial"/>
        <family val="2"/>
      </rPr>
      <t>wa
risiko pada satuan kerja masing-masing</t>
    </r>
    <r>
      <rPr>
        <sz val="10"/>
        <color rgb="FF605E64"/>
        <rFont val="Arial"/>
        <family val="2"/>
      </rPr>
      <t>)</t>
    </r>
  </si>
  <si>
    <r>
      <rPr>
        <sz val="10"/>
        <color rgb="FF48464B"/>
        <rFont val="Arial"/>
        <family val="2"/>
      </rPr>
      <t>R</t>
    </r>
    <r>
      <rPr>
        <sz val="10"/>
        <color rgb="FF232326"/>
        <rFont val="Arial"/>
        <family val="2"/>
      </rPr>
      <t>i</t>
    </r>
    <r>
      <rPr>
        <sz val="10"/>
        <color rgb="FF48464B"/>
        <rFont val="Arial"/>
        <family val="2"/>
      </rPr>
      <t>siko pene</t>
    </r>
    <r>
      <rPr>
        <sz val="10"/>
        <color rgb="FF232326"/>
        <rFont val="Arial"/>
        <family val="2"/>
      </rPr>
      <t>t</t>
    </r>
    <r>
      <rPr>
        <sz val="10"/>
        <color rgb="FF48464B"/>
        <rFont val="Arial"/>
        <family val="2"/>
      </rPr>
      <t>apan KP</t>
    </r>
    <r>
      <rPr>
        <sz val="10"/>
        <color theme="1"/>
        <rFont val="Arial"/>
        <family val="2"/>
      </rPr>
      <t xml:space="preserve">I </t>
    </r>
    <r>
      <rPr>
        <sz val="10"/>
        <color rgb="FF313134"/>
        <rFont val="Arial"/>
        <family val="2"/>
      </rPr>
      <t xml:space="preserve">Direksi </t>
    </r>
    <r>
      <rPr>
        <sz val="10"/>
        <color rgb="FF48464B"/>
        <rFont val="Arial"/>
        <family val="2"/>
      </rPr>
      <t xml:space="preserve">dan </t>
    </r>
    <r>
      <rPr>
        <sz val="10"/>
        <color rgb="FF313134"/>
        <rFont val="Arial"/>
        <family val="2"/>
      </rPr>
      <t xml:space="preserve">Dewan </t>
    </r>
    <r>
      <rPr>
        <sz val="10"/>
        <color rgb="FF48464B"/>
        <rFont val="Arial"/>
        <family val="2"/>
      </rPr>
      <t>Komisaris</t>
    </r>
  </si>
  <si>
    <r>
      <rPr>
        <sz val="10"/>
        <color rgb="FF313134"/>
        <rFont val="Arial"/>
        <family val="2"/>
      </rPr>
      <t xml:space="preserve">Risiko </t>
    </r>
    <r>
      <rPr>
        <sz val="10"/>
        <color rgb="FF48464B"/>
        <rFont val="Arial"/>
        <family val="2"/>
      </rPr>
      <t xml:space="preserve">yang berkaitan dengan potensi dampak negatif yang
</t>
    </r>
    <r>
      <rPr>
        <sz val="10"/>
        <color rgb="FF313134"/>
        <rFont val="Arial"/>
        <family val="2"/>
      </rPr>
      <t xml:space="preserve">dapat  </t>
    </r>
    <r>
      <rPr>
        <sz val="10"/>
        <color rgb="FF48464B"/>
        <rFont val="Arial"/>
        <family val="2"/>
      </rPr>
      <t>terjadi  j</t>
    </r>
    <r>
      <rPr>
        <sz val="10"/>
        <color rgb="FF605E64"/>
        <rFont val="Arial"/>
        <family val="2"/>
      </rPr>
      <t>i</t>
    </r>
    <r>
      <rPr>
        <sz val="10"/>
        <color rgb="FF48464B"/>
        <rFont val="Arial"/>
        <family val="2"/>
      </rPr>
      <t xml:space="preserve">ka  </t>
    </r>
    <r>
      <rPr>
        <sz val="10"/>
        <color rgb="FF313134"/>
        <rFont val="Arial"/>
        <family val="2"/>
      </rPr>
      <t>KP</t>
    </r>
    <r>
      <rPr>
        <sz val="10"/>
        <color rgb="FF131318"/>
        <rFont val="Arial"/>
        <family val="2"/>
      </rPr>
      <t xml:space="preserve">I  </t>
    </r>
    <r>
      <rPr>
        <sz val="10"/>
        <color rgb="FF48464B"/>
        <rFont val="Arial"/>
        <family val="2"/>
      </rPr>
      <t xml:space="preserve">yang  </t>
    </r>
    <r>
      <rPr>
        <sz val="10"/>
        <color rgb="FF313134"/>
        <rFont val="Arial"/>
        <family val="2"/>
      </rPr>
      <t xml:space="preserve">ditetapkan  </t>
    </r>
    <r>
      <rPr>
        <sz val="10"/>
        <color rgb="FF48464B"/>
        <rFont val="Arial"/>
        <family val="2"/>
      </rPr>
      <t>untuk  menguku</t>
    </r>
    <r>
      <rPr>
        <sz val="10"/>
        <color rgb="FF605E64"/>
        <rFont val="Arial"/>
        <family val="2"/>
      </rPr>
      <t xml:space="preserve">r </t>
    </r>
    <r>
      <rPr>
        <sz val="10"/>
        <color rgb="FF48464B"/>
        <rFont val="Arial"/>
        <family val="2"/>
      </rPr>
      <t>kinerja   para   pejabat   eksek</t>
    </r>
    <r>
      <rPr>
        <sz val="10"/>
        <color rgb="FF232326"/>
        <rFont val="Arial"/>
        <family val="2"/>
      </rPr>
      <t>ut</t>
    </r>
    <r>
      <rPr>
        <sz val="10"/>
        <color rgb="FF48464B"/>
        <rFont val="Arial"/>
        <family val="2"/>
      </rPr>
      <t>if   dan   pengawas    tidak dirancang atau d</t>
    </r>
    <r>
      <rPr>
        <sz val="10"/>
        <color rgb="FF232326"/>
        <rFont val="Arial"/>
        <family val="2"/>
      </rPr>
      <t>i</t>
    </r>
    <r>
      <rPr>
        <sz val="10"/>
        <color rgb="FF48464B"/>
        <rFont val="Arial"/>
        <family val="2"/>
      </rPr>
      <t>terapkan dengan benar</t>
    </r>
    <r>
      <rPr>
        <sz val="10"/>
        <color rgb="FF605E64"/>
        <rFont val="Arial"/>
        <family val="2"/>
      </rPr>
      <t>.</t>
    </r>
  </si>
  <si>
    <r>
      <rPr>
        <sz val="10"/>
        <color rgb="FF48464B"/>
        <rFont val="Arial"/>
        <family val="2"/>
      </rPr>
      <t>a</t>
    </r>
    <r>
      <rPr>
        <sz val="10"/>
        <color rgb="FF757579"/>
        <rFont val="Arial"/>
        <family val="2"/>
      </rPr>
      <t xml:space="preserve">.    </t>
    </r>
    <r>
      <rPr>
        <vertAlign val="superscript"/>
        <sz val="10"/>
        <color rgb="FF313134"/>
        <rFont val="Arial"/>
        <family val="2"/>
      </rPr>
      <t xml:space="preserve">Ketidaksesuaian   </t>
    </r>
    <r>
      <rPr>
        <vertAlign val="superscript"/>
        <sz val="10"/>
        <color rgb="FF48464B"/>
        <rFont val="Arial"/>
        <family val="2"/>
      </rPr>
      <t>sasaran   KP</t>
    </r>
    <r>
      <rPr>
        <vertAlign val="superscript"/>
        <sz val="10"/>
        <color rgb="FF232326"/>
        <rFont val="Arial"/>
        <family val="2"/>
      </rPr>
      <t xml:space="preserve">I   </t>
    </r>
    <r>
      <rPr>
        <vertAlign val="superscript"/>
        <sz val="10"/>
        <color rgb="FF313134"/>
        <rFont val="Arial"/>
        <family val="2"/>
      </rPr>
      <t xml:space="preserve">Direksi   </t>
    </r>
    <r>
      <rPr>
        <vertAlign val="superscript"/>
        <sz val="10"/>
        <color rgb="FF48464B"/>
        <rFont val="Arial"/>
        <family val="2"/>
      </rPr>
      <t xml:space="preserve">dan
</t>
    </r>
    <r>
      <rPr>
        <sz val="10"/>
        <color rgb="FF48464B"/>
        <rFont val="Arial"/>
        <family val="2"/>
      </rPr>
      <t>Dewan Kom</t>
    </r>
    <r>
      <rPr>
        <sz val="10"/>
        <color rgb="FF757579"/>
        <rFont val="Arial"/>
        <family val="2"/>
      </rPr>
      <t>i</t>
    </r>
    <r>
      <rPr>
        <sz val="10"/>
        <color rgb="FF48464B"/>
        <rFont val="Arial"/>
        <family val="2"/>
      </rPr>
      <t>saris dengan Aspirasi Pemegang Saham (APS) atau arahan st</t>
    </r>
    <r>
      <rPr>
        <sz val="10"/>
        <color rgb="FF605E64"/>
        <rFont val="Arial"/>
        <family val="2"/>
      </rPr>
      <t>r</t>
    </r>
    <r>
      <rPr>
        <sz val="10"/>
        <color rgb="FF48464B"/>
        <rFont val="Arial"/>
        <family val="2"/>
      </rPr>
      <t>ateg</t>
    </r>
    <r>
      <rPr>
        <sz val="10"/>
        <color rgb="FF605E64"/>
        <rFont val="Arial"/>
        <family val="2"/>
      </rPr>
      <t>i</t>
    </r>
    <r>
      <rPr>
        <sz val="10"/>
        <color rgb="FF48464B"/>
        <rFont val="Arial"/>
        <family val="2"/>
      </rPr>
      <t xml:space="preserve">s
b.    </t>
    </r>
    <r>
      <rPr>
        <sz val="10"/>
        <color rgb="FF313134"/>
        <rFont val="Arial"/>
        <family val="2"/>
      </rPr>
      <t>T</t>
    </r>
    <r>
      <rPr>
        <sz val="10"/>
        <color rgb="FF605E64"/>
        <rFont val="Arial"/>
        <family val="2"/>
      </rPr>
      <t>i</t>
    </r>
    <r>
      <rPr>
        <sz val="10"/>
        <color rgb="FF48464B"/>
        <rFont val="Arial"/>
        <family val="2"/>
      </rPr>
      <t>dak    ter</t>
    </r>
    <r>
      <rPr>
        <sz val="10"/>
        <color rgb="FF232326"/>
        <rFont val="Arial"/>
        <family val="2"/>
      </rPr>
      <t>i</t>
    </r>
    <r>
      <rPr>
        <sz val="10"/>
        <color rgb="FF48464B"/>
        <rFont val="Arial"/>
        <family val="2"/>
      </rPr>
      <t>nteg</t>
    </r>
    <r>
      <rPr>
        <sz val="10"/>
        <color rgb="FF232326"/>
        <rFont val="Arial"/>
        <family val="2"/>
      </rPr>
      <t>r</t>
    </r>
    <r>
      <rPr>
        <sz val="10"/>
        <color rgb="FF48464B"/>
        <rFont val="Arial"/>
        <family val="2"/>
      </rPr>
      <t>asinya   KP</t>
    </r>
    <r>
      <rPr>
        <sz val="10"/>
        <color rgb="FF232326"/>
        <rFont val="Arial"/>
        <family val="2"/>
      </rPr>
      <t xml:space="preserve">I   </t>
    </r>
    <r>
      <rPr>
        <sz val="10"/>
        <color rgb="FF313134"/>
        <rFont val="Arial"/>
        <family val="2"/>
      </rPr>
      <t>Dire</t>
    </r>
    <r>
      <rPr>
        <sz val="10"/>
        <color rgb="FF757579"/>
        <rFont val="Arial"/>
        <family val="2"/>
      </rPr>
      <t>k</t>
    </r>
    <r>
      <rPr>
        <sz val="10"/>
        <color rgb="FF48464B"/>
        <rFont val="Arial"/>
        <family val="2"/>
      </rPr>
      <t>si   antara Dire</t>
    </r>
    <r>
      <rPr>
        <sz val="10"/>
        <color rgb="FF605E64"/>
        <rFont val="Arial"/>
        <family val="2"/>
      </rPr>
      <t>k</t>
    </r>
    <r>
      <rPr>
        <sz val="10"/>
        <color rgb="FF48464B"/>
        <rFont val="Arial"/>
        <family val="2"/>
      </rPr>
      <t xml:space="preserve">torat
C.     </t>
    </r>
    <r>
      <rPr>
        <vertAlign val="superscript"/>
        <sz val="10"/>
        <color rgb="FF48464B"/>
        <rFont val="Arial"/>
        <family val="2"/>
      </rPr>
      <t>(dapat d</t>
    </r>
    <r>
      <rPr>
        <vertAlign val="superscript"/>
        <sz val="10"/>
        <color rgb="FF232326"/>
        <rFont val="Arial"/>
        <family val="2"/>
      </rPr>
      <t>i</t>
    </r>
    <r>
      <rPr>
        <vertAlign val="superscript"/>
        <sz val="10"/>
        <color rgb="FF48464B"/>
        <rFont val="Arial"/>
        <family val="2"/>
      </rPr>
      <t>tambahkan sesuai konteks pe</t>
    </r>
    <r>
      <rPr>
        <vertAlign val="superscript"/>
        <sz val="10"/>
        <color rgb="FF757579"/>
        <rFont val="Arial"/>
        <family val="2"/>
      </rPr>
      <t>r</t>
    </r>
    <r>
      <rPr>
        <vertAlign val="superscript"/>
        <sz val="10"/>
        <color rgb="FF232326"/>
        <rFont val="Arial"/>
        <family val="2"/>
      </rPr>
      <t>i</t>
    </r>
    <r>
      <rPr>
        <vertAlign val="superscript"/>
        <sz val="10"/>
        <color rgb="FF48464B"/>
        <rFont val="Arial"/>
        <family val="2"/>
      </rPr>
      <t xml:space="preserve">stiwa </t>
    </r>
    <r>
      <rPr>
        <sz val="10"/>
        <color rgb="FF48464B"/>
        <rFont val="Arial"/>
        <family val="2"/>
      </rPr>
      <t>r</t>
    </r>
    <r>
      <rPr>
        <sz val="10"/>
        <color rgb="FF605E64"/>
        <rFont val="Arial"/>
        <family val="2"/>
      </rPr>
      <t>i</t>
    </r>
    <r>
      <rPr>
        <sz val="10"/>
        <color rgb="FF48464B"/>
        <rFont val="Arial"/>
        <family val="2"/>
      </rPr>
      <t>siko pada sa</t>
    </r>
    <r>
      <rPr>
        <sz val="10"/>
        <color rgb="FF605E64"/>
        <rFont val="Arial"/>
        <family val="2"/>
      </rPr>
      <t>t</t>
    </r>
    <r>
      <rPr>
        <sz val="10"/>
        <color rgb="FF48464B"/>
        <rFont val="Arial"/>
        <family val="2"/>
      </rPr>
      <t xml:space="preserve">uan keria </t>
    </r>
    <r>
      <rPr>
        <sz val="10"/>
        <color rgb="FF605E64"/>
        <rFont val="Arial"/>
        <family val="2"/>
      </rPr>
      <t>m</t>
    </r>
    <r>
      <rPr>
        <sz val="10"/>
        <color rgb="FF48464B"/>
        <rFont val="Arial"/>
        <family val="2"/>
      </rPr>
      <t>as</t>
    </r>
    <r>
      <rPr>
        <sz val="10"/>
        <color rgb="FF232326"/>
        <rFont val="Arial"/>
        <family val="2"/>
      </rPr>
      <t>in</t>
    </r>
    <r>
      <rPr>
        <sz val="10"/>
        <color rgb="FF48464B"/>
        <rFont val="Arial"/>
        <family val="2"/>
      </rPr>
      <t>q</t>
    </r>
    <r>
      <rPr>
        <sz val="10"/>
        <color rgb="FF232326"/>
        <rFont val="Arial"/>
        <family val="2"/>
      </rPr>
      <t>-</t>
    </r>
    <r>
      <rPr>
        <sz val="10"/>
        <color rgb="FF48464B"/>
        <rFont val="Arial"/>
        <family val="2"/>
      </rPr>
      <t>mas</t>
    </r>
    <r>
      <rPr>
        <sz val="10"/>
        <color rgb="FF232326"/>
        <rFont val="Arial"/>
        <family val="2"/>
      </rPr>
      <t>i</t>
    </r>
    <r>
      <rPr>
        <sz val="10"/>
        <color rgb="FF48464B"/>
        <rFont val="Arial"/>
        <family val="2"/>
      </rPr>
      <t>nq)</t>
    </r>
  </si>
  <si>
    <r>
      <rPr>
        <sz val="10"/>
        <color rgb="FF48464B"/>
        <rFont val="Arial"/>
        <family val="2"/>
      </rPr>
      <t>Risiko kebijakan terkait sektor energi</t>
    </r>
  </si>
  <si>
    <r>
      <rPr>
        <sz val="10"/>
        <color rgb="FF313134"/>
        <rFont val="Arial"/>
        <family val="2"/>
      </rPr>
      <t xml:space="preserve">Risiko   ketidakstabilan   Perusahaan    </t>
    </r>
    <r>
      <rPr>
        <sz val="10"/>
        <color rgb="FF48464B"/>
        <rFont val="Arial"/>
        <family val="2"/>
      </rPr>
      <t>akibat   per</t>
    </r>
    <r>
      <rPr>
        <sz val="10"/>
        <color rgb="FF232326"/>
        <rFont val="Arial"/>
        <family val="2"/>
      </rPr>
      <t>u</t>
    </r>
    <r>
      <rPr>
        <sz val="10"/>
        <color rgb="FF48464B"/>
        <rFont val="Arial"/>
        <family val="2"/>
      </rPr>
      <t>bahan kebijakan dan regulasi yang m</t>
    </r>
    <r>
      <rPr>
        <sz val="10"/>
        <color rgb="FF605E64"/>
        <rFont val="Arial"/>
        <family val="2"/>
      </rPr>
      <t>e</t>
    </r>
    <r>
      <rPr>
        <sz val="10"/>
        <color rgb="FF48464B"/>
        <rFont val="Arial"/>
        <family val="2"/>
      </rPr>
      <t>mpengaruh</t>
    </r>
    <r>
      <rPr>
        <sz val="10"/>
        <color rgb="FF605E64"/>
        <rFont val="Arial"/>
        <family val="2"/>
      </rPr>
      <t xml:space="preserve">i </t>
    </r>
    <r>
      <rPr>
        <sz val="10"/>
        <color rgb="FF48464B"/>
        <rFont val="Arial"/>
        <family val="2"/>
      </rPr>
      <t>industr</t>
    </r>
    <r>
      <rPr>
        <sz val="10"/>
        <color rgb="FF605E64"/>
        <rFont val="Arial"/>
        <family val="2"/>
      </rPr>
      <t xml:space="preserve">i </t>
    </r>
    <r>
      <rPr>
        <sz val="10"/>
        <color rgb="FF48464B"/>
        <rFont val="Arial"/>
        <family val="2"/>
      </rPr>
      <t>sektor energi.</t>
    </r>
  </si>
  <si>
    <r>
      <rPr>
        <sz val="10"/>
        <color rgb="FF48464B"/>
        <rFont val="Arial"/>
        <family val="2"/>
      </rPr>
      <t xml:space="preserve">a.    </t>
    </r>
    <r>
      <rPr>
        <vertAlign val="superscript"/>
        <sz val="10"/>
        <color rgb="FF313134"/>
        <rFont val="Arial"/>
        <family val="2"/>
      </rPr>
      <t xml:space="preserve">Perubahan </t>
    </r>
    <r>
      <rPr>
        <vertAlign val="superscript"/>
        <sz val="10"/>
        <color rgb="FF48464B"/>
        <rFont val="Arial"/>
        <family val="2"/>
      </rPr>
      <t xml:space="preserve">model </t>
    </r>
    <r>
      <rPr>
        <vertAlign val="superscript"/>
        <sz val="10"/>
        <color rgb="FF313134"/>
        <rFont val="Arial"/>
        <family val="2"/>
      </rPr>
      <t xml:space="preserve">bisnis </t>
    </r>
    <r>
      <rPr>
        <vertAlign val="superscript"/>
        <sz val="10"/>
        <color rgb="FF48464B"/>
        <rFont val="Arial"/>
        <family val="2"/>
      </rPr>
      <t xml:space="preserve">yang merugikanPLN
</t>
    </r>
    <r>
      <rPr>
        <sz val="10"/>
        <color rgb="FF48464B"/>
        <rFont val="Arial"/>
        <family val="2"/>
      </rPr>
      <t xml:space="preserve">b.    </t>
    </r>
    <r>
      <rPr>
        <vertAlign val="superscript"/>
        <sz val="10"/>
        <color rgb="FF313134"/>
        <rFont val="Arial"/>
        <family val="2"/>
      </rPr>
      <t xml:space="preserve">Tidak </t>
    </r>
    <r>
      <rPr>
        <vertAlign val="superscript"/>
        <sz val="10"/>
        <color rgb="FF48464B"/>
        <rFont val="Arial"/>
        <family val="2"/>
      </rPr>
      <t>tercapain</t>
    </r>
    <r>
      <rPr>
        <vertAlign val="superscript"/>
        <sz val="10"/>
        <color rgb="FF605E64"/>
        <rFont val="Arial"/>
        <family val="2"/>
      </rPr>
      <t>y</t>
    </r>
    <r>
      <rPr>
        <vertAlign val="superscript"/>
        <sz val="10"/>
        <color rgb="FF48464B"/>
        <rFont val="Arial"/>
        <family val="2"/>
      </rPr>
      <t xml:space="preserve">a </t>
    </r>
    <r>
      <rPr>
        <vertAlign val="superscript"/>
        <sz val="10"/>
        <color rgb="FF313134"/>
        <rFont val="Arial"/>
        <family val="2"/>
      </rPr>
      <t xml:space="preserve">target </t>
    </r>
    <r>
      <rPr>
        <i/>
        <vertAlign val="superscript"/>
        <sz val="10"/>
        <color rgb="FF48464B"/>
        <rFont val="Arial"/>
        <family val="2"/>
      </rPr>
      <t xml:space="preserve">net zero emmision
</t>
    </r>
    <r>
      <rPr>
        <sz val="10"/>
        <color rgb="FF48464B"/>
        <rFont val="Arial"/>
        <family val="2"/>
      </rPr>
      <t>C</t>
    </r>
    <r>
      <rPr>
        <sz val="10"/>
        <color rgb="FF605E64"/>
        <rFont val="Arial"/>
        <family val="2"/>
      </rPr>
      <t xml:space="preserve">.     </t>
    </r>
    <r>
      <rPr>
        <vertAlign val="superscript"/>
        <sz val="10"/>
        <color rgb="FF48464B"/>
        <rFont val="Arial"/>
        <family val="2"/>
      </rPr>
      <t>(dapat d</t>
    </r>
    <r>
      <rPr>
        <vertAlign val="superscript"/>
        <sz val="10"/>
        <color rgb="FF232326"/>
        <rFont val="Arial"/>
        <family val="2"/>
      </rPr>
      <t>i</t>
    </r>
    <r>
      <rPr>
        <vertAlign val="superscript"/>
        <sz val="10"/>
        <color rgb="FF605E64"/>
        <rFont val="Arial"/>
        <family val="2"/>
      </rPr>
      <t>t</t>
    </r>
    <r>
      <rPr>
        <vertAlign val="superscript"/>
        <sz val="10"/>
        <color rgb="FF48464B"/>
        <rFont val="Arial"/>
        <family val="2"/>
      </rPr>
      <t xml:space="preserve">ambahkan sesuai </t>
    </r>
    <r>
      <rPr>
        <vertAlign val="superscript"/>
        <sz val="10"/>
        <color rgb="FF605E64"/>
        <rFont val="Arial"/>
        <family val="2"/>
      </rPr>
      <t>k</t>
    </r>
    <r>
      <rPr>
        <vertAlign val="superscript"/>
        <sz val="10"/>
        <color rgb="FF48464B"/>
        <rFont val="Arial"/>
        <family val="2"/>
      </rPr>
      <t>onteks pe</t>
    </r>
    <r>
      <rPr>
        <vertAlign val="superscript"/>
        <sz val="10"/>
        <color rgb="FF605E64"/>
        <rFont val="Arial"/>
        <family val="2"/>
      </rPr>
      <t>r</t>
    </r>
    <r>
      <rPr>
        <vertAlign val="superscript"/>
        <sz val="10"/>
        <color rgb="FF48464B"/>
        <rFont val="Arial"/>
        <family val="2"/>
      </rPr>
      <t xml:space="preserve">istiwa </t>
    </r>
    <r>
      <rPr>
        <sz val="10"/>
        <color rgb="FF313134"/>
        <rFont val="Arial"/>
        <family val="2"/>
      </rPr>
      <t xml:space="preserve">risiko </t>
    </r>
    <r>
      <rPr>
        <sz val="10"/>
        <color rgb="FF48464B"/>
        <rFont val="Arial"/>
        <family val="2"/>
      </rPr>
      <t>pada sa</t>
    </r>
    <r>
      <rPr>
        <sz val="10"/>
        <color rgb="FF605E64"/>
        <rFont val="Arial"/>
        <family val="2"/>
      </rPr>
      <t>t</t>
    </r>
    <r>
      <rPr>
        <sz val="10"/>
        <color rgb="FF313134"/>
        <rFont val="Arial"/>
        <family val="2"/>
      </rPr>
      <t xml:space="preserve">uan keria </t>
    </r>
    <r>
      <rPr>
        <sz val="10"/>
        <color rgb="FF48464B"/>
        <rFont val="Arial"/>
        <family val="2"/>
      </rPr>
      <t>mas</t>
    </r>
    <r>
      <rPr>
        <sz val="10"/>
        <color rgb="FF131318"/>
        <rFont val="Arial"/>
        <family val="2"/>
      </rPr>
      <t>i</t>
    </r>
    <r>
      <rPr>
        <sz val="10"/>
        <color rgb="FF48464B"/>
        <rFont val="Arial"/>
        <family val="2"/>
      </rPr>
      <t>no</t>
    </r>
    <r>
      <rPr>
        <sz val="10"/>
        <color rgb="FF232326"/>
        <rFont val="Arial"/>
        <family val="2"/>
      </rPr>
      <t>-</t>
    </r>
    <r>
      <rPr>
        <sz val="10"/>
        <color rgb="FF48464B"/>
        <rFont val="Arial"/>
        <family val="2"/>
      </rPr>
      <t>masinq)</t>
    </r>
  </si>
  <si>
    <r>
      <rPr>
        <sz val="10"/>
        <color rgb="FF48464B"/>
        <rFont val="Arial"/>
        <family val="2"/>
      </rPr>
      <t xml:space="preserve">Risiko </t>
    </r>
    <r>
      <rPr>
        <sz val="10"/>
        <color rgb="FF313134"/>
        <rFont val="Arial"/>
        <family val="2"/>
      </rPr>
      <t xml:space="preserve">kebijakan </t>
    </r>
    <r>
      <rPr>
        <sz val="10"/>
        <color rgb="FF48464B"/>
        <rFont val="Arial"/>
        <family val="2"/>
      </rPr>
      <t>terkait sektor non energi</t>
    </r>
  </si>
  <si>
    <r>
      <rPr>
        <sz val="10"/>
        <color rgb="FF232326"/>
        <rFont val="Arial"/>
        <family val="2"/>
      </rPr>
      <t>R</t>
    </r>
    <r>
      <rPr>
        <sz val="10"/>
        <color rgb="FF48464B"/>
        <rFont val="Arial"/>
        <family val="2"/>
      </rPr>
      <t xml:space="preserve">isiko yang </t>
    </r>
    <r>
      <rPr>
        <sz val="10"/>
        <color rgb="FF313134"/>
        <rFont val="Arial"/>
        <family val="2"/>
      </rPr>
      <t xml:space="preserve">timbul </t>
    </r>
    <r>
      <rPr>
        <sz val="10"/>
        <color rgb="FF48464B"/>
        <rFont val="Arial"/>
        <family val="2"/>
      </rPr>
      <t>dari perubahan kebijakan dan regulas</t>
    </r>
    <r>
      <rPr>
        <sz val="10"/>
        <color rgb="FF605E64"/>
        <rFont val="Arial"/>
        <family val="2"/>
      </rPr>
      <t xml:space="preserve">i
</t>
    </r>
    <r>
      <rPr>
        <sz val="10"/>
        <color rgb="FF48464B"/>
        <rFont val="Arial"/>
        <family val="2"/>
      </rPr>
      <t xml:space="preserve">yang </t>
    </r>
    <r>
      <rPr>
        <sz val="10"/>
        <color rgb="FF313134"/>
        <rFont val="Arial"/>
        <family val="2"/>
      </rPr>
      <t xml:space="preserve">mempengaruhi </t>
    </r>
    <r>
      <rPr>
        <sz val="10"/>
        <color rgb="FF48464B"/>
        <rFont val="Arial"/>
        <family val="2"/>
      </rPr>
      <t>sektor-sektor ekonomi selain industri sek</t>
    </r>
    <r>
      <rPr>
        <sz val="10"/>
        <color rgb="FF232326"/>
        <rFont val="Arial"/>
        <family val="2"/>
      </rPr>
      <t>t</t>
    </r>
    <r>
      <rPr>
        <sz val="10"/>
        <color rgb="FF48464B"/>
        <rFont val="Arial"/>
        <family val="2"/>
      </rPr>
      <t>or energ</t>
    </r>
    <r>
      <rPr>
        <sz val="10"/>
        <color rgb="FF232326"/>
        <rFont val="Arial"/>
        <family val="2"/>
      </rPr>
      <t>i</t>
    </r>
    <r>
      <rPr>
        <sz val="10"/>
        <color rgb="FF605E64"/>
        <rFont val="Arial"/>
        <family val="2"/>
      </rPr>
      <t>.</t>
    </r>
  </si>
  <si>
    <r>
      <rPr>
        <sz val="10"/>
        <color rgb="FF48464B"/>
        <rFont val="Arial"/>
        <family val="2"/>
      </rPr>
      <t xml:space="preserve">a.    </t>
    </r>
    <r>
      <rPr>
        <vertAlign val="superscript"/>
        <sz val="10"/>
        <color rgb="FF48464B"/>
        <rFont val="Arial"/>
        <family val="2"/>
      </rPr>
      <t>D</t>
    </r>
    <r>
      <rPr>
        <vertAlign val="superscript"/>
        <sz val="10"/>
        <color rgb="FF232326"/>
        <rFont val="Arial"/>
        <family val="2"/>
      </rPr>
      <t>i</t>
    </r>
    <r>
      <rPr>
        <vertAlign val="superscript"/>
        <sz val="10"/>
        <color rgb="FF48464B"/>
        <rFont val="Arial"/>
        <family val="2"/>
      </rPr>
      <t>s</t>
    </r>
    <r>
      <rPr>
        <vertAlign val="superscript"/>
        <sz val="10"/>
        <color rgb="FF232326"/>
        <rFont val="Arial"/>
        <family val="2"/>
      </rPr>
      <t>k</t>
    </r>
    <r>
      <rPr>
        <vertAlign val="superscript"/>
        <sz val="10"/>
        <color rgb="FF48464B"/>
        <rFont val="Arial"/>
        <family val="2"/>
      </rPr>
      <t>r</t>
    </r>
    <r>
      <rPr>
        <vertAlign val="superscript"/>
        <sz val="10"/>
        <color rgb="FF605E64"/>
        <rFont val="Arial"/>
        <family val="2"/>
      </rPr>
      <t>i</t>
    </r>
    <r>
      <rPr>
        <vertAlign val="superscript"/>
        <sz val="10"/>
        <color rgb="FF48464B"/>
        <rFont val="Arial"/>
        <family val="2"/>
      </rPr>
      <t>minas</t>
    </r>
    <r>
      <rPr>
        <vertAlign val="superscript"/>
        <sz val="10"/>
        <color rgb="FF605E64"/>
        <rFont val="Arial"/>
        <family val="2"/>
      </rPr>
      <t xml:space="preserve">i </t>
    </r>
    <r>
      <rPr>
        <vertAlign val="superscript"/>
        <sz val="10"/>
        <color rgb="FF48464B"/>
        <rFont val="Arial"/>
        <family val="2"/>
      </rPr>
      <t>gender da</t>
    </r>
    <r>
      <rPr>
        <vertAlign val="superscript"/>
        <sz val="10"/>
        <color rgb="FF000000"/>
        <rFont val="Arial"/>
        <family val="2"/>
      </rPr>
      <t>l</t>
    </r>
    <r>
      <rPr>
        <vertAlign val="superscript"/>
        <sz val="10"/>
        <color rgb="FF48464B"/>
        <rFont val="Arial"/>
        <family val="2"/>
      </rPr>
      <t xml:space="preserve">am hak kepegawaian
</t>
    </r>
    <r>
      <rPr>
        <sz val="10"/>
        <color rgb="FF48464B"/>
        <rFont val="Arial"/>
        <family val="2"/>
      </rPr>
      <t xml:space="preserve">b.    </t>
    </r>
    <r>
      <rPr>
        <vertAlign val="superscript"/>
        <sz val="10"/>
        <color rgb="FF313134"/>
        <rFont val="Arial"/>
        <family val="2"/>
      </rPr>
      <t xml:space="preserve">Pembatasan </t>
    </r>
    <r>
      <rPr>
        <vertAlign val="superscript"/>
        <sz val="10"/>
        <color rgb="FF48464B"/>
        <rFont val="Arial"/>
        <family val="2"/>
      </rPr>
      <t>impor mater</t>
    </r>
    <r>
      <rPr>
        <vertAlign val="superscript"/>
        <sz val="10"/>
        <color rgb="FF232326"/>
        <rFont val="Arial"/>
        <family val="2"/>
      </rPr>
      <t>i</t>
    </r>
    <r>
      <rPr>
        <vertAlign val="superscript"/>
        <sz val="10"/>
        <color rgb="FF48464B"/>
        <rFont val="Arial"/>
        <family val="2"/>
      </rPr>
      <t>al atau peralata</t>
    </r>
    <r>
      <rPr>
        <vertAlign val="superscript"/>
        <sz val="10"/>
        <color rgb="FF605E64"/>
        <rFont val="Arial"/>
        <family val="2"/>
      </rPr>
      <t xml:space="preserve">n
</t>
    </r>
    <r>
      <rPr>
        <sz val="10"/>
        <color rgb="FF48464B"/>
        <rFont val="Arial"/>
        <family val="2"/>
      </rPr>
      <t>C.     (dapat ditambahkan sesua</t>
    </r>
    <r>
      <rPr>
        <sz val="10"/>
        <color rgb="FF757579"/>
        <rFont val="Arial"/>
        <family val="2"/>
      </rPr>
      <t xml:space="preserve">i </t>
    </r>
    <r>
      <rPr>
        <sz val="10"/>
        <color rgb="FF48464B"/>
        <rFont val="Arial"/>
        <family val="2"/>
      </rPr>
      <t xml:space="preserve">konteks </t>
    </r>
    <r>
      <rPr>
        <sz val="10"/>
        <color rgb="FF313134"/>
        <rFont val="Arial"/>
        <family val="2"/>
      </rPr>
      <t xml:space="preserve">peristiwa risiko </t>
    </r>
    <r>
      <rPr>
        <sz val="10"/>
        <color rgb="FF48464B"/>
        <rFont val="Arial"/>
        <family val="2"/>
      </rPr>
      <t xml:space="preserve">pada satuan </t>
    </r>
    <r>
      <rPr>
        <sz val="10"/>
        <color rgb="FF313134"/>
        <rFont val="Arial"/>
        <family val="2"/>
      </rPr>
      <t xml:space="preserve">keria </t>
    </r>
    <r>
      <rPr>
        <sz val="10"/>
        <color rgb="FF48464B"/>
        <rFont val="Arial"/>
        <family val="2"/>
      </rPr>
      <t>masino</t>
    </r>
    <r>
      <rPr>
        <sz val="10"/>
        <color rgb="FF131318"/>
        <rFont val="Arial"/>
        <family val="2"/>
      </rPr>
      <t>-</t>
    </r>
    <r>
      <rPr>
        <sz val="10"/>
        <color rgb="FF48464B"/>
        <rFont val="Arial"/>
        <family val="2"/>
      </rPr>
      <t>masino)</t>
    </r>
  </si>
  <si>
    <r>
      <rPr>
        <sz val="10"/>
        <color rgb="FF48464B"/>
        <rFont val="Arial"/>
        <family val="2"/>
      </rPr>
      <t>Risiko konsentrasi portfolio aset</t>
    </r>
  </si>
  <si>
    <r>
      <rPr>
        <sz val="10"/>
        <color rgb="FF48464B"/>
        <rFont val="Arial"/>
        <family val="2"/>
      </rPr>
      <t>R</t>
    </r>
    <r>
      <rPr>
        <sz val="10"/>
        <color rgb="FF232326"/>
        <rFont val="Arial"/>
        <family val="2"/>
      </rPr>
      <t>i</t>
    </r>
    <r>
      <rPr>
        <sz val="10"/>
        <color rgb="FF48464B"/>
        <rFont val="Arial"/>
        <family val="2"/>
      </rPr>
      <t>siko  ya</t>
    </r>
    <r>
      <rPr>
        <sz val="10"/>
        <color rgb="FF232326"/>
        <rFont val="Arial"/>
        <family val="2"/>
      </rPr>
      <t>n</t>
    </r>
    <r>
      <rPr>
        <sz val="10"/>
        <color rgb="FF48464B"/>
        <rFont val="Arial"/>
        <family val="2"/>
      </rPr>
      <t xml:space="preserve">g  </t>
    </r>
    <r>
      <rPr>
        <sz val="10"/>
        <color rgb="FF232326"/>
        <rFont val="Arial"/>
        <family val="2"/>
      </rPr>
      <t>t</t>
    </r>
    <r>
      <rPr>
        <sz val="10"/>
        <color rgb="FF48464B"/>
        <rFont val="Arial"/>
        <family val="2"/>
      </rPr>
      <t xml:space="preserve">erjadi  karena  </t>
    </r>
    <r>
      <rPr>
        <sz val="10"/>
        <color rgb="FF232326"/>
        <rFont val="Arial"/>
        <family val="2"/>
      </rPr>
      <t>i</t>
    </r>
    <r>
      <rPr>
        <sz val="10"/>
        <color rgb="FF48464B"/>
        <rFont val="Arial"/>
        <family val="2"/>
      </rPr>
      <t>nvestasi  atau  alokasi  aset
perusahaa</t>
    </r>
    <r>
      <rPr>
        <sz val="10"/>
        <color rgb="FF232326"/>
        <rFont val="Arial"/>
        <family val="2"/>
      </rPr>
      <t xml:space="preserve">n </t>
    </r>
    <r>
      <rPr>
        <sz val="10"/>
        <color rgb="FF48464B"/>
        <rFont val="Arial"/>
        <family val="2"/>
      </rPr>
      <t xml:space="preserve">terla </t>
    </r>
    <r>
      <rPr>
        <sz val="10"/>
        <color rgb="FF131318"/>
        <rFont val="Arial"/>
        <family val="2"/>
      </rPr>
      <t>l</t>
    </r>
    <r>
      <rPr>
        <sz val="10"/>
        <color rgb="FF313134"/>
        <rFont val="Arial"/>
        <family val="2"/>
      </rPr>
      <t xml:space="preserve">u </t>
    </r>
    <r>
      <rPr>
        <sz val="10"/>
        <color rgb="FF48464B"/>
        <rFont val="Arial"/>
        <family val="2"/>
      </rPr>
      <t>terfokus pada satu area atau jenis aset tertentu</t>
    </r>
    <r>
      <rPr>
        <sz val="10"/>
        <color rgb="FF605E64"/>
        <rFont val="Arial"/>
        <family val="2"/>
      </rPr>
      <t xml:space="preserve">,   </t>
    </r>
    <r>
      <rPr>
        <sz val="10"/>
        <color rgb="FF48464B"/>
        <rFont val="Arial"/>
        <family val="2"/>
      </rPr>
      <t>sehi</t>
    </r>
    <r>
      <rPr>
        <sz val="10"/>
        <color rgb="FF232326"/>
        <rFont val="Arial"/>
        <family val="2"/>
      </rPr>
      <t>n</t>
    </r>
    <r>
      <rPr>
        <sz val="10"/>
        <color rgb="FF48464B"/>
        <rFont val="Arial"/>
        <family val="2"/>
      </rPr>
      <t>gga   men</t>
    </r>
    <r>
      <rPr>
        <sz val="10"/>
        <color rgb="FF232326"/>
        <rFont val="Arial"/>
        <family val="2"/>
      </rPr>
      <t>i</t>
    </r>
    <r>
      <rPr>
        <sz val="10"/>
        <color rgb="FF48464B"/>
        <rFont val="Arial"/>
        <family val="2"/>
      </rPr>
      <t>ngkat</t>
    </r>
    <r>
      <rPr>
        <sz val="10"/>
        <color rgb="FF232326"/>
        <rFont val="Arial"/>
        <family val="2"/>
      </rPr>
      <t>k</t>
    </r>
    <r>
      <rPr>
        <sz val="10"/>
        <color rgb="FF48464B"/>
        <rFont val="Arial"/>
        <family val="2"/>
      </rPr>
      <t xml:space="preserve">an   </t>
    </r>
    <r>
      <rPr>
        <sz val="10"/>
        <color rgb="FF313134"/>
        <rFont val="Arial"/>
        <family val="2"/>
      </rPr>
      <t xml:space="preserve">kerentanan   </t>
    </r>
    <r>
      <rPr>
        <sz val="10"/>
        <color rgb="FF48464B"/>
        <rFont val="Arial"/>
        <family val="2"/>
      </rPr>
      <t>terhadap</t>
    </r>
  </si>
  <si>
    <r>
      <rPr>
        <sz val="10"/>
        <color rgb="FF48464B"/>
        <rFont val="Arial"/>
        <family val="2"/>
      </rPr>
      <t>a</t>
    </r>
    <r>
      <rPr>
        <sz val="10"/>
        <color rgb="FF605E64"/>
        <rFont val="Arial"/>
        <family val="2"/>
      </rPr>
      <t xml:space="preserve">.    </t>
    </r>
    <r>
      <rPr>
        <vertAlign val="superscript"/>
        <sz val="10"/>
        <color rgb="FF48464B"/>
        <rFont val="Arial"/>
        <family val="2"/>
      </rPr>
      <t xml:space="preserve">Terkonsentrasinya investasi pada pembangkit
</t>
    </r>
    <r>
      <rPr>
        <sz val="10"/>
        <color rgb="FF000000"/>
        <rFont val="Arial"/>
        <family val="2"/>
      </rPr>
      <t>l</t>
    </r>
    <r>
      <rPr>
        <sz val="10"/>
        <color rgb="FF605E64"/>
        <rFont val="Arial"/>
        <family val="2"/>
      </rPr>
      <t>i</t>
    </r>
    <r>
      <rPr>
        <sz val="10"/>
        <color rgb="FF48464B"/>
        <rFont val="Arial"/>
        <family val="2"/>
      </rPr>
      <t>str</t>
    </r>
    <r>
      <rPr>
        <sz val="10"/>
        <color rgb="FF232326"/>
        <rFont val="Arial"/>
        <family val="2"/>
      </rPr>
      <t>i</t>
    </r>
    <r>
      <rPr>
        <sz val="10"/>
        <color rgb="FF48464B"/>
        <rFont val="Arial"/>
        <family val="2"/>
      </rPr>
      <t>k berbaha</t>
    </r>
    <r>
      <rPr>
        <sz val="10"/>
        <color rgb="FF232326"/>
        <rFont val="Arial"/>
        <family val="2"/>
      </rPr>
      <t xml:space="preserve">n </t>
    </r>
    <r>
      <rPr>
        <sz val="10"/>
        <color rgb="FF48464B"/>
        <rFont val="Arial"/>
        <family val="2"/>
      </rPr>
      <t xml:space="preserve">bakar fosil
b.    </t>
    </r>
    <r>
      <rPr>
        <vertAlign val="superscript"/>
        <sz val="10"/>
        <color rgb="FF313134"/>
        <rFont val="Arial"/>
        <family val="2"/>
      </rPr>
      <t>Tingg</t>
    </r>
    <r>
      <rPr>
        <vertAlign val="superscript"/>
        <sz val="10"/>
        <color rgb="FF131318"/>
        <rFont val="Arial"/>
        <family val="2"/>
      </rPr>
      <t>i</t>
    </r>
    <r>
      <rPr>
        <vertAlign val="superscript"/>
        <sz val="10"/>
        <color rgb="FF48464B"/>
        <rFont val="Arial"/>
        <family val="2"/>
      </rPr>
      <t>nya  alokasi  aset  pada  w</t>
    </r>
    <r>
      <rPr>
        <vertAlign val="superscript"/>
        <sz val="10"/>
        <color rgb="FF131318"/>
        <rFont val="Arial"/>
        <family val="2"/>
      </rPr>
      <t>i</t>
    </r>
    <r>
      <rPr>
        <vertAlign val="superscript"/>
        <sz val="10"/>
        <color rgb="FF313134"/>
        <rFont val="Arial"/>
        <family val="2"/>
      </rPr>
      <t xml:space="preserve">layah  </t>
    </r>
    <r>
      <rPr>
        <vertAlign val="superscript"/>
        <sz val="10"/>
        <color rgb="FF48464B"/>
        <rFont val="Arial"/>
        <family val="2"/>
      </rPr>
      <t xml:space="preserve">rawan </t>
    </r>
    <r>
      <rPr>
        <sz val="10"/>
        <color rgb="FF48464B"/>
        <rFont val="Arial"/>
        <family val="2"/>
      </rPr>
      <t>bencana</t>
    </r>
  </si>
  <si>
    <r>
      <rPr>
        <sz val="10"/>
        <color rgb="FF343436"/>
        <rFont val="Arial"/>
        <family val="2"/>
      </rPr>
      <t>pe</t>
    </r>
    <r>
      <rPr>
        <sz val="10"/>
        <color rgb="FF181A1C"/>
        <rFont val="Arial"/>
        <family val="2"/>
      </rPr>
      <t>r</t>
    </r>
    <r>
      <rPr>
        <sz val="10"/>
        <color rgb="FF343436"/>
        <rFont val="Arial"/>
        <family val="2"/>
      </rPr>
      <t>ubaha</t>
    </r>
    <r>
      <rPr>
        <sz val="10"/>
        <color rgb="FF181A1C"/>
        <rFont val="Arial"/>
        <family val="2"/>
      </rPr>
      <t xml:space="preserve">n  </t>
    </r>
    <r>
      <rPr>
        <sz val="10"/>
        <color rgb="FF343436"/>
        <rFont val="Arial"/>
        <family val="2"/>
      </rPr>
      <t>a</t>
    </r>
    <r>
      <rPr>
        <sz val="10"/>
        <color rgb="FF181A1C"/>
        <rFont val="Arial"/>
        <family val="2"/>
      </rPr>
      <t>t</t>
    </r>
    <r>
      <rPr>
        <sz val="10"/>
        <color rgb="FF343436"/>
        <rFont val="Arial"/>
        <family val="2"/>
      </rPr>
      <t>au ga</t>
    </r>
    <r>
      <rPr>
        <sz val="10"/>
        <color rgb="FF181A1C"/>
        <rFont val="Arial"/>
        <family val="2"/>
      </rPr>
      <t>n</t>
    </r>
    <r>
      <rPr>
        <sz val="10"/>
        <color rgb="FF343436"/>
        <rFont val="Arial"/>
        <family val="2"/>
      </rPr>
      <t>gguan spesi</t>
    </r>
    <r>
      <rPr>
        <sz val="10"/>
        <color rgb="FF181A1C"/>
        <rFont val="Arial"/>
        <family val="2"/>
      </rPr>
      <t xml:space="preserve">fik  </t>
    </r>
    <r>
      <rPr>
        <sz val="10"/>
        <color rgb="FF343436"/>
        <rFont val="Arial"/>
        <family val="2"/>
      </rPr>
      <t>ya</t>
    </r>
    <r>
      <rPr>
        <sz val="10"/>
        <color rgb="FF181A1C"/>
        <rFont val="Arial"/>
        <family val="2"/>
      </rPr>
      <t>n</t>
    </r>
    <r>
      <rPr>
        <sz val="10"/>
        <color rgb="FF343436"/>
        <rFont val="Arial"/>
        <family val="2"/>
      </rPr>
      <t xml:space="preserve">g  </t>
    </r>
    <r>
      <rPr>
        <sz val="10"/>
        <color rgb="FF181A1C"/>
        <rFont val="Arial"/>
        <family val="2"/>
      </rPr>
      <t>m</t>
    </r>
    <r>
      <rPr>
        <sz val="10"/>
        <color rgb="FF464649"/>
        <rFont val="Arial"/>
        <family val="2"/>
      </rPr>
      <t>empenga</t>
    </r>
    <r>
      <rPr>
        <sz val="10"/>
        <color rgb="FF181A1C"/>
        <rFont val="Arial"/>
        <family val="2"/>
      </rPr>
      <t>ruh</t>
    </r>
    <r>
      <rPr>
        <sz val="10"/>
        <color rgb="FF464649"/>
        <rFont val="Arial"/>
        <family val="2"/>
      </rPr>
      <t xml:space="preserve">i
</t>
    </r>
    <r>
      <rPr>
        <sz val="10"/>
        <color rgb="FF343436"/>
        <rFont val="Arial"/>
        <family val="2"/>
      </rPr>
      <t>a</t>
    </r>
    <r>
      <rPr>
        <sz val="10"/>
        <color rgb="FF181A1C"/>
        <rFont val="Arial"/>
        <family val="2"/>
      </rPr>
      <t>r</t>
    </r>
    <r>
      <rPr>
        <sz val="10"/>
        <color rgb="FF343436"/>
        <rFont val="Arial"/>
        <family val="2"/>
      </rPr>
      <t xml:space="preserve">ea </t>
    </r>
    <r>
      <rPr>
        <sz val="10"/>
        <color rgb="FF464649"/>
        <rFont val="Arial"/>
        <family val="2"/>
      </rPr>
      <t xml:space="preserve">atau </t>
    </r>
    <r>
      <rPr>
        <sz val="10"/>
        <color rgb="FF343436"/>
        <rFont val="Arial"/>
        <family val="2"/>
      </rPr>
      <t>ase</t>
    </r>
    <r>
      <rPr>
        <sz val="10"/>
        <color rgb="FF181A1C"/>
        <rFont val="Arial"/>
        <family val="2"/>
      </rPr>
      <t xml:space="preserve">t </t>
    </r>
    <r>
      <rPr>
        <sz val="10"/>
        <color rgb="FF343436"/>
        <rFont val="Arial"/>
        <family val="2"/>
      </rPr>
      <t>te</t>
    </r>
    <r>
      <rPr>
        <sz val="10"/>
        <color rgb="FF181A1C"/>
        <rFont val="Arial"/>
        <family val="2"/>
      </rPr>
      <t>r</t>
    </r>
    <r>
      <rPr>
        <sz val="10"/>
        <color rgb="FF343436"/>
        <rFont val="Arial"/>
        <family val="2"/>
      </rPr>
      <t>sebut.</t>
    </r>
  </si>
  <si>
    <r>
      <rPr>
        <sz val="10"/>
        <color rgb="FF343436"/>
        <rFont val="Arial"/>
        <family val="2"/>
      </rPr>
      <t>C</t>
    </r>
    <r>
      <rPr>
        <sz val="10"/>
        <color rgb="FF181A1C"/>
        <rFont val="Arial"/>
        <family val="2"/>
      </rPr>
      <t xml:space="preserve">.      </t>
    </r>
    <r>
      <rPr>
        <sz val="10"/>
        <color rgb="FF464649"/>
        <rFont val="Arial"/>
        <family val="2"/>
      </rPr>
      <t xml:space="preserve">(dapat </t>
    </r>
    <r>
      <rPr>
        <sz val="10"/>
        <color rgb="FF343436"/>
        <rFont val="Arial"/>
        <family val="2"/>
      </rPr>
      <t xml:space="preserve">ditambahkan </t>
    </r>
    <r>
      <rPr>
        <sz val="10"/>
        <color rgb="FF464649"/>
        <rFont val="Arial"/>
        <family val="2"/>
      </rPr>
      <t xml:space="preserve">sesuai </t>
    </r>
    <r>
      <rPr>
        <sz val="10"/>
        <color rgb="FF343436"/>
        <rFont val="Arial"/>
        <family val="2"/>
      </rPr>
      <t>ko</t>
    </r>
    <r>
      <rPr>
        <sz val="10"/>
        <color rgb="FF181A1C"/>
        <rFont val="Arial"/>
        <family val="2"/>
      </rPr>
      <t>nt</t>
    </r>
    <r>
      <rPr>
        <sz val="10"/>
        <color rgb="FF343436"/>
        <rFont val="Arial"/>
        <family val="2"/>
      </rPr>
      <t xml:space="preserve">eks peristiwa risiko pada </t>
    </r>
    <r>
      <rPr>
        <sz val="10"/>
        <color rgb="FF464649"/>
        <rFont val="Arial"/>
        <family val="2"/>
      </rPr>
      <t xml:space="preserve">satuan </t>
    </r>
    <r>
      <rPr>
        <sz val="10"/>
        <color rgb="FF343436"/>
        <rFont val="Arial"/>
        <family val="2"/>
      </rPr>
      <t>kerja masing-mas</t>
    </r>
    <r>
      <rPr>
        <sz val="10"/>
        <color rgb="FF181A1C"/>
        <rFont val="Arial"/>
        <family val="2"/>
      </rPr>
      <t>i</t>
    </r>
    <r>
      <rPr>
        <sz val="10"/>
        <color rgb="FF343436"/>
        <rFont val="Arial"/>
        <family val="2"/>
      </rPr>
      <t>ng)</t>
    </r>
  </si>
  <si>
    <r>
      <rPr>
        <sz val="10"/>
        <color rgb="FF343436"/>
        <rFont val="Arial"/>
        <family val="2"/>
      </rPr>
      <t xml:space="preserve">R </t>
    </r>
    <r>
      <rPr>
        <sz val="10"/>
        <color rgb="FF181A1C"/>
        <rFont val="Arial"/>
        <family val="2"/>
      </rPr>
      <t>i</t>
    </r>
    <r>
      <rPr>
        <sz val="10"/>
        <color rgb="FF343436"/>
        <rFont val="Arial"/>
        <family val="2"/>
      </rPr>
      <t>s</t>
    </r>
    <r>
      <rPr>
        <sz val="10"/>
        <color rgb="FF181A1C"/>
        <rFont val="Arial"/>
        <family val="2"/>
      </rPr>
      <t>i</t>
    </r>
    <r>
      <rPr>
        <sz val="10"/>
        <color rgb="FF464649"/>
        <rFont val="Arial"/>
        <family val="2"/>
      </rPr>
      <t xml:space="preserve">ko </t>
    </r>
    <r>
      <rPr>
        <sz val="10"/>
        <color rgb="FF343436"/>
        <rFont val="Arial"/>
        <family val="2"/>
      </rPr>
      <t xml:space="preserve">konsentrasi </t>
    </r>
    <r>
      <rPr>
        <sz val="10"/>
        <color rgb="FF464649"/>
        <rFont val="Arial"/>
        <family val="2"/>
      </rPr>
      <t>portfolio pendapatan</t>
    </r>
  </si>
  <si>
    <r>
      <rPr>
        <sz val="10"/>
        <color rgb="FF343436"/>
        <rFont val="Arial"/>
        <family val="2"/>
      </rPr>
      <t xml:space="preserve">Risiko </t>
    </r>
    <r>
      <rPr>
        <sz val="10"/>
        <color rgb="FF464649"/>
        <rFont val="Arial"/>
        <family val="2"/>
      </rPr>
      <t xml:space="preserve">yang </t>
    </r>
    <r>
      <rPr>
        <sz val="10"/>
        <color rgb="FF343436"/>
        <rFont val="Arial"/>
        <family val="2"/>
      </rPr>
      <t xml:space="preserve">terjadi </t>
    </r>
    <r>
      <rPr>
        <sz val="10"/>
        <color rgb="FF464649"/>
        <rFont val="Arial"/>
        <family val="2"/>
      </rPr>
      <t xml:space="preserve">karena sebagian </t>
    </r>
    <r>
      <rPr>
        <sz val="10"/>
        <color rgb="FF343436"/>
        <rFont val="Arial"/>
        <family val="2"/>
      </rPr>
      <t xml:space="preserve">besar </t>
    </r>
    <r>
      <rPr>
        <sz val="10"/>
        <color rgb="FF464649"/>
        <rFont val="Arial"/>
        <family val="2"/>
      </rPr>
      <t xml:space="preserve">pendapatannya </t>
    </r>
    <r>
      <rPr>
        <vertAlign val="superscript"/>
        <sz val="10"/>
        <color rgb="FF343436"/>
        <rFont val="Arial"/>
        <family val="2"/>
      </rPr>
      <t>bergan</t>
    </r>
    <r>
      <rPr>
        <vertAlign val="superscript"/>
        <sz val="10"/>
        <color rgb="FF181A1C"/>
        <rFont val="Arial"/>
        <family val="2"/>
      </rPr>
      <t>t</t>
    </r>
    <r>
      <rPr>
        <vertAlign val="superscript"/>
        <sz val="10"/>
        <color rgb="FF464649"/>
        <rFont val="Arial"/>
        <family val="2"/>
      </rPr>
      <t xml:space="preserve">ung   pada   satu   atau   </t>
    </r>
    <r>
      <rPr>
        <sz val="10"/>
        <color rgb="FF343436"/>
        <rFont val="Arial"/>
        <family val="2"/>
      </rPr>
      <t xml:space="preserve">beberapa   </t>
    </r>
    <r>
      <rPr>
        <vertAlign val="superscript"/>
        <sz val="10"/>
        <color rgb="FF464649"/>
        <rFont val="Arial"/>
        <family val="2"/>
      </rPr>
      <t xml:space="preserve">sumber   yang </t>
    </r>
    <r>
      <rPr>
        <sz val="10"/>
        <color rgb="FF464649"/>
        <rFont val="Arial"/>
        <family val="2"/>
      </rPr>
      <t>terbatas.  Ha</t>
    </r>
    <r>
      <rPr>
        <sz val="10"/>
        <color rgb="FF181A1C"/>
        <rFont val="Arial"/>
        <family val="2"/>
      </rPr>
      <t xml:space="preserve">l  </t>
    </r>
    <r>
      <rPr>
        <sz val="10"/>
        <color rgb="FF343436"/>
        <rFont val="Arial"/>
        <family val="2"/>
      </rPr>
      <t>in</t>
    </r>
    <r>
      <rPr>
        <sz val="10"/>
        <color rgb="FF646469"/>
        <rFont val="Arial"/>
        <family val="2"/>
      </rPr>
      <t xml:space="preserve">i  </t>
    </r>
    <r>
      <rPr>
        <sz val="10"/>
        <color rgb="FF343436"/>
        <rFont val="Arial"/>
        <family val="2"/>
      </rPr>
      <t xml:space="preserve">dapat  </t>
    </r>
    <r>
      <rPr>
        <sz val="10"/>
        <color rgb="FF464649"/>
        <rFont val="Arial"/>
        <family val="2"/>
      </rPr>
      <t xml:space="preserve">mencakup  </t>
    </r>
    <r>
      <rPr>
        <sz val="10"/>
        <color rgb="FF343436"/>
        <rFont val="Arial"/>
        <family val="2"/>
      </rPr>
      <t>keterg</t>
    </r>
    <r>
      <rPr>
        <sz val="10"/>
        <color rgb="FF646469"/>
        <rFont val="Arial"/>
        <family val="2"/>
      </rPr>
      <t>a</t>
    </r>
    <r>
      <rPr>
        <sz val="10"/>
        <color rgb="FF464649"/>
        <rFont val="Arial"/>
        <family val="2"/>
      </rPr>
      <t xml:space="preserve">ntungan </t>
    </r>
    <r>
      <rPr>
        <sz val="10"/>
        <color rgb="FF343436"/>
        <rFont val="Arial"/>
        <family val="2"/>
      </rPr>
      <t xml:space="preserve">pada </t>
    </r>
    <r>
      <rPr>
        <sz val="10"/>
        <color rgb="FF646469"/>
        <rFont val="Arial"/>
        <family val="2"/>
      </rPr>
      <t>s</t>
    </r>
    <r>
      <rPr>
        <sz val="10"/>
        <color rgb="FF464649"/>
        <rFont val="Arial"/>
        <family val="2"/>
      </rPr>
      <t xml:space="preserve">ejumlah  </t>
    </r>
    <r>
      <rPr>
        <sz val="10"/>
        <color rgb="FF343436"/>
        <rFont val="Arial"/>
        <family val="2"/>
      </rPr>
      <t xml:space="preserve">kecil </t>
    </r>
    <r>
      <rPr>
        <sz val="10"/>
        <color rgb="FF464649"/>
        <rFont val="Arial"/>
        <family val="2"/>
      </rPr>
      <t>pelanggan  yang besar</t>
    </r>
    <r>
      <rPr>
        <sz val="10"/>
        <color rgb="FF79797E"/>
        <rFont val="Arial"/>
        <family val="2"/>
      </rPr>
      <t xml:space="preserve">,  </t>
    </r>
    <r>
      <rPr>
        <sz val="10"/>
        <color rgb="FF464649"/>
        <rFont val="Arial"/>
        <family val="2"/>
      </rPr>
      <t xml:space="preserve">satu  </t>
    </r>
    <r>
      <rPr>
        <sz val="10"/>
        <color rgb="FF343436"/>
        <rFont val="Arial"/>
        <family val="2"/>
      </rPr>
      <t>produk  atau layanan tertentu</t>
    </r>
    <r>
      <rPr>
        <sz val="10"/>
        <color rgb="FF646469"/>
        <rFont val="Arial"/>
        <family val="2"/>
      </rPr>
      <t xml:space="preserve">, </t>
    </r>
    <r>
      <rPr>
        <sz val="10"/>
        <color rgb="FF464649"/>
        <rFont val="Arial"/>
        <family val="2"/>
      </rPr>
      <t>atau pasar geog</t>
    </r>
    <r>
      <rPr>
        <sz val="10"/>
        <color rgb="FF181A1C"/>
        <rFont val="Arial"/>
        <family val="2"/>
      </rPr>
      <t>r</t>
    </r>
    <r>
      <rPr>
        <sz val="10"/>
        <color rgb="FF343436"/>
        <rFont val="Arial"/>
        <family val="2"/>
      </rPr>
      <t>afis tungga</t>
    </r>
    <r>
      <rPr>
        <sz val="10"/>
        <color rgb="FF181A1C"/>
        <rFont val="Arial"/>
        <family val="2"/>
      </rPr>
      <t>l.</t>
    </r>
  </si>
  <si>
    <r>
      <rPr>
        <sz val="10"/>
        <color rgb="FF464649"/>
        <rFont val="Arial"/>
        <family val="2"/>
      </rPr>
      <t>a</t>
    </r>
    <r>
      <rPr>
        <sz val="10"/>
        <color rgb="FF181A1C"/>
        <rFont val="Arial"/>
        <family val="2"/>
      </rPr>
      <t xml:space="preserve">.    </t>
    </r>
    <r>
      <rPr>
        <sz val="10"/>
        <color rgb="FF343436"/>
        <rFont val="Arial"/>
        <family val="2"/>
      </rPr>
      <t>Konsume</t>
    </r>
    <r>
      <rPr>
        <sz val="10"/>
        <color rgb="FF181A1C"/>
        <rFont val="Arial"/>
        <family val="2"/>
      </rPr>
      <t xml:space="preserve">n  </t>
    </r>
    <r>
      <rPr>
        <sz val="10"/>
        <color rgb="FF343436"/>
        <rFont val="Arial"/>
        <family val="2"/>
      </rPr>
      <t>tegangan  tingg</t>
    </r>
    <r>
      <rPr>
        <sz val="10"/>
        <color rgb="FF181A1C"/>
        <rFont val="Arial"/>
        <family val="2"/>
      </rPr>
      <t xml:space="preserve">i   </t>
    </r>
    <r>
      <rPr>
        <sz val="10"/>
        <color rgb="FF464649"/>
        <rFont val="Arial"/>
        <family val="2"/>
      </rPr>
      <t xml:space="preserve">(KTT)  berhenti </t>
    </r>
    <r>
      <rPr>
        <sz val="10"/>
        <color rgb="FF343436"/>
        <rFont val="Arial"/>
        <family val="2"/>
      </rPr>
      <t>berlangganan
b</t>
    </r>
    <r>
      <rPr>
        <sz val="10"/>
        <color rgb="FF646469"/>
        <rFont val="Arial"/>
        <family val="2"/>
      </rPr>
      <t xml:space="preserve">.    </t>
    </r>
    <r>
      <rPr>
        <sz val="10"/>
        <color rgb="FF343436"/>
        <rFont val="Arial"/>
        <family val="2"/>
      </rPr>
      <t xml:space="preserve">Perubahan </t>
    </r>
    <r>
      <rPr>
        <sz val="10"/>
        <color rgb="FF464649"/>
        <rFont val="Arial"/>
        <family val="2"/>
      </rPr>
      <t xml:space="preserve">perilaku konsumen </t>
    </r>
    <r>
      <rPr>
        <sz val="10"/>
        <color rgb="FF343436"/>
        <rFont val="Arial"/>
        <family val="2"/>
      </rPr>
      <t xml:space="preserve">rumah tangga </t>
    </r>
    <r>
      <rPr>
        <sz val="10"/>
        <color rgb="FF464649"/>
        <rFont val="Arial"/>
        <family val="2"/>
      </rPr>
      <t>dalam mengko</t>
    </r>
    <r>
      <rPr>
        <sz val="10"/>
        <color rgb="FF646469"/>
        <rFont val="Arial"/>
        <family val="2"/>
      </rPr>
      <t>n</t>
    </r>
    <r>
      <rPr>
        <sz val="10"/>
        <color rgb="FF464649"/>
        <rFont val="Arial"/>
        <family val="2"/>
      </rPr>
      <t>sumsilistrik
C</t>
    </r>
    <r>
      <rPr>
        <sz val="10"/>
        <color rgb="FF181A1C"/>
        <rFont val="Arial"/>
        <family val="2"/>
      </rPr>
      <t xml:space="preserve">.     </t>
    </r>
    <r>
      <rPr>
        <sz val="10"/>
        <color rgb="FF464649"/>
        <rFont val="Arial"/>
        <family val="2"/>
      </rPr>
      <t>(dapat ditambahkan sesua</t>
    </r>
    <r>
      <rPr>
        <sz val="10"/>
        <color rgb="FF646469"/>
        <rFont val="Arial"/>
        <family val="2"/>
      </rPr>
      <t xml:space="preserve">i </t>
    </r>
    <r>
      <rPr>
        <sz val="10"/>
        <color rgb="FF343436"/>
        <rFont val="Arial"/>
        <family val="2"/>
      </rPr>
      <t>kontek</t>
    </r>
    <r>
      <rPr>
        <sz val="10"/>
        <color rgb="FF646469"/>
        <rFont val="Arial"/>
        <family val="2"/>
      </rPr>
      <t xml:space="preserve">s </t>
    </r>
    <r>
      <rPr>
        <sz val="10"/>
        <color rgb="FF464649"/>
        <rFont val="Arial"/>
        <family val="2"/>
      </rPr>
      <t xml:space="preserve">peristiwa
</t>
    </r>
    <r>
      <rPr>
        <sz val="10"/>
        <color rgb="FF343436"/>
        <rFont val="Arial"/>
        <family val="2"/>
      </rPr>
      <t xml:space="preserve">risiko pada </t>
    </r>
    <r>
      <rPr>
        <sz val="10"/>
        <color rgb="FF464649"/>
        <rFont val="Arial"/>
        <family val="2"/>
      </rPr>
      <t xml:space="preserve">satuan </t>
    </r>
    <r>
      <rPr>
        <sz val="10"/>
        <color rgb="FF343436"/>
        <rFont val="Arial"/>
        <family val="2"/>
      </rPr>
      <t>ke</t>
    </r>
    <r>
      <rPr>
        <sz val="10"/>
        <color rgb="FF181A1C"/>
        <rFont val="Arial"/>
        <family val="2"/>
      </rPr>
      <t>r</t>
    </r>
    <r>
      <rPr>
        <sz val="10"/>
        <color rgb="FF343436"/>
        <rFont val="Arial"/>
        <family val="2"/>
      </rPr>
      <t>ja masing-masing)</t>
    </r>
  </si>
  <si>
    <r>
      <rPr>
        <sz val="10"/>
        <color rgb="FF343436"/>
        <rFont val="Arial"/>
        <family val="2"/>
      </rPr>
      <t xml:space="preserve">R </t>
    </r>
    <r>
      <rPr>
        <sz val="10"/>
        <color rgb="FF181A1C"/>
        <rFont val="Arial"/>
        <family val="2"/>
      </rPr>
      <t>i</t>
    </r>
    <r>
      <rPr>
        <sz val="10"/>
        <color rgb="FF343436"/>
        <rFont val="Arial"/>
        <family val="2"/>
      </rPr>
      <t>siko konse</t>
    </r>
    <r>
      <rPr>
        <sz val="10"/>
        <color rgb="FF181A1C"/>
        <rFont val="Arial"/>
        <family val="2"/>
      </rPr>
      <t>n</t>
    </r>
    <r>
      <rPr>
        <sz val="10"/>
        <color rgb="FF343436"/>
        <rFont val="Arial"/>
        <family val="2"/>
      </rPr>
      <t>trasi operasiona</t>
    </r>
    <r>
      <rPr>
        <sz val="10"/>
        <color rgb="FF181A1C"/>
        <rFont val="Arial"/>
        <family val="2"/>
      </rPr>
      <t>l</t>
    </r>
  </si>
  <si>
    <r>
      <rPr>
        <sz val="10"/>
        <color rgb="FF343436"/>
        <rFont val="Arial"/>
        <family val="2"/>
      </rPr>
      <t xml:space="preserve">Risiko  </t>
    </r>
    <r>
      <rPr>
        <sz val="10"/>
        <color rgb="FF464649"/>
        <rFont val="Arial"/>
        <family val="2"/>
      </rPr>
      <t>ya</t>
    </r>
    <r>
      <rPr>
        <sz val="10"/>
        <color rgb="FF181A1C"/>
        <rFont val="Arial"/>
        <family val="2"/>
      </rPr>
      <t>n</t>
    </r>
    <r>
      <rPr>
        <sz val="10"/>
        <color rgb="FF464649"/>
        <rFont val="Arial"/>
        <family val="2"/>
      </rPr>
      <t xml:space="preserve">g  </t>
    </r>
    <r>
      <rPr>
        <sz val="10"/>
        <color rgb="FF343436"/>
        <rFont val="Arial"/>
        <family val="2"/>
      </rPr>
      <t>timb</t>
    </r>
    <r>
      <rPr>
        <sz val="10"/>
        <color rgb="FF181A1C"/>
        <rFont val="Arial"/>
        <family val="2"/>
      </rPr>
      <t xml:space="preserve">ul </t>
    </r>
    <r>
      <rPr>
        <sz val="10"/>
        <color rgb="FF464649"/>
        <rFont val="Arial"/>
        <family val="2"/>
      </rPr>
      <t>dar</t>
    </r>
    <r>
      <rPr>
        <sz val="10"/>
        <color rgb="FF181A1C"/>
        <rFont val="Arial"/>
        <family val="2"/>
      </rPr>
      <t xml:space="preserve">i  </t>
    </r>
    <r>
      <rPr>
        <sz val="10"/>
        <color rgb="FF464649"/>
        <rFont val="Arial"/>
        <family val="2"/>
      </rPr>
      <t>ada</t>
    </r>
    <r>
      <rPr>
        <sz val="10"/>
        <color rgb="FF181A1C"/>
        <rFont val="Arial"/>
        <family val="2"/>
      </rPr>
      <t>n</t>
    </r>
    <r>
      <rPr>
        <sz val="10"/>
        <color rgb="FF343436"/>
        <rFont val="Arial"/>
        <family val="2"/>
      </rPr>
      <t xml:space="preserve">ya </t>
    </r>
    <r>
      <rPr>
        <sz val="10"/>
        <color rgb="FF464649"/>
        <rFont val="Arial"/>
        <family val="2"/>
      </rPr>
      <t xml:space="preserve">ketergantungan </t>
    </r>
    <r>
      <rPr>
        <sz val="10"/>
        <color rgb="FF343436"/>
        <rFont val="Arial"/>
        <family val="2"/>
      </rPr>
      <t>keg</t>
    </r>
    <r>
      <rPr>
        <sz val="10"/>
        <color rgb="FF181A1C"/>
        <rFont val="Arial"/>
        <family val="2"/>
      </rPr>
      <t>i</t>
    </r>
    <r>
      <rPr>
        <sz val="10"/>
        <color rgb="FF343436"/>
        <rFont val="Arial"/>
        <family val="2"/>
      </rPr>
      <t xml:space="preserve">atan </t>
    </r>
    <r>
      <rPr>
        <sz val="10"/>
        <color rgb="FF464649"/>
        <rFont val="Arial"/>
        <family val="2"/>
      </rPr>
      <t>ope</t>
    </r>
    <r>
      <rPr>
        <sz val="10"/>
        <color rgb="FF181A1C"/>
        <rFont val="Arial"/>
        <family val="2"/>
      </rPr>
      <t>r</t>
    </r>
    <r>
      <rPr>
        <sz val="10"/>
        <color rgb="FF464649"/>
        <rFont val="Arial"/>
        <family val="2"/>
      </rPr>
      <t>as</t>
    </r>
    <r>
      <rPr>
        <sz val="10"/>
        <color rgb="FF181A1C"/>
        <rFont val="Arial"/>
        <family val="2"/>
      </rPr>
      <t>i</t>
    </r>
    <r>
      <rPr>
        <sz val="10"/>
        <color rgb="FF464649"/>
        <rFont val="Arial"/>
        <family val="2"/>
      </rPr>
      <t>ona</t>
    </r>
    <r>
      <rPr>
        <sz val="10"/>
        <color rgb="FF181A1C"/>
        <rFont val="Arial"/>
        <family val="2"/>
      </rPr>
      <t xml:space="preserve">l  </t>
    </r>
    <r>
      <rPr>
        <sz val="10"/>
        <color rgb="FF343436"/>
        <rFont val="Arial"/>
        <family val="2"/>
      </rPr>
      <t xml:space="preserve">pada  </t>
    </r>
    <r>
      <rPr>
        <sz val="10"/>
        <color rgb="FF464649"/>
        <rFont val="Arial"/>
        <family val="2"/>
      </rPr>
      <t xml:space="preserve">satu  atau  </t>
    </r>
    <r>
      <rPr>
        <sz val="10"/>
        <color rgb="FF343436"/>
        <rFont val="Arial"/>
        <family val="2"/>
      </rPr>
      <t xml:space="preserve">beberapa  </t>
    </r>
    <r>
      <rPr>
        <sz val="10"/>
        <color rgb="FF181A1C"/>
        <rFont val="Arial"/>
        <family val="2"/>
      </rPr>
      <t>f</t>
    </r>
    <r>
      <rPr>
        <sz val="10"/>
        <color rgb="FF464649"/>
        <rFont val="Arial"/>
        <family val="2"/>
      </rPr>
      <t>aktor</t>
    </r>
    <r>
      <rPr>
        <sz val="10"/>
        <color rgb="FF646469"/>
        <rFont val="Arial"/>
        <family val="2"/>
      </rPr>
      <t xml:space="preserve">,  </t>
    </r>
    <r>
      <rPr>
        <sz val="10"/>
        <color rgb="FF464649"/>
        <rFont val="Arial"/>
        <family val="2"/>
      </rPr>
      <t>ya</t>
    </r>
    <r>
      <rPr>
        <sz val="10"/>
        <color rgb="FF181A1C"/>
        <rFont val="Arial"/>
        <family val="2"/>
      </rPr>
      <t>n</t>
    </r>
    <r>
      <rPr>
        <sz val="10"/>
        <color rgb="FF464649"/>
        <rFont val="Arial"/>
        <family val="2"/>
      </rPr>
      <t xml:space="preserve">g  </t>
    </r>
    <r>
      <rPr>
        <sz val="10"/>
        <color rgb="FF343436"/>
        <rFont val="Arial"/>
        <family val="2"/>
      </rPr>
      <t xml:space="preserve">jika </t>
    </r>
    <r>
      <rPr>
        <sz val="10"/>
        <color rgb="FF464649"/>
        <rFont val="Arial"/>
        <family val="2"/>
      </rPr>
      <t xml:space="preserve">mengalami  </t>
    </r>
    <r>
      <rPr>
        <sz val="10"/>
        <color rgb="FF343436"/>
        <rFont val="Arial"/>
        <family val="2"/>
      </rPr>
      <t xml:space="preserve">gangguan  </t>
    </r>
    <r>
      <rPr>
        <sz val="10"/>
        <color rgb="FF464649"/>
        <rFont val="Arial"/>
        <family val="2"/>
      </rPr>
      <t xml:space="preserve">dapat  </t>
    </r>
    <r>
      <rPr>
        <sz val="10"/>
        <color rgb="FF343436"/>
        <rFont val="Arial"/>
        <family val="2"/>
      </rPr>
      <t xml:space="preserve">mempengaruhi  </t>
    </r>
    <r>
      <rPr>
        <sz val="10"/>
        <color rgb="FF464649"/>
        <rFont val="Arial"/>
        <family val="2"/>
      </rPr>
      <t>keseluruhan k</t>
    </r>
    <r>
      <rPr>
        <sz val="10"/>
        <color rgb="FF646469"/>
        <rFont val="Arial"/>
        <family val="2"/>
      </rPr>
      <t>i</t>
    </r>
    <r>
      <rPr>
        <sz val="10"/>
        <color rgb="FF343436"/>
        <rFont val="Arial"/>
        <family val="2"/>
      </rPr>
      <t xml:space="preserve">nerja </t>
    </r>
    <r>
      <rPr>
        <sz val="10"/>
        <color rgb="FF464649"/>
        <rFont val="Arial"/>
        <family val="2"/>
      </rPr>
      <t xml:space="preserve">operasional </t>
    </r>
    <r>
      <rPr>
        <sz val="10"/>
        <color rgb="FF343436"/>
        <rFont val="Arial"/>
        <family val="2"/>
      </rPr>
      <t>perusahaan.</t>
    </r>
  </si>
  <si>
    <r>
      <rPr>
        <sz val="10"/>
        <color rgb="FF464649"/>
        <rFont val="Arial"/>
        <family val="2"/>
      </rPr>
      <t>a</t>
    </r>
    <r>
      <rPr>
        <sz val="10"/>
        <color rgb="FF181A1C"/>
        <rFont val="Arial"/>
        <family val="2"/>
      </rPr>
      <t xml:space="preserve">.   </t>
    </r>
    <r>
      <rPr>
        <sz val="10"/>
        <color rgb="FF343436"/>
        <rFont val="Arial"/>
        <family val="2"/>
      </rPr>
      <t xml:space="preserve">Ketergantungan         </t>
    </r>
    <r>
      <rPr>
        <sz val="10"/>
        <color rgb="FF464649"/>
        <rFont val="Arial"/>
        <family val="2"/>
      </rPr>
      <t xml:space="preserve">terhadap         penyedia </t>
    </r>
    <r>
      <rPr>
        <sz val="10"/>
        <color rgb="FF343436"/>
        <rFont val="Arial"/>
        <family val="2"/>
      </rPr>
      <t xml:space="preserve">barang/jasa </t>
    </r>
    <r>
      <rPr>
        <sz val="10"/>
        <color rgb="FF464649"/>
        <rFont val="Arial"/>
        <family val="2"/>
      </rPr>
      <t xml:space="preserve">yang </t>
    </r>
    <r>
      <rPr>
        <sz val="10"/>
        <color rgb="FF343436"/>
        <rFont val="Arial"/>
        <family val="2"/>
      </rPr>
      <t xml:space="preserve">terbatas
b.   </t>
    </r>
    <r>
      <rPr>
        <vertAlign val="superscript"/>
        <sz val="10"/>
        <color rgb="FF343436"/>
        <rFont val="Arial"/>
        <family val="2"/>
      </rPr>
      <t>Tidak   terdapat   materia</t>
    </r>
    <r>
      <rPr>
        <vertAlign val="superscript"/>
        <sz val="10"/>
        <color rgb="FF181A1C"/>
        <rFont val="Arial"/>
        <family val="2"/>
      </rPr>
      <t xml:space="preserve">l   </t>
    </r>
    <r>
      <rPr>
        <vertAlign val="superscript"/>
        <sz val="10"/>
        <color rgb="FF343436"/>
        <rFont val="Arial"/>
        <family val="2"/>
      </rPr>
      <t xml:space="preserve">pengganti   </t>
    </r>
    <r>
      <rPr>
        <vertAlign val="superscript"/>
        <sz val="10"/>
        <color rgb="FF464649"/>
        <rFont val="Arial"/>
        <family val="2"/>
      </rPr>
      <t xml:space="preserve">untuk </t>
    </r>
    <r>
      <rPr>
        <sz val="10"/>
        <color rgb="FF343436"/>
        <rFont val="Arial"/>
        <family val="2"/>
      </rPr>
      <t>mat</t>
    </r>
    <r>
      <rPr>
        <sz val="10"/>
        <color rgb="FF646469"/>
        <rFont val="Arial"/>
        <family val="2"/>
      </rPr>
      <t>e</t>
    </r>
    <r>
      <rPr>
        <sz val="10"/>
        <color rgb="FF464649"/>
        <rFont val="Arial"/>
        <family val="2"/>
      </rPr>
      <t xml:space="preserve">rial </t>
    </r>
    <r>
      <rPr>
        <i/>
        <sz val="10"/>
        <color rgb="FF464649"/>
        <rFont val="Arial"/>
        <family val="2"/>
      </rPr>
      <t>obsol</t>
    </r>
    <r>
      <rPr>
        <i/>
        <sz val="10"/>
        <color rgb="FF646469"/>
        <rFont val="Arial"/>
        <family val="2"/>
      </rPr>
      <t>e</t>
    </r>
    <r>
      <rPr>
        <i/>
        <sz val="10"/>
        <color rgb="FF343436"/>
        <rFont val="Arial"/>
        <family val="2"/>
      </rPr>
      <t>t</t>
    </r>
    <r>
      <rPr>
        <i/>
        <sz val="10"/>
        <color rgb="FF646469"/>
        <rFont val="Arial"/>
        <family val="2"/>
      </rPr>
      <t xml:space="preserve">e
</t>
    </r>
    <r>
      <rPr>
        <sz val="10"/>
        <color rgb="FF464649"/>
        <rFont val="Arial"/>
        <family val="2"/>
      </rPr>
      <t xml:space="preserve">C.     (dapat </t>
    </r>
    <r>
      <rPr>
        <sz val="10"/>
        <color rgb="FF343436"/>
        <rFont val="Arial"/>
        <family val="2"/>
      </rPr>
      <t>d</t>
    </r>
    <r>
      <rPr>
        <sz val="10"/>
        <color rgb="FF181A1C"/>
        <rFont val="Arial"/>
        <family val="2"/>
      </rPr>
      <t>i</t>
    </r>
    <r>
      <rPr>
        <sz val="10"/>
        <color rgb="FF464649"/>
        <rFont val="Arial"/>
        <family val="2"/>
      </rPr>
      <t xml:space="preserve">tambahkansesuai konteks peristiwa </t>
    </r>
    <r>
      <rPr>
        <sz val="10"/>
        <color rgb="FF343436"/>
        <rFont val="Arial"/>
        <family val="2"/>
      </rPr>
      <t xml:space="preserve">risiko </t>
    </r>
    <r>
      <rPr>
        <sz val="10"/>
        <color rgb="FF464649"/>
        <rFont val="Arial"/>
        <family val="2"/>
      </rPr>
      <t>pada satuan keria masinq-masinq</t>
    </r>
    <r>
      <rPr>
        <sz val="10"/>
        <color rgb="FF646469"/>
        <rFont val="Arial"/>
        <family val="2"/>
      </rPr>
      <t>)</t>
    </r>
  </si>
  <si>
    <r>
      <rPr>
        <sz val="10"/>
        <color rgb="FF343436"/>
        <rFont val="Arial"/>
        <family val="2"/>
      </rPr>
      <t xml:space="preserve">Risiko </t>
    </r>
    <r>
      <rPr>
        <sz val="10"/>
        <color rgb="FF464649"/>
        <rFont val="Arial"/>
        <family val="2"/>
      </rPr>
      <t>komp</t>
    </r>
    <r>
      <rPr>
        <sz val="10"/>
        <color rgb="FF181A1C"/>
        <rFont val="Arial"/>
        <family val="2"/>
      </rPr>
      <t>l</t>
    </r>
    <r>
      <rPr>
        <sz val="10"/>
        <color rgb="FF464649"/>
        <rFont val="Arial"/>
        <family val="2"/>
      </rPr>
      <t xml:space="preserve">eksitas </t>
    </r>
    <r>
      <rPr>
        <sz val="10"/>
        <color rgb="FF343436"/>
        <rFont val="Arial"/>
        <family val="2"/>
      </rPr>
      <t>s</t>
    </r>
    <r>
      <rPr>
        <sz val="10"/>
        <color rgb="FF181A1C"/>
        <rFont val="Arial"/>
        <family val="2"/>
      </rPr>
      <t>t</t>
    </r>
    <r>
      <rPr>
        <sz val="10"/>
        <color rgb="FF343436"/>
        <rFont val="Arial"/>
        <family val="2"/>
      </rPr>
      <t>ruk</t>
    </r>
    <r>
      <rPr>
        <sz val="10"/>
        <color rgb="FF181A1C"/>
        <rFont val="Arial"/>
        <family val="2"/>
      </rPr>
      <t>tu</t>
    </r>
    <r>
      <rPr>
        <sz val="10"/>
        <color rgb="FF343436"/>
        <rFont val="Arial"/>
        <family val="2"/>
      </rPr>
      <t>r perusa</t>
    </r>
    <r>
      <rPr>
        <sz val="10"/>
        <color rgb="FF181A1C"/>
        <rFont val="Arial"/>
        <family val="2"/>
      </rPr>
      <t>h</t>
    </r>
    <r>
      <rPr>
        <sz val="10"/>
        <color rgb="FF464649"/>
        <rFont val="Arial"/>
        <family val="2"/>
      </rPr>
      <t>aan</t>
    </r>
  </si>
  <si>
    <r>
      <rPr>
        <sz val="10"/>
        <color rgb="FF343436"/>
        <rFont val="Arial"/>
        <family val="2"/>
      </rPr>
      <t>R</t>
    </r>
    <r>
      <rPr>
        <sz val="10"/>
        <color rgb="FF181A1C"/>
        <rFont val="Arial"/>
        <family val="2"/>
      </rPr>
      <t>i</t>
    </r>
    <r>
      <rPr>
        <sz val="10"/>
        <color rgb="FF464649"/>
        <rFont val="Arial"/>
        <family val="2"/>
      </rPr>
      <t xml:space="preserve">siko  yang  muncul  </t>
    </r>
    <r>
      <rPr>
        <sz val="10"/>
        <color rgb="FF343436"/>
        <rFont val="Arial"/>
        <family val="2"/>
      </rPr>
      <t xml:space="preserve">ketika  </t>
    </r>
    <r>
      <rPr>
        <sz val="10"/>
        <color rgb="FF464649"/>
        <rFont val="Arial"/>
        <family val="2"/>
      </rPr>
      <t>o</t>
    </r>
    <r>
      <rPr>
        <sz val="10"/>
        <color rgb="FF181A1C"/>
        <rFont val="Arial"/>
        <family val="2"/>
      </rPr>
      <t>r</t>
    </r>
    <r>
      <rPr>
        <sz val="10"/>
        <color rgb="FF343436"/>
        <rFont val="Arial"/>
        <family val="2"/>
      </rPr>
      <t>gan</t>
    </r>
    <r>
      <rPr>
        <sz val="10"/>
        <color rgb="FF181A1C"/>
        <rFont val="Arial"/>
        <family val="2"/>
      </rPr>
      <t>i</t>
    </r>
    <r>
      <rPr>
        <sz val="10"/>
        <color rgb="FF343436"/>
        <rFont val="Arial"/>
        <family val="2"/>
      </rPr>
      <t>sasi  memi</t>
    </r>
    <r>
      <rPr>
        <sz val="10"/>
        <color rgb="FF181A1C"/>
        <rFont val="Arial"/>
        <family val="2"/>
      </rPr>
      <t>l</t>
    </r>
    <r>
      <rPr>
        <sz val="10"/>
        <color rgb="FF343436"/>
        <rFont val="Arial"/>
        <family val="2"/>
      </rPr>
      <t>ik</t>
    </r>
    <r>
      <rPr>
        <sz val="10"/>
        <color rgb="FF181A1C"/>
        <rFont val="Arial"/>
        <family val="2"/>
      </rPr>
      <t xml:space="preserve">i  </t>
    </r>
    <r>
      <rPr>
        <sz val="10"/>
        <color rgb="FF464649"/>
        <rFont val="Arial"/>
        <family val="2"/>
      </rPr>
      <t>strukt</t>
    </r>
    <r>
      <rPr>
        <sz val="10"/>
        <color rgb="FF181A1C"/>
        <rFont val="Arial"/>
        <family val="2"/>
      </rPr>
      <t>u</t>
    </r>
    <r>
      <rPr>
        <sz val="10"/>
        <color rgb="FF343436"/>
        <rFont val="Arial"/>
        <family val="2"/>
      </rPr>
      <t xml:space="preserve">r </t>
    </r>
    <r>
      <rPr>
        <sz val="10"/>
        <color rgb="FF464649"/>
        <rFont val="Arial"/>
        <family val="2"/>
      </rPr>
      <t>interna</t>
    </r>
    <r>
      <rPr>
        <sz val="10"/>
        <color rgb="FF181A1C"/>
        <rFont val="Arial"/>
        <family val="2"/>
      </rPr>
      <t xml:space="preserve">l </t>
    </r>
    <r>
      <rPr>
        <sz val="10"/>
        <color rgb="FF343436"/>
        <rFont val="Arial"/>
        <family val="2"/>
      </rPr>
      <t>yang sanga</t>
    </r>
    <r>
      <rPr>
        <sz val="10"/>
        <color rgb="FF181A1C"/>
        <rFont val="Arial"/>
        <family val="2"/>
      </rPr>
      <t xml:space="preserve">t </t>
    </r>
    <r>
      <rPr>
        <sz val="10"/>
        <color rgb="FF343436"/>
        <rFont val="Arial"/>
        <family val="2"/>
      </rPr>
      <t>komp</t>
    </r>
    <r>
      <rPr>
        <sz val="10"/>
        <color rgb="FF181A1C"/>
        <rFont val="Arial"/>
        <family val="2"/>
      </rPr>
      <t>l</t>
    </r>
    <r>
      <rPr>
        <sz val="10"/>
        <color rgb="FF464649"/>
        <rFont val="Arial"/>
        <family val="2"/>
      </rPr>
      <t xml:space="preserve">eks </t>
    </r>
    <r>
      <rPr>
        <sz val="10"/>
        <color rgb="FF343436"/>
        <rFont val="Arial"/>
        <family val="2"/>
      </rPr>
      <t>dan rumit.</t>
    </r>
  </si>
  <si>
    <r>
      <rPr>
        <sz val="10"/>
        <color rgb="FF464649"/>
        <rFont val="Arial"/>
        <family val="2"/>
      </rPr>
      <t xml:space="preserve">a.   </t>
    </r>
    <r>
      <rPr>
        <sz val="10"/>
        <color rgb="FF181A1C"/>
        <rFont val="Arial"/>
        <family val="2"/>
      </rPr>
      <t>l</t>
    </r>
    <r>
      <rPr>
        <sz val="10"/>
        <color rgb="FF343436"/>
        <rFont val="Arial"/>
        <family val="2"/>
      </rPr>
      <t>nefisiens</t>
    </r>
    <r>
      <rPr>
        <sz val="10"/>
        <color rgb="FF181A1C"/>
        <rFont val="Arial"/>
        <family val="2"/>
      </rPr>
      <t xml:space="preserve">i </t>
    </r>
    <r>
      <rPr>
        <sz val="10"/>
        <color rgb="FF343436"/>
        <rFont val="Arial"/>
        <family val="2"/>
      </rPr>
      <t xml:space="preserve">pengambilan </t>
    </r>
    <r>
      <rPr>
        <sz val="10"/>
        <color rgb="FF464649"/>
        <rFont val="Arial"/>
        <family val="2"/>
      </rPr>
      <t>keputusa</t>
    </r>
    <r>
      <rPr>
        <sz val="10"/>
        <color rgb="FF181A1C"/>
        <rFont val="Arial"/>
        <family val="2"/>
      </rPr>
      <t xml:space="preserve">n
</t>
    </r>
    <r>
      <rPr>
        <sz val="10"/>
        <color rgb="FF343436"/>
        <rFont val="Arial"/>
        <family val="2"/>
      </rPr>
      <t xml:space="preserve">b.   </t>
    </r>
    <r>
      <rPr>
        <vertAlign val="superscript"/>
        <sz val="10"/>
        <color rgb="FF464649"/>
        <rFont val="Arial"/>
        <family val="2"/>
      </rPr>
      <t>Rum</t>
    </r>
    <r>
      <rPr>
        <vertAlign val="superscript"/>
        <sz val="10"/>
        <color rgb="FF181A1C"/>
        <rFont val="Arial"/>
        <family val="2"/>
      </rPr>
      <t>i</t>
    </r>
    <r>
      <rPr>
        <vertAlign val="superscript"/>
        <sz val="10"/>
        <color rgb="FF343436"/>
        <rFont val="Arial"/>
        <family val="2"/>
      </rPr>
      <t>tnyabirokras</t>
    </r>
    <r>
      <rPr>
        <vertAlign val="superscript"/>
        <sz val="10"/>
        <color rgb="FF181A1C"/>
        <rFont val="Arial"/>
        <family val="2"/>
      </rPr>
      <t xml:space="preserve">i </t>
    </r>
    <r>
      <rPr>
        <vertAlign val="superscript"/>
        <sz val="10"/>
        <color rgb="FF464649"/>
        <rFont val="Arial"/>
        <family val="2"/>
      </rPr>
      <t xml:space="preserve">antar </t>
    </r>
    <r>
      <rPr>
        <vertAlign val="superscript"/>
        <sz val="10"/>
        <color rgb="FF343436"/>
        <rFont val="Arial"/>
        <family val="2"/>
      </rPr>
      <t xml:space="preserve">bagian </t>
    </r>
    <r>
      <rPr>
        <vertAlign val="superscript"/>
        <sz val="10"/>
        <color rgb="FF464649"/>
        <rFont val="Arial"/>
        <family val="2"/>
      </rPr>
      <t xml:space="preserve">atau </t>
    </r>
    <r>
      <rPr>
        <vertAlign val="superscript"/>
        <sz val="10"/>
        <color rgb="FF343436"/>
        <rFont val="Arial"/>
        <family val="2"/>
      </rPr>
      <t xml:space="preserve">bidang
</t>
    </r>
    <r>
      <rPr>
        <sz val="10"/>
        <color rgb="FF464649"/>
        <rFont val="Arial"/>
        <family val="2"/>
      </rPr>
      <t>C</t>
    </r>
    <r>
      <rPr>
        <sz val="10"/>
        <color rgb="FF646469"/>
        <rFont val="Arial"/>
        <family val="2"/>
      </rPr>
      <t xml:space="preserve">.     </t>
    </r>
    <r>
      <rPr>
        <vertAlign val="superscript"/>
        <sz val="10"/>
        <color rgb="FF343436"/>
        <rFont val="Arial"/>
        <family val="2"/>
      </rPr>
      <t>(dapat d</t>
    </r>
    <r>
      <rPr>
        <vertAlign val="superscript"/>
        <sz val="10"/>
        <color rgb="FF181A1C"/>
        <rFont val="Arial"/>
        <family val="2"/>
      </rPr>
      <t>i</t>
    </r>
    <r>
      <rPr>
        <vertAlign val="superscript"/>
        <sz val="10"/>
        <color rgb="FF343436"/>
        <rFont val="Arial"/>
        <family val="2"/>
      </rPr>
      <t>tambah</t>
    </r>
    <r>
      <rPr>
        <vertAlign val="superscript"/>
        <sz val="10"/>
        <color rgb="FF181A1C"/>
        <rFont val="Arial"/>
        <family val="2"/>
      </rPr>
      <t>k</t>
    </r>
    <r>
      <rPr>
        <vertAlign val="superscript"/>
        <sz val="10"/>
        <color rgb="FF464649"/>
        <rFont val="Arial"/>
        <family val="2"/>
      </rPr>
      <t>an sesua</t>
    </r>
    <r>
      <rPr>
        <vertAlign val="superscript"/>
        <sz val="10"/>
        <color rgb="FF181A1C"/>
        <rFont val="Arial"/>
        <family val="2"/>
      </rPr>
      <t xml:space="preserve">i </t>
    </r>
    <r>
      <rPr>
        <vertAlign val="superscript"/>
        <sz val="10"/>
        <color rgb="FF343436"/>
        <rFont val="Arial"/>
        <family val="2"/>
      </rPr>
      <t>konteks per</t>
    </r>
    <r>
      <rPr>
        <vertAlign val="superscript"/>
        <sz val="10"/>
        <color rgb="FF181A1C"/>
        <rFont val="Arial"/>
        <family val="2"/>
      </rPr>
      <t>i</t>
    </r>
    <r>
      <rPr>
        <vertAlign val="superscript"/>
        <sz val="10"/>
        <color rgb="FF464649"/>
        <rFont val="Arial"/>
        <family val="2"/>
      </rPr>
      <t>st</t>
    </r>
    <r>
      <rPr>
        <vertAlign val="superscript"/>
        <sz val="10"/>
        <color rgb="FF181A1C"/>
        <rFont val="Arial"/>
        <family val="2"/>
      </rPr>
      <t>i</t>
    </r>
    <r>
      <rPr>
        <vertAlign val="superscript"/>
        <sz val="10"/>
        <color rgb="FF343436"/>
        <rFont val="Arial"/>
        <family val="2"/>
      </rPr>
      <t xml:space="preserve">wa </t>
    </r>
    <r>
      <rPr>
        <sz val="10"/>
        <color rgb="FF343436"/>
        <rFont val="Arial"/>
        <family val="2"/>
      </rPr>
      <t>ris</t>
    </r>
    <r>
      <rPr>
        <sz val="10"/>
        <color rgb="FF181A1C"/>
        <rFont val="Arial"/>
        <family val="2"/>
      </rPr>
      <t>i</t>
    </r>
    <r>
      <rPr>
        <sz val="10"/>
        <color rgb="FF464649"/>
        <rFont val="Arial"/>
        <family val="2"/>
      </rPr>
      <t xml:space="preserve">ko </t>
    </r>
    <r>
      <rPr>
        <sz val="10"/>
        <color rgb="FF343436"/>
        <rFont val="Arial"/>
        <family val="2"/>
      </rPr>
      <t xml:space="preserve">pada </t>
    </r>
    <r>
      <rPr>
        <sz val="10"/>
        <color rgb="FF464649"/>
        <rFont val="Arial"/>
        <family val="2"/>
      </rPr>
      <t xml:space="preserve">satuan </t>
    </r>
    <r>
      <rPr>
        <sz val="10"/>
        <color rgb="FF343436"/>
        <rFont val="Arial"/>
        <family val="2"/>
      </rPr>
      <t>kerja mas</t>
    </r>
    <r>
      <rPr>
        <sz val="10"/>
        <color rgb="FF181A1C"/>
        <rFont val="Arial"/>
        <family val="2"/>
      </rPr>
      <t>in</t>
    </r>
    <r>
      <rPr>
        <sz val="10"/>
        <color rgb="FF464649"/>
        <rFont val="Arial"/>
        <family val="2"/>
      </rPr>
      <t>q</t>
    </r>
    <r>
      <rPr>
        <sz val="10"/>
        <color rgb="FF181A1C"/>
        <rFont val="Arial"/>
        <family val="2"/>
      </rPr>
      <t>-</t>
    </r>
    <r>
      <rPr>
        <sz val="10"/>
        <color rgb="FF343436"/>
        <rFont val="Arial"/>
        <family val="2"/>
      </rPr>
      <t>mas</t>
    </r>
    <r>
      <rPr>
        <sz val="10"/>
        <color rgb="FF181A1C"/>
        <rFont val="Arial"/>
        <family val="2"/>
      </rPr>
      <t>i</t>
    </r>
    <r>
      <rPr>
        <sz val="10"/>
        <color rgb="FF464649"/>
        <rFont val="Arial"/>
        <family val="2"/>
      </rPr>
      <t>nq)</t>
    </r>
  </si>
  <si>
    <r>
      <rPr>
        <sz val="10"/>
        <color rgb="FF343436"/>
        <rFont val="Arial"/>
        <family val="2"/>
      </rPr>
      <t xml:space="preserve">Risiko </t>
    </r>
    <r>
      <rPr>
        <sz val="10"/>
        <color rgb="FF464649"/>
        <rFont val="Arial"/>
        <family val="2"/>
      </rPr>
      <t xml:space="preserve">penyertaan </t>
    </r>
    <r>
      <rPr>
        <sz val="10"/>
        <color rgb="FF343436"/>
        <rFont val="Arial"/>
        <family val="2"/>
      </rPr>
      <t xml:space="preserve">dan kerja </t>
    </r>
    <r>
      <rPr>
        <sz val="10"/>
        <color rgb="FF464649"/>
        <rFont val="Arial"/>
        <family val="2"/>
      </rPr>
      <t>sama</t>
    </r>
  </si>
  <si>
    <r>
      <rPr>
        <sz val="10"/>
        <color rgb="FF343436"/>
        <rFont val="Arial"/>
        <family val="2"/>
      </rPr>
      <t>Ri</t>
    </r>
    <r>
      <rPr>
        <sz val="10"/>
        <color rgb="FF646469"/>
        <rFont val="Arial"/>
        <family val="2"/>
      </rPr>
      <t>s</t>
    </r>
    <r>
      <rPr>
        <sz val="10"/>
        <color rgb="FF343436"/>
        <rFont val="Arial"/>
        <family val="2"/>
      </rPr>
      <t xml:space="preserve">iko   </t>
    </r>
    <r>
      <rPr>
        <sz val="10"/>
        <color rgb="FF464649"/>
        <rFont val="Arial"/>
        <family val="2"/>
      </rPr>
      <t xml:space="preserve">yang   </t>
    </r>
    <r>
      <rPr>
        <sz val="10"/>
        <color rgb="FF343436"/>
        <rFont val="Arial"/>
        <family val="2"/>
      </rPr>
      <t xml:space="preserve">muncul   </t>
    </r>
    <r>
      <rPr>
        <sz val="10"/>
        <color rgb="FF464649"/>
        <rFont val="Arial"/>
        <family val="2"/>
      </rPr>
      <t xml:space="preserve">ketika   </t>
    </r>
    <r>
      <rPr>
        <sz val="10"/>
        <color rgb="FF343436"/>
        <rFont val="Arial"/>
        <family val="2"/>
      </rPr>
      <t>organisas</t>
    </r>
    <r>
      <rPr>
        <sz val="10"/>
        <color rgb="FF181A1C"/>
        <rFont val="Arial"/>
        <family val="2"/>
      </rPr>
      <t xml:space="preserve">i   </t>
    </r>
    <r>
      <rPr>
        <sz val="10"/>
        <color rgb="FF464649"/>
        <rFont val="Arial"/>
        <family val="2"/>
      </rPr>
      <t xml:space="preserve">terlibat   </t>
    </r>
    <r>
      <rPr>
        <sz val="10"/>
        <color rgb="FF343436"/>
        <rFont val="Arial"/>
        <family val="2"/>
      </rPr>
      <t xml:space="preserve">dalam </t>
    </r>
    <r>
      <rPr>
        <sz val="10"/>
        <color rgb="FF646469"/>
        <rFont val="Arial"/>
        <family val="2"/>
      </rPr>
      <t>k</t>
    </r>
    <r>
      <rPr>
        <sz val="10"/>
        <color rgb="FF464649"/>
        <rFont val="Arial"/>
        <family val="2"/>
      </rPr>
      <t>emitraan, aliansi</t>
    </r>
    <r>
      <rPr>
        <sz val="10"/>
        <color rgb="FF646469"/>
        <rFont val="Arial"/>
        <family val="2"/>
      </rPr>
      <t xml:space="preserve">,  </t>
    </r>
    <r>
      <rPr>
        <sz val="10"/>
        <color rgb="FF464649"/>
        <rFont val="Arial"/>
        <family val="2"/>
      </rPr>
      <t xml:space="preserve">atau  kerja  sama  </t>
    </r>
    <r>
      <rPr>
        <sz val="10"/>
        <color rgb="FF343436"/>
        <rFont val="Arial"/>
        <family val="2"/>
      </rPr>
      <t>dengan  pihak  lain</t>
    </r>
    <r>
      <rPr>
        <sz val="10"/>
        <color rgb="FF646469"/>
        <rFont val="Arial"/>
        <family val="2"/>
      </rPr>
      <t xml:space="preserve">, </t>
    </r>
    <r>
      <rPr>
        <sz val="10"/>
        <color rgb="FF464649"/>
        <rFont val="Arial"/>
        <family val="2"/>
      </rPr>
      <t xml:space="preserve">tetapi proses </t>
    </r>
    <r>
      <rPr>
        <sz val="10"/>
        <color rgb="FF343436"/>
        <rFont val="Arial"/>
        <family val="2"/>
      </rPr>
      <t>dan transak</t>
    </r>
    <r>
      <rPr>
        <sz val="10"/>
        <color rgb="FF646469"/>
        <rFont val="Arial"/>
        <family val="2"/>
      </rPr>
      <t>s</t>
    </r>
    <r>
      <rPr>
        <sz val="10"/>
        <color rgb="FF464649"/>
        <rFont val="Arial"/>
        <family val="2"/>
      </rPr>
      <t xml:space="preserve">i </t>
    </r>
    <r>
      <rPr>
        <sz val="10"/>
        <color rgb="FF646469"/>
        <rFont val="Arial"/>
        <family val="2"/>
      </rPr>
      <t>y</t>
    </r>
    <r>
      <rPr>
        <sz val="10"/>
        <color rgb="FF464649"/>
        <rFont val="Arial"/>
        <family val="2"/>
      </rPr>
      <t>ang terlibat tidak cuk</t>
    </r>
    <r>
      <rPr>
        <sz val="10"/>
        <color rgb="FF181A1C"/>
        <rFont val="Arial"/>
        <family val="2"/>
      </rPr>
      <t>u</t>
    </r>
    <r>
      <rPr>
        <sz val="10"/>
        <color rgb="FF464649"/>
        <rFont val="Arial"/>
        <family val="2"/>
      </rPr>
      <t>p jelas</t>
    </r>
    <r>
      <rPr>
        <sz val="10"/>
        <color rgb="FF646469"/>
        <rFont val="Arial"/>
        <family val="2"/>
      </rPr>
      <t xml:space="preserve">, </t>
    </r>
    <r>
      <rPr>
        <sz val="10"/>
        <color rgb="FF464649"/>
        <rFont val="Arial"/>
        <family val="2"/>
      </rPr>
      <t>terbuka</t>
    </r>
    <r>
      <rPr>
        <sz val="10"/>
        <color rgb="FF646469"/>
        <rFont val="Arial"/>
        <family val="2"/>
      </rPr>
      <t xml:space="preserve">, </t>
    </r>
    <r>
      <rPr>
        <sz val="10"/>
        <color rgb="FF464649"/>
        <rFont val="Arial"/>
        <family val="2"/>
      </rPr>
      <t xml:space="preserve">atau </t>
    </r>
    <r>
      <rPr>
        <sz val="10"/>
        <color rgb="FF343436"/>
        <rFont val="Arial"/>
        <family val="2"/>
      </rPr>
      <t>transparan.</t>
    </r>
  </si>
  <si>
    <r>
      <rPr>
        <sz val="10"/>
        <color rgb="FF464649"/>
        <rFont val="Arial"/>
        <family val="2"/>
      </rPr>
      <t>a</t>
    </r>
    <r>
      <rPr>
        <sz val="10"/>
        <color rgb="FF646469"/>
        <rFont val="Arial"/>
        <family val="2"/>
      </rPr>
      <t xml:space="preserve">.    </t>
    </r>
    <r>
      <rPr>
        <sz val="10"/>
        <color rgb="FF343436"/>
        <rFont val="Arial"/>
        <family val="2"/>
      </rPr>
      <t xml:space="preserve">Proses </t>
    </r>
    <r>
      <rPr>
        <sz val="10"/>
        <color rgb="FF464649"/>
        <rFont val="Arial"/>
        <family val="2"/>
      </rPr>
      <t>tra</t>
    </r>
    <r>
      <rPr>
        <sz val="10"/>
        <color rgb="FF181A1C"/>
        <rFont val="Arial"/>
        <family val="2"/>
      </rPr>
      <t>n</t>
    </r>
    <r>
      <rPr>
        <sz val="10"/>
        <color rgb="FF464649"/>
        <rFont val="Arial"/>
        <family val="2"/>
      </rPr>
      <t>saksidalam kem</t>
    </r>
    <r>
      <rPr>
        <sz val="10"/>
        <color rgb="FF181A1C"/>
        <rFont val="Arial"/>
        <family val="2"/>
      </rPr>
      <t>i</t>
    </r>
    <r>
      <rPr>
        <sz val="10"/>
        <color rgb="FF343436"/>
        <rFont val="Arial"/>
        <family val="2"/>
      </rPr>
      <t xml:space="preserve">traan </t>
    </r>
    <r>
      <rPr>
        <sz val="10"/>
        <color rgb="FF464649"/>
        <rFont val="Arial"/>
        <family val="2"/>
      </rPr>
      <t>atau a</t>
    </r>
    <r>
      <rPr>
        <sz val="10"/>
        <color rgb="FF181A1C"/>
        <rFont val="Arial"/>
        <family val="2"/>
      </rPr>
      <t>l</t>
    </r>
    <r>
      <rPr>
        <sz val="10"/>
        <color rgb="FF464649"/>
        <rFont val="Arial"/>
        <family val="2"/>
      </rPr>
      <t xml:space="preserve">iansi </t>
    </r>
    <r>
      <rPr>
        <sz val="10"/>
        <color rgb="FF343436"/>
        <rFont val="Arial"/>
        <family val="2"/>
      </rPr>
      <t xml:space="preserve">tidak </t>
    </r>
    <r>
      <rPr>
        <sz val="10"/>
        <color rgb="FF464649"/>
        <rFont val="Arial"/>
        <family val="2"/>
      </rPr>
      <t>transparan
b</t>
    </r>
    <r>
      <rPr>
        <sz val="10"/>
        <color rgb="FF646469"/>
        <rFont val="Arial"/>
        <family val="2"/>
      </rPr>
      <t xml:space="preserve">.    </t>
    </r>
    <r>
      <rPr>
        <vertAlign val="superscript"/>
        <sz val="10"/>
        <color rgb="FF464649"/>
        <rFont val="Arial"/>
        <family val="2"/>
      </rPr>
      <t>Kurangnya   ke</t>
    </r>
    <r>
      <rPr>
        <vertAlign val="superscript"/>
        <sz val="10"/>
        <color rgb="FF646469"/>
        <rFont val="Arial"/>
        <family val="2"/>
      </rPr>
      <t>j</t>
    </r>
    <r>
      <rPr>
        <vertAlign val="superscript"/>
        <sz val="10"/>
        <color rgb="FF464649"/>
        <rFont val="Arial"/>
        <family val="2"/>
      </rPr>
      <t>ela</t>
    </r>
    <r>
      <rPr>
        <vertAlign val="superscript"/>
        <sz val="10"/>
        <color rgb="FF646469"/>
        <rFont val="Arial"/>
        <family val="2"/>
      </rPr>
      <t>s</t>
    </r>
    <r>
      <rPr>
        <vertAlign val="superscript"/>
        <sz val="10"/>
        <color rgb="FF464649"/>
        <rFont val="Arial"/>
        <family val="2"/>
      </rPr>
      <t xml:space="preserve">an  pembagian   tanggung </t>
    </r>
    <r>
      <rPr>
        <sz val="10"/>
        <color rgb="FF343436"/>
        <rFont val="Arial"/>
        <family val="2"/>
      </rPr>
      <t>jawab</t>
    </r>
    <r>
      <rPr>
        <sz val="10"/>
        <color rgb="FF79797E"/>
        <rFont val="Arial"/>
        <family val="2"/>
      </rPr>
      <t xml:space="preserve">, </t>
    </r>
    <r>
      <rPr>
        <sz val="10"/>
        <color rgb="FF464649"/>
        <rFont val="Arial"/>
        <family val="2"/>
      </rPr>
      <t xml:space="preserve">target </t>
    </r>
    <r>
      <rPr>
        <sz val="10"/>
        <color rgb="FF343436"/>
        <rFont val="Arial"/>
        <family val="2"/>
      </rPr>
      <t>dan has</t>
    </r>
    <r>
      <rPr>
        <sz val="10"/>
        <color rgb="FF181A1C"/>
        <rFont val="Arial"/>
        <family val="2"/>
      </rPr>
      <t xml:space="preserve">il </t>
    </r>
    <r>
      <rPr>
        <sz val="10"/>
        <color rgb="FF464649"/>
        <rFont val="Arial"/>
        <family val="2"/>
      </rPr>
      <t xml:space="preserve">yang </t>
    </r>
    <r>
      <rPr>
        <sz val="10"/>
        <color rgb="FF343436"/>
        <rFont val="Arial"/>
        <family val="2"/>
      </rPr>
      <t xml:space="preserve">diharapkan
</t>
    </r>
    <r>
      <rPr>
        <sz val="10"/>
        <color rgb="FF464649"/>
        <rFont val="Arial"/>
        <family val="2"/>
      </rPr>
      <t xml:space="preserve">C.      (dapat </t>
    </r>
    <r>
      <rPr>
        <sz val="10"/>
        <color rgb="FF343436"/>
        <rFont val="Arial"/>
        <family val="2"/>
      </rPr>
      <t>d</t>
    </r>
    <r>
      <rPr>
        <sz val="10"/>
        <color rgb="FF181A1C"/>
        <rFont val="Arial"/>
        <family val="2"/>
      </rPr>
      <t>i</t>
    </r>
    <r>
      <rPr>
        <sz val="10"/>
        <color rgb="FF464649"/>
        <rFont val="Arial"/>
        <family val="2"/>
      </rPr>
      <t xml:space="preserve">tambahkan sesuai </t>
    </r>
    <r>
      <rPr>
        <sz val="10"/>
        <color rgb="FF343436"/>
        <rFont val="Arial"/>
        <family val="2"/>
      </rPr>
      <t xml:space="preserve">konteks </t>
    </r>
    <r>
      <rPr>
        <sz val="10"/>
        <color rgb="FF464649"/>
        <rFont val="Arial"/>
        <family val="2"/>
      </rPr>
      <t xml:space="preserve">peristiwa </t>
    </r>
    <r>
      <rPr>
        <sz val="10"/>
        <color rgb="FF343436"/>
        <rFont val="Arial"/>
        <family val="2"/>
      </rPr>
      <t xml:space="preserve">risiko pada </t>
    </r>
    <r>
      <rPr>
        <sz val="10"/>
        <color rgb="FF464649"/>
        <rFont val="Arial"/>
        <family val="2"/>
      </rPr>
      <t xml:space="preserve">satuan </t>
    </r>
    <r>
      <rPr>
        <sz val="10"/>
        <color rgb="FF343436"/>
        <rFont val="Arial"/>
        <family val="2"/>
      </rPr>
      <t>ker</t>
    </r>
    <r>
      <rPr>
        <sz val="10"/>
        <color rgb="FF181A1C"/>
        <rFont val="Arial"/>
        <family val="2"/>
      </rPr>
      <t>j</t>
    </r>
    <r>
      <rPr>
        <sz val="10"/>
        <color rgb="FF343436"/>
        <rFont val="Arial"/>
        <family val="2"/>
      </rPr>
      <t>a mas</t>
    </r>
    <r>
      <rPr>
        <sz val="10"/>
        <color rgb="FF181A1C"/>
        <rFont val="Arial"/>
        <family val="2"/>
      </rPr>
      <t>in</t>
    </r>
    <r>
      <rPr>
        <sz val="10"/>
        <color rgb="FF464649"/>
        <rFont val="Arial"/>
        <family val="2"/>
      </rPr>
      <t>g</t>
    </r>
    <r>
      <rPr>
        <sz val="10"/>
        <color rgb="FF181A1C"/>
        <rFont val="Arial"/>
        <family val="2"/>
      </rPr>
      <t>-</t>
    </r>
    <r>
      <rPr>
        <sz val="10"/>
        <color rgb="FF343436"/>
        <rFont val="Arial"/>
        <family val="2"/>
      </rPr>
      <t>mas</t>
    </r>
    <r>
      <rPr>
        <sz val="10"/>
        <color rgb="FF181A1C"/>
        <rFont val="Arial"/>
        <family val="2"/>
      </rPr>
      <t>i</t>
    </r>
    <r>
      <rPr>
        <sz val="10"/>
        <color rgb="FF343436"/>
        <rFont val="Arial"/>
        <family val="2"/>
      </rPr>
      <t>ng)</t>
    </r>
  </si>
  <si>
    <r>
      <rPr>
        <sz val="10"/>
        <color rgb="FF343436"/>
        <rFont val="Arial"/>
        <family val="2"/>
      </rPr>
      <t xml:space="preserve">Ris </t>
    </r>
    <r>
      <rPr>
        <sz val="10"/>
        <color rgb="FF181A1C"/>
        <rFont val="Arial"/>
        <family val="2"/>
      </rPr>
      <t>i</t>
    </r>
    <r>
      <rPr>
        <sz val="10"/>
        <color rgb="FF343436"/>
        <rFont val="Arial"/>
        <family val="2"/>
      </rPr>
      <t xml:space="preserve">ko merger,
</t>
    </r>
    <r>
      <rPr>
        <sz val="10"/>
        <color rgb="FF464649"/>
        <rFont val="Arial"/>
        <family val="2"/>
      </rPr>
      <t>akuis</t>
    </r>
    <r>
      <rPr>
        <sz val="10"/>
        <color rgb="FF181A1C"/>
        <rFont val="Arial"/>
        <family val="2"/>
      </rPr>
      <t>i</t>
    </r>
    <r>
      <rPr>
        <sz val="10"/>
        <color rgb="FF464649"/>
        <rFont val="Arial"/>
        <family val="2"/>
      </rPr>
      <t>si</t>
    </r>
    <r>
      <rPr>
        <sz val="10"/>
        <color rgb="FF646469"/>
        <rFont val="Arial"/>
        <family val="2"/>
      </rPr>
      <t xml:space="preserve">, </t>
    </r>
    <r>
      <rPr>
        <sz val="10"/>
        <color rgb="FF464649"/>
        <rFont val="Arial"/>
        <family val="2"/>
      </rPr>
      <t>kerja sama strateg</t>
    </r>
    <r>
      <rPr>
        <sz val="10"/>
        <color rgb="FF646469"/>
        <rFont val="Arial"/>
        <family val="2"/>
      </rPr>
      <t>i</t>
    </r>
    <r>
      <rPr>
        <sz val="10"/>
        <color rgb="FF464649"/>
        <rFont val="Arial"/>
        <family val="2"/>
      </rPr>
      <t>s dan privatisasi</t>
    </r>
  </si>
  <si>
    <r>
      <rPr>
        <sz val="10"/>
        <color rgb="FF343436"/>
        <rFont val="Arial"/>
        <family val="2"/>
      </rPr>
      <t>R</t>
    </r>
    <r>
      <rPr>
        <sz val="10"/>
        <color rgb="FF181A1C"/>
        <rFont val="Arial"/>
        <family val="2"/>
      </rPr>
      <t>i</t>
    </r>
    <r>
      <rPr>
        <sz val="10"/>
        <color rgb="FF464649"/>
        <rFont val="Arial"/>
        <family val="2"/>
      </rPr>
      <t xml:space="preserve">siko </t>
    </r>
    <r>
      <rPr>
        <sz val="10"/>
        <color rgb="FF343436"/>
        <rFont val="Arial"/>
        <family val="2"/>
      </rPr>
      <t>ker</t>
    </r>
    <r>
      <rPr>
        <sz val="10"/>
        <color rgb="FF181A1C"/>
        <rFont val="Arial"/>
        <family val="2"/>
      </rPr>
      <t>u</t>
    </r>
    <r>
      <rPr>
        <sz val="10"/>
        <color rgb="FF343436"/>
        <rFont val="Arial"/>
        <family val="2"/>
      </rPr>
      <t>gia</t>
    </r>
    <r>
      <rPr>
        <sz val="10"/>
        <color rgb="FF181A1C"/>
        <rFont val="Arial"/>
        <family val="2"/>
      </rPr>
      <t xml:space="preserve">n </t>
    </r>
    <r>
      <rPr>
        <sz val="10"/>
        <color rgb="FF343436"/>
        <rFont val="Arial"/>
        <family val="2"/>
      </rPr>
      <t>berw</t>
    </r>
    <r>
      <rPr>
        <sz val="10"/>
        <color rgb="FF181A1C"/>
        <rFont val="Arial"/>
        <family val="2"/>
      </rPr>
      <t>uj</t>
    </r>
    <r>
      <rPr>
        <sz val="10"/>
        <color rgb="FF343436"/>
        <rFont val="Arial"/>
        <family val="2"/>
      </rPr>
      <t xml:space="preserve">ud </t>
    </r>
    <r>
      <rPr>
        <sz val="10"/>
        <color rgb="FF464649"/>
        <rFont val="Arial"/>
        <family val="2"/>
      </rPr>
      <t xml:space="preserve">atau </t>
    </r>
    <r>
      <rPr>
        <sz val="10"/>
        <color rgb="FF343436"/>
        <rFont val="Arial"/>
        <family val="2"/>
      </rPr>
      <t>tidak berwujud yang timb</t>
    </r>
    <r>
      <rPr>
        <sz val="10"/>
        <color rgb="FF181A1C"/>
        <rFont val="Arial"/>
        <family val="2"/>
      </rPr>
      <t xml:space="preserve">ul
</t>
    </r>
    <r>
      <rPr>
        <sz val="10"/>
        <color rgb="FF343436"/>
        <rFont val="Arial"/>
        <family val="2"/>
      </rPr>
      <t xml:space="preserve">dari  </t>
    </r>
    <r>
      <rPr>
        <sz val="10"/>
        <color rgb="FF464649"/>
        <rFont val="Arial"/>
        <family val="2"/>
      </rPr>
      <t xml:space="preserve">gesekan  </t>
    </r>
    <r>
      <rPr>
        <sz val="10"/>
        <color rgb="FF343436"/>
        <rFont val="Arial"/>
        <family val="2"/>
      </rPr>
      <t xml:space="preserve">dalam  </t>
    </r>
    <r>
      <rPr>
        <sz val="10"/>
        <color rgb="FF464649"/>
        <rFont val="Arial"/>
        <family val="2"/>
      </rPr>
      <t xml:space="preserve">pelaksanaan  </t>
    </r>
    <r>
      <rPr>
        <sz val="10"/>
        <color rgb="FF343436"/>
        <rFont val="Arial"/>
        <family val="2"/>
      </rPr>
      <t xml:space="preserve">Merger  dan  </t>
    </r>
    <r>
      <rPr>
        <sz val="10"/>
        <color rgb="FF464649"/>
        <rFont val="Arial"/>
        <family val="2"/>
      </rPr>
      <t xml:space="preserve">Akuisisi, kerja sama strategis  </t>
    </r>
    <r>
      <rPr>
        <sz val="10"/>
        <color rgb="FF343436"/>
        <rFont val="Arial"/>
        <family val="2"/>
      </rPr>
      <t xml:space="preserve">dan </t>
    </r>
    <r>
      <rPr>
        <sz val="10"/>
        <color rgb="FF464649"/>
        <rFont val="Arial"/>
        <family val="2"/>
      </rPr>
      <t>privatisasi antara atau d</t>
    </r>
    <r>
      <rPr>
        <sz val="10"/>
        <color rgb="FF181A1C"/>
        <rFont val="Arial"/>
        <family val="2"/>
      </rPr>
      <t xml:space="preserve">i </t>
    </r>
    <r>
      <rPr>
        <sz val="10"/>
        <color rgb="FF343436"/>
        <rFont val="Arial"/>
        <family val="2"/>
      </rPr>
      <t xml:space="preserve">dalam PLN </t>
    </r>
    <r>
      <rPr>
        <sz val="10"/>
        <color rgb="FF464649"/>
        <rFont val="Arial"/>
        <family val="2"/>
      </rPr>
      <t xml:space="preserve">dan Anak </t>
    </r>
    <r>
      <rPr>
        <sz val="10"/>
        <color rgb="FF343436"/>
        <rFont val="Arial"/>
        <family val="2"/>
      </rPr>
      <t>Pe</t>
    </r>
    <r>
      <rPr>
        <sz val="10"/>
        <color rgb="FF181A1C"/>
        <rFont val="Arial"/>
        <family val="2"/>
      </rPr>
      <t>r</t>
    </r>
    <r>
      <rPr>
        <sz val="10"/>
        <color rgb="FF343436"/>
        <rFont val="Arial"/>
        <family val="2"/>
      </rPr>
      <t>usahaan.</t>
    </r>
  </si>
  <si>
    <r>
      <rPr>
        <sz val="10"/>
        <color rgb="FF464649"/>
        <rFont val="Arial"/>
        <family val="2"/>
      </rPr>
      <t>a.    Pemi</t>
    </r>
    <r>
      <rPr>
        <sz val="10"/>
        <color rgb="FF181A1C"/>
        <rFont val="Arial"/>
        <family val="2"/>
      </rPr>
      <t>n</t>
    </r>
    <r>
      <rPr>
        <sz val="10"/>
        <color rgb="FF343436"/>
        <rFont val="Arial"/>
        <family val="2"/>
      </rPr>
      <t>da</t>
    </r>
    <r>
      <rPr>
        <sz val="10"/>
        <color rgb="FF181A1C"/>
        <rFont val="Arial"/>
        <family val="2"/>
      </rPr>
      <t>h</t>
    </r>
    <r>
      <rPr>
        <sz val="10"/>
        <color rgb="FF343436"/>
        <rFont val="Arial"/>
        <family val="2"/>
      </rPr>
      <t>an  kewajiba</t>
    </r>
    <r>
      <rPr>
        <sz val="10"/>
        <color rgb="FF181A1C"/>
        <rFont val="Arial"/>
        <family val="2"/>
      </rPr>
      <t xml:space="preserve">n   </t>
    </r>
    <r>
      <rPr>
        <sz val="10"/>
        <color rgb="FF343436"/>
        <rFont val="Arial"/>
        <family val="2"/>
      </rPr>
      <t>ko</t>
    </r>
    <r>
      <rPr>
        <sz val="10"/>
        <color rgb="FF181A1C"/>
        <rFont val="Arial"/>
        <family val="2"/>
      </rPr>
      <t>nt</t>
    </r>
    <r>
      <rPr>
        <sz val="10"/>
        <color rgb="FF343436"/>
        <rFont val="Arial"/>
        <family val="2"/>
      </rPr>
      <t xml:space="preserve">rak  dari   </t>
    </r>
    <r>
      <rPr>
        <sz val="10"/>
        <color rgb="FF464649"/>
        <rFont val="Arial"/>
        <family val="2"/>
      </rPr>
      <t>anak
perusahaan k</t>
    </r>
    <r>
      <rPr>
        <sz val="10"/>
        <color rgb="FF646469"/>
        <rFont val="Arial"/>
        <family val="2"/>
      </rPr>
      <t xml:space="preserve">e </t>
    </r>
    <r>
      <rPr>
        <sz val="10"/>
        <color rgb="FF464649"/>
        <rFont val="Arial"/>
        <family val="2"/>
      </rPr>
      <t>PLN
b</t>
    </r>
    <r>
      <rPr>
        <sz val="10"/>
        <color rgb="FF646469"/>
        <rFont val="Arial"/>
        <family val="2"/>
      </rPr>
      <t xml:space="preserve">.    </t>
    </r>
    <r>
      <rPr>
        <vertAlign val="superscript"/>
        <sz val="10"/>
        <color rgb="FF464649"/>
        <rFont val="Arial"/>
        <family val="2"/>
      </rPr>
      <t xml:space="preserve">Bocornya </t>
    </r>
    <r>
      <rPr>
        <vertAlign val="superscript"/>
        <sz val="10"/>
        <color rgb="FF181A1C"/>
        <rFont val="Arial"/>
        <family val="2"/>
      </rPr>
      <t>i</t>
    </r>
    <r>
      <rPr>
        <vertAlign val="superscript"/>
        <sz val="10"/>
        <color rgb="FF343436"/>
        <rFont val="Arial"/>
        <family val="2"/>
      </rPr>
      <t>nformasi</t>
    </r>
    <r>
      <rPr>
        <vertAlign val="superscript"/>
        <sz val="10"/>
        <color rgb="FF464649"/>
        <rFont val="Arial"/>
        <family val="2"/>
      </rPr>
      <t>sens</t>
    </r>
    <r>
      <rPr>
        <vertAlign val="superscript"/>
        <sz val="10"/>
        <color rgb="FF646469"/>
        <rFont val="Arial"/>
        <family val="2"/>
      </rPr>
      <t>i</t>
    </r>
    <r>
      <rPr>
        <vertAlign val="superscript"/>
        <sz val="10"/>
        <color rgb="FF343436"/>
        <rFont val="Arial"/>
        <family val="2"/>
      </rPr>
      <t xml:space="preserve">tif </t>
    </r>
    <r>
      <rPr>
        <vertAlign val="superscript"/>
        <sz val="10"/>
        <color rgb="FF464649"/>
        <rFont val="Arial"/>
        <family val="2"/>
      </rPr>
      <t xml:space="preserve">perusahaan
</t>
    </r>
    <r>
      <rPr>
        <sz val="10"/>
        <color rgb="FF464649"/>
        <rFont val="Arial"/>
        <family val="2"/>
      </rPr>
      <t xml:space="preserve">C.     </t>
    </r>
    <r>
      <rPr>
        <sz val="10"/>
        <color rgb="FF646469"/>
        <rFont val="Arial"/>
        <family val="2"/>
      </rPr>
      <t>(</t>
    </r>
    <r>
      <rPr>
        <sz val="10"/>
        <color rgb="FF464649"/>
        <rFont val="Arial"/>
        <family val="2"/>
      </rPr>
      <t xml:space="preserve">dapat </t>
    </r>
    <r>
      <rPr>
        <sz val="10"/>
        <color rgb="FF343436"/>
        <rFont val="Arial"/>
        <family val="2"/>
      </rPr>
      <t>d</t>
    </r>
    <r>
      <rPr>
        <sz val="10"/>
        <color rgb="FF181A1C"/>
        <rFont val="Arial"/>
        <family val="2"/>
      </rPr>
      <t>i</t>
    </r>
    <r>
      <rPr>
        <sz val="10"/>
        <color rgb="FF464649"/>
        <rFont val="Arial"/>
        <family val="2"/>
      </rPr>
      <t xml:space="preserve">tambahkansesuai </t>
    </r>
    <r>
      <rPr>
        <sz val="10"/>
        <color rgb="FF343436"/>
        <rFont val="Arial"/>
        <family val="2"/>
      </rPr>
      <t>konteks perist</t>
    </r>
    <r>
      <rPr>
        <sz val="10"/>
        <color rgb="FF181A1C"/>
        <rFont val="Arial"/>
        <family val="2"/>
      </rPr>
      <t>i</t>
    </r>
    <r>
      <rPr>
        <sz val="10"/>
        <color rgb="FF464649"/>
        <rFont val="Arial"/>
        <family val="2"/>
      </rPr>
      <t xml:space="preserve">wa </t>
    </r>
    <r>
      <rPr>
        <sz val="10"/>
        <color rgb="FF181A1C"/>
        <rFont val="Arial"/>
        <family val="2"/>
      </rPr>
      <t>r</t>
    </r>
    <r>
      <rPr>
        <sz val="10"/>
        <color rgb="FF464649"/>
        <rFont val="Arial"/>
        <family val="2"/>
      </rPr>
      <t>is</t>
    </r>
    <r>
      <rPr>
        <sz val="10"/>
        <color rgb="FF181A1C"/>
        <rFont val="Arial"/>
        <family val="2"/>
      </rPr>
      <t>i</t>
    </r>
    <r>
      <rPr>
        <sz val="10"/>
        <color rgb="FF464649"/>
        <rFont val="Arial"/>
        <family val="2"/>
      </rPr>
      <t>ko pada sat</t>
    </r>
    <r>
      <rPr>
        <sz val="10"/>
        <color rgb="FF181A1C"/>
        <rFont val="Arial"/>
        <family val="2"/>
      </rPr>
      <t>u</t>
    </r>
    <r>
      <rPr>
        <sz val="10"/>
        <color rgb="FF464649"/>
        <rFont val="Arial"/>
        <family val="2"/>
      </rPr>
      <t xml:space="preserve">an </t>
    </r>
    <r>
      <rPr>
        <sz val="10"/>
        <color rgb="FF181A1C"/>
        <rFont val="Arial"/>
        <family val="2"/>
      </rPr>
      <t>k</t>
    </r>
    <r>
      <rPr>
        <sz val="10"/>
        <color rgb="FF464649"/>
        <rFont val="Arial"/>
        <family val="2"/>
      </rPr>
      <t>erja</t>
    </r>
    <r>
      <rPr>
        <sz val="10"/>
        <color rgb="FF343436"/>
        <rFont val="Arial"/>
        <family val="2"/>
      </rPr>
      <t>mas</t>
    </r>
    <r>
      <rPr>
        <sz val="10"/>
        <color rgb="FF181A1C"/>
        <rFont val="Arial"/>
        <family val="2"/>
      </rPr>
      <t>in</t>
    </r>
    <r>
      <rPr>
        <sz val="10"/>
        <color rgb="FF343436"/>
        <rFont val="Arial"/>
        <family val="2"/>
      </rPr>
      <t>g</t>
    </r>
    <r>
      <rPr>
        <sz val="10"/>
        <color rgb="FF000000"/>
        <rFont val="Arial"/>
        <family val="2"/>
      </rPr>
      <t>-</t>
    </r>
    <r>
      <rPr>
        <sz val="10"/>
        <color rgb="FF343436"/>
        <rFont val="Arial"/>
        <family val="2"/>
      </rPr>
      <t>masing)</t>
    </r>
  </si>
  <si>
    <r>
      <rPr>
        <sz val="10"/>
        <color rgb="FF343436"/>
        <rFont val="Arial"/>
        <family val="2"/>
      </rPr>
      <t>Risiko per</t>
    </r>
    <r>
      <rPr>
        <sz val="10"/>
        <color rgb="FF181A1C"/>
        <rFont val="Arial"/>
        <family val="2"/>
      </rPr>
      <t>u</t>
    </r>
    <r>
      <rPr>
        <sz val="10"/>
        <color rgb="FF343436"/>
        <rFont val="Arial"/>
        <family val="2"/>
      </rPr>
      <t>bahan s</t>
    </r>
    <r>
      <rPr>
        <sz val="10"/>
        <color rgb="FF181A1C"/>
        <rFont val="Arial"/>
        <family val="2"/>
      </rPr>
      <t>tru</t>
    </r>
    <r>
      <rPr>
        <sz val="10"/>
        <color rgb="FF343436"/>
        <rFont val="Arial"/>
        <family val="2"/>
      </rPr>
      <t>kt</t>
    </r>
    <r>
      <rPr>
        <sz val="10"/>
        <color rgb="FF181A1C"/>
        <rFont val="Arial"/>
        <family val="2"/>
      </rPr>
      <t xml:space="preserve">ur </t>
    </r>
    <r>
      <rPr>
        <sz val="10"/>
        <color rgb="FF464649"/>
        <rFont val="Arial"/>
        <family val="2"/>
      </rPr>
      <t>o</t>
    </r>
    <r>
      <rPr>
        <sz val="10"/>
        <color rgb="FF181A1C"/>
        <rFont val="Arial"/>
        <family val="2"/>
      </rPr>
      <t>r</t>
    </r>
    <r>
      <rPr>
        <sz val="10"/>
        <color rgb="FF464649"/>
        <rFont val="Arial"/>
        <family val="2"/>
      </rPr>
      <t>ga</t>
    </r>
    <r>
      <rPr>
        <sz val="10"/>
        <color rgb="FF181A1C"/>
        <rFont val="Arial"/>
        <family val="2"/>
      </rPr>
      <t>ni</t>
    </r>
    <r>
      <rPr>
        <sz val="10"/>
        <color rgb="FF464649"/>
        <rFont val="Arial"/>
        <family val="2"/>
      </rPr>
      <t>sasi</t>
    </r>
  </si>
  <si>
    <r>
      <rPr>
        <sz val="10"/>
        <color rgb="FF343436"/>
        <rFont val="Arial"/>
        <family val="2"/>
      </rPr>
      <t xml:space="preserve">Risiko  </t>
    </r>
    <r>
      <rPr>
        <sz val="10"/>
        <color rgb="FF464649"/>
        <rFont val="Arial"/>
        <family val="2"/>
      </rPr>
      <t xml:space="preserve">yang  timbul </t>
    </r>
    <r>
      <rPr>
        <sz val="10"/>
        <color rgb="FF343436"/>
        <rFont val="Arial"/>
        <family val="2"/>
      </rPr>
      <t xml:space="preserve">dari </t>
    </r>
    <r>
      <rPr>
        <sz val="10"/>
        <color rgb="FF464649"/>
        <rFont val="Arial"/>
        <family val="2"/>
      </rPr>
      <t>p</t>
    </r>
    <r>
      <rPr>
        <sz val="10"/>
        <color rgb="FF646469"/>
        <rFont val="Arial"/>
        <family val="2"/>
      </rPr>
      <t>e</t>
    </r>
    <r>
      <rPr>
        <sz val="10"/>
        <color rgb="FF464649"/>
        <rFont val="Arial"/>
        <family val="2"/>
      </rPr>
      <t>rubahan struktu</t>
    </r>
    <r>
      <rPr>
        <sz val="10"/>
        <color rgb="FF181A1C"/>
        <rFont val="Arial"/>
        <family val="2"/>
      </rPr>
      <t xml:space="preserve">r  </t>
    </r>
    <r>
      <rPr>
        <sz val="10"/>
        <color rgb="FF464649"/>
        <rFont val="Arial"/>
        <family val="2"/>
      </rPr>
      <t>o</t>
    </r>
    <r>
      <rPr>
        <sz val="10"/>
        <color rgb="FF181A1C"/>
        <rFont val="Arial"/>
        <family val="2"/>
      </rPr>
      <t>r</t>
    </r>
    <r>
      <rPr>
        <sz val="10"/>
        <color rgb="FF464649"/>
        <rFont val="Arial"/>
        <family val="2"/>
      </rPr>
      <t xml:space="preserve">ganisasi di </t>
    </r>
    <r>
      <rPr>
        <sz val="10"/>
        <color rgb="FF343436"/>
        <rFont val="Arial"/>
        <family val="2"/>
      </rPr>
      <t>PL</t>
    </r>
    <r>
      <rPr>
        <sz val="10"/>
        <color rgb="FF181A1C"/>
        <rFont val="Arial"/>
        <family val="2"/>
      </rPr>
      <t xml:space="preserve">N </t>
    </r>
    <r>
      <rPr>
        <sz val="10"/>
        <color rgb="FF343436"/>
        <rFont val="Arial"/>
        <family val="2"/>
      </rPr>
      <t>dan Anak Pe</t>
    </r>
    <r>
      <rPr>
        <sz val="10"/>
        <color rgb="FF181A1C"/>
        <rFont val="Arial"/>
        <family val="2"/>
      </rPr>
      <t>ru</t>
    </r>
    <r>
      <rPr>
        <sz val="10"/>
        <color rgb="FF464649"/>
        <rFont val="Arial"/>
        <family val="2"/>
      </rPr>
      <t>sahaan.</t>
    </r>
  </si>
  <si>
    <r>
      <rPr>
        <sz val="10"/>
        <color rgb="FF464649"/>
        <rFont val="Arial"/>
        <family val="2"/>
      </rPr>
      <t xml:space="preserve">a.   </t>
    </r>
    <r>
      <rPr>
        <sz val="10"/>
        <color rgb="FF343436"/>
        <rFont val="Arial"/>
        <family val="2"/>
      </rPr>
      <t>Tumpang t</t>
    </r>
    <r>
      <rPr>
        <sz val="10"/>
        <color rgb="FF181A1C"/>
        <rFont val="Arial"/>
        <family val="2"/>
      </rPr>
      <t>i</t>
    </r>
    <r>
      <rPr>
        <sz val="10"/>
        <color rgb="FF464649"/>
        <rFont val="Arial"/>
        <family val="2"/>
      </rPr>
      <t>ndih pe</t>
    </r>
    <r>
      <rPr>
        <sz val="10"/>
        <color rgb="FF181A1C"/>
        <rFont val="Arial"/>
        <family val="2"/>
      </rPr>
      <t>r</t>
    </r>
    <r>
      <rPr>
        <sz val="10"/>
        <color rgb="FF464649"/>
        <rFont val="Arial"/>
        <family val="2"/>
      </rPr>
      <t>an</t>
    </r>
    <r>
      <rPr>
        <sz val="10"/>
        <color rgb="FF79797E"/>
        <rFont val="Arial"/>
        <family val="2"/>
      </rPr>
      <t xml:space="preserve">, </t>
    </r>
    <r>
      <rPr>
        <sz val="10"/>
        <color rgb="FF343436"/>
        <rFont val="Arial"/>
        <family val="2"/>
      </rPr>
      <t xml:space="preserve">tanggung jawab, </t>
    </r>
    <r>
      <rPr>
        <sz val="10"/>
        <color rgb="FF464649"/>
        <rFont val="Arial"/>
        <family val="2"/>
      </rPr>
      <t xml:space="preserve">dan </t>
    </r>
    <r>
      <rPr>
        <sz val="10"/>
        <color rgb="FF343436"/>
        <rFont val="Arial"/>
        <family val="2"/>
      </rPr>
      <t>proses ke</t>
    </r>
    <r>
      <rPr>
        <sz val="10"/>
        <color rgb="FF181A1C"/>
        <rFont val="Arial"/>
        <family val="2"/>
      </rPr>
      <t>r</t>
    </r>
    <r>
      <rPr>
        <sz val="10"/>
        <color rgb="FF343436"/>
        <rFont val="Arial"/>
        <family val="2"/>
      </rPr>
      <t xml:space="preserve">ja </t>
    </r>
    <r>
      <rPr>
        <sz val="10"/>
        <color rgb="FF464649"/>
        <rFont val="Arial"/>
        <family val="2"/>
      </rPr>
      <t>strukt</t>
    </r>
    <r>
      <rPr>
        <sz val="10"/>
        <color rgb="FF181A1C"/>
        <rFont val="Arial"/>
        <family val="2"/>
      </rPr>
      <t>u</t>
    </r>
    <r>
      <rPr>
        <sz val="10"/>
        <color rgb="FF343436"/>
        <rFont val="Arial"/>
        <family val="2"/>
      </rPr>
      <t xml:space="preserve">r </t>
    </r>
    <r>
      <rPr>
        <sz val="10"/>
        <color rgb="FF464649"/>
        <rFont val="Arial"/>
        <family val="2"/>
      </rPr>
      <t xml:space="preserve">organisasi
</t>
    </r>
    <r>
      <rPr>
        <sz val="10"/>
        <color rgb="FF343436"/>
        <rFont val="Arial"/>
        <family val="2"/>
      </rPr>
      <t>b</t>
    </r>
    <r>
      <rPr>
        <sz val="10"/>
        <color rgb="FF181A1C"/>
        <rFont val="Arial"/>
        <family val="2"/>
      </rPr>
      <t xml:space="preserve">.    </t>
    </r>
    <r>
      <rPr>
        <vertAlign val="superscript"/>
        <sz val="10"/>
        <color rgb="FF343436"/>
        <rFont val="Arial"/>
        <family val="2"/>
      </rPr>
      <t>Pem</t>
    </r>
    <r>
      <rPr>
        <vertAlign val="superscript"/>
        <sz val="10"/>
        <color rgb="FF181A1C"/>
        <rFont val="Arial"/>
        <family val="2"/>
      </rPr>
      <t>b</t>
    </r>
    <r>
      <rPr>
        <vertAlign val="superscript"/>
        <sz val="10"/>
        <color rgb="FF343436"/>
        <rFont val="Arial"/>
        <family val="2"/>
      </rPr>
      <t>eng</t>
    </r>
    <r>
      <rPr>
        <vertAlign val="superscript"/>
        <sz val="10"/>
        <color rgb="FF181A1C"/>
        <rFont val="Arial"/>
        <family val="2"/>
      </rPr>
      <t>k</t>
    </r>
    <r>
      <rPr>
        <vertAlign val="superscript"/>
        <sz val="10"/>
        <color rgb="FF343436"/>
        <rFont val="Arial"/>
        <family val="2"/>
      </rPr>
      <t>aka</t>
    </r>
    <r>
      <rPr>
        <vertAlign val="superscript"/>
        <sz val="10"/>
        <color rgb="FF181A1C"/>
        <rFont val="Arial"/>
        <family val="2"/>
      </rPr>
      <t>n b</t>
    </r>
    <r>
      <rPr>
        <vertAlign val="superscript"/>
        <sz val="10"/>
        <color rgb="FF343436"/>
        <rFont val="Arial"/>
        <family val="2"/>
      </rPr>
      <t xml:space="preserve">iaya </t>
    </r>
    <r>
      <rPr>
        <vertAlign val="superscript"/>
        <sz val="10"/>
        <color rgb="FF464649"/>
        <rFont val="Arial"/>
        <family val="2"/>
      </rPr>
      <t>kepegawaian</t>
    </r>
  </si>
  <si>
    <r>
      <rPr>
        <sz val="10"/>
        <color rgb="FF4F4F52"/>
        <rFont val="Arial"/>
        <family val="2"/>
      </rPr>
      <t>c.    (dapat d</t>
    </r>
    <r>
      <rPr>
        <sz val="10"/>
        <color rgb="FF828287"/>
        <rFont val="Arial"/>
        <family val="2"/>
      </rPr>
      <t>i</t>
    </r>
    <r>
      <rPr>
        <sz val="10"/>
        <color rgb="FF3D3B3F"/>
        <rFont val="Arial"/>
        <family val="2"/>
      </rPr>
      <t xml:space="preserve">tambahkan </t>
    </r>
    <r>
      <rPr>
        <sz val="10"/>
        <color rgb="FF4F4F52"/>
        <rFont val="Arial"/>
        <family val="2"/>
      </rPr>
      <t xml:space="preserve">sesuai konteks </t>
    </r>
    <r>
      <rPr>
        <sz val="10"/>
        <color rgb="FF646267"/>
        <rFont val="Arial"/>
        <family val="2"/>
      </rPr>
      <t>peri</t>
    </r>
    <r>
      <rPr>
        <sz val="10"/>
        <color rgb="FF3D3B3F"/>
        <rFont val="Arial"/>
        <family val="2"/>
      </rPr>
      <t xml:space="preserve">stiwa </t>
    </r>
    <r>
      <rPr>
        <sz val="10"/>
        <color rgb="FF4F4F52"/>
        <rFont val="Arial"/>
        <family val="2"/>
      </rPr>
      <t>ris</t>
    </r>
    <r>
      <rPr>
        <sz val="10"/>
        <color rgb="FF2D2D2F"/>
        <rFont val="Arial"/>
        <family val="2"/>
      </rPr>
      <t>i</t>
    </r>
    <r>
      <rPr>
        <sz val="10"/>
        <color rgb="FF4F4F52"/>
        <rFont val="Arial"/>
        <family val="2"/>
      </rPr>
      <t xml:space="preserve">ko </t>
    </r>
    <r>
      <rPr>
        <sz val="10"/>
        <color rgb="FF3D3B3F"/>
        <rFont val="Arial"/>
        <family val="2"/>
      </rPr>
      <t xml:space="preserve">pada </t>
    </r>
    <r>
      <rPr>
        <sz val="10"/>
        <color rgb="FF4F4F52"/>
        <rFont val="Arial"/>
        <family val="2"/>
      </rPr>
      <t>satuan ker</t>
    </r>
    <r>
      <rPr>
        <sz val="10"/>
        <color rgb="FF18181C"/>
        <rFont val="Arial"/>
        <family val="2"/>
      </rPr>
      <t>i</t>
    </r>
    <r>
      <rPr>
        <sz val="10"/>
        <color rgb="FF4F4F52"/>
        <rFont val="Arial"/>
        <family val="2"/>
      </rPr>
      <t>a masinQ-masinQ)</t>
    </r>
  </si>
  <si>
    <r>
      <rPr>
        <sz val="10"/>
        <color rgb="FF2D2D2F"/>
        <rFont val="Arial"/>
        <family val="2"/>
      </rPr>
      <t>R</t>
    </r>
    <r>
      <rPr>
        <sz val="10"/>
        <color rgb="FF4F4F52"/>
        <rFont val="Arial"/>
        <family val="2"/>
      </rPr>
      <t xml:space="preserve">isiko </t>
    </r>
    <r>
      <rPr>
        <sz val="10"/>
        <color rgb="FF3D3B3F"/>
        <rFont val="Arial"/>
        <family val="2"/>
      </rPr>
      <t>kinerja Perusahaan</t>
    </r>
  </si>
  <si>
    <r>
      <rPr>
        <sz val="10"/>
        <color rgb="FF2D2D2F"/>
        <rFont val="Arial"/>
        <family val="2"/>
      </rPr>
      <t>Ri</t>
    </r>
    <r>
      <rPr>
        <sz val="10"/>
        <color rgb="FF4F4F52"/>
        <rFont val="Arial"/>
        <family val="2"/>
      </rPr>
      <t>siko ya</t>
    </r>
    <r>
      <rPr>
        <sz val="10"/>
        <color rgb="FF2D2D2F"/>
        <rFont val="Arial"/>
        <family val="2"/>
      </rPr>
      <t>n</t>
    </r>
    <r>
      <rPr>
        <sz val="10"/>
        <color rgb="FF4F4F52"/>
        <rFont val="Arial"/>
        <family val="2"/>
      </rPr>
      <t xml:space="preserve">g </t>
    </r>
    <r>
      <rPr>
        <sz val="10"/>
        <color rgb="FF3D3B3F"/>
        <rFont val="Arial"/>
        <family val="2"/>
      </rPr>
      <t xml:space="preserve">terjadi dalam </t>
    </r>
    <r>
      <rPr>
        <sz val="10"/>
        <color rgb="FF4F4F52"/>
        <rFont val="Arial"/>
        <family val="2"/>
      </rPr>
      <t>pencapa</t>
    </r>
    <r>
      <rPr>
        <sz val="10"/>
        <color rgb="FF2D2D2F"/>
        <rFont val="Arial"/>
        <family val="2"/>
      </rPr>
      <t>ia</t>
    </r>
    <r>
      <rPr>
        <sz val="10"/>
        <color rgb="FF4F4F52"/>
        <rFont val="Arial"/>
        <family val="2"/>
      </rPr>
      <t xml:space="preserve">n </t>
    </r>
    <r>
      <rPr>
        <sz val="10"/>
        <color rgb="FF3D3B3F"/>
        <rFont val="Arial"/>
        <family val="2"/>
      </rPr>
      <t>k</t>
    </r>
    <r>
      <rPr>
        <sz val="10"/>
        <color rgb="FF646267"/>
        <rFont val="Arial"/>
        <family val="2"/>
      </rPr>
      <t xml:space="preserve">inerja </t>
    </r>
    <r>
      <rPr>
        <sz val="10"/>
        <color rgb="FF4F4F52"/>
        <rFont val="Arial"/>
        <family val="2"/>
      </rPr>
      <t>per</t>
    </r>
    <r>
      <rPr>
        <sz val="10"/>
        <color rgb="FF2D2D2F"/>
        <rFont val="Arial"/>
        <family val="2"/>
      </rPr>
      <t>u</t>
    </r>
    <r>
      <rPr>
        <sz val="10"/>
        <color rgb="FF4F4F52"/>
        <rFont val="Arial"/>
        <family val="2"/>
      </rPr>
      <t>sahaan</t>
    </r>
  </si>
  <si>
    <r>
      <rPr>
        <sz val="10"/>
        <color rgb="FF4F4F52"/>
        <rFont val="Arial"/>
        <family val="2"/>
      </rPr>
      <t>a.    St</t>
    </r>
    <r>
      <rPr>
        <sz val="10"/>
        <color rgb="FF2D2D2F"/>
        <rFont val="Arial"/>
        <family val="2"/>
      </rPr>
      <t>r</t>
    </r>
    <r>
      <rPr>
        <sz val="10"/>
        <color rgb="FF4F4F52"/>
        <rFont val="Arial"/>
        <family val="2"/>
      </rPr>
      <t>ategi yang dipil</t>
    </r>
    <r>
      <rPr>
        <sz val="10"/>
        <color rgb="FF2D2D2F"/>
        <rFont val="Arial"/>
        <family val="2"/>
      </rPr>
      <t xml:space="preserve">ih </t>
    </r>
    <r>
      <rPr>
        <sz val="10"/>
        <color rgb="FF4F4F52"/>
        <rFont val="Arial"/>
        <family val="2"/>
      </rPr>
      <t xml:space="preserve">Perusahaan  </t>
    </r>
    <r>
      <rPr>
        <sz val="10"/>
        <color rgb="FF3D3B3F"/>
        <rFont val="Arial"/>
        <family val="2"/>
      </rPr>
      <t>tida</t>
    </r>
    <r>
      <rPr>
        <sz val="10"/>
        <color rgb="FF646267"/>
        <rFont val="Arial"/>
        <family val="2"/>
      </rPr>
      <t xml:space="preserve">k  </t>
    </r>
    <r>
      <rPr>
        <sz val="10"/>
        <color rgb="FF4F4F52"/>
        <rFont val="Arial"/>
        <family val="2"/>
      </rPr>
      <t>dapa</t>
    </r>
    <r>
      <rPr>
        <sz val="10"/>
        <color rgb="FF828287"/>
        <rFont val="Arial"/>
        <family val="2"/>
      </rPr>
      <t xml:space="preserve">t </t>
    </r>
    <r>
      <rPr>
        <sz val="10"/>
        <color rgb="FF4F4F52"/>
        <rFont val="Arial"/>
        <family val="2"/>
      </rPr>
      <t>mencapa</t>
    </r>
    <r>
      <rPr>
        <sz val="10"/>
        <color rgb="FF2D2D2F"/>
        <rFont val="Arial"/>
        <family val="2"/>
      </rPr>
      <t xml:space="preserve">i </t>
    </r>
    <r>
      <rPr>
        <sz val="10"/>
        <color rgb="FF4F4F52"/>
        <rFont val="Arial"/>
        <family val="2"/>
      </rPr>
      <t xml:space="preserve">target </t>
    </r>
    <r>
      <rPr>
        <sz val="10"/>
        <color rgb="FF2D2D2F"/>
        <rFont val="Arial"/>
        <family val="2"/>
      </rPr>
      <t>P</t>
    </r>
    <r>
      <rPr>
        <sz val="10"/>
        <color rgb="FF4F4F52"/>
        <rFont val="Arial"/>
        <family val="2"/>
      </rPr>
      <t xml:space="preserve">erusahaan
b.    Penurunan </t>
    </r>
    <r>
      <rPr>
        <sz val="10"/>
        <color rgb="FF3D3B3F"/>
        <rFont val="Arial"/>
        <family val="2"/>
      </rPr>
      <t>kiner</t>
    </r>
    <r>
      <rPr>
        <sz val="10"/>
        <color rgb="FF646267"/>
        <rFont val="Arial"/>
        <family val="2"/>
      </rPr>
      <t xml:space="preserve">ja </t>
    </r>
    <r>
      <rPr>
        <sz val="10"/>
        <color rgb="FF3D3B3F"/>
        <rFont val="Arial"/>
        <family val="2"/>
      </rPr>
      <t xml:space="preserve">keuangan </t>
    </r>
    <r>
      <rPr>
        <sz val="10"/>
        <color rgb="FF4F4F52"/>
        <rFont val="Arial"/>
        <family val="2"/>
      </rPr>
      <t>P</t>
    </r>
    <r>
      <rPr>
        <sz val="10"/>
        <color rgb="FF2D2D2F"/>
        <rFont val="Arial"/>
        <family val="2"/>
      </rPr>
      <t>L</t>
    </r>
    <r>
      <rPr>
        <sz val="10"/>
        <color rgb="FF646267"/>
        <rFont val="Arial"/>
        <family val="2"/>
      </rPr>
      <t>N
c</t>
    </r>
    <r>
      <rPr>
        <sz val="10"/>
        <color rgb="FF3D3B3F"/>
        <rFont val="Arial"/>
        <family val="2"/>
      </rPr>
      <t xml:space="preserve">.    </t>
    </r>
    <r>
      <rPr>
        <sz val="10"/>
        <color rgb="FF646267"/>
        <rFont val="Arial"/>
        <family val="2"/>
      </rPr>
      <t>(</t>
    </r>
    <r>
      <rPr>
        <sz val="10"/>
        <color rgb="FF3D3B3F"/>
        <rFont val="Arial"/>
        <family val="2"/>
      </rPr>
      <t xml:space="preserve">dapat </t>
    </r>
    <r>
      <rPr>
        <sz val="10"/>
        <color rgb="FF4F4F52"/>
        <rFont val="Arial"/>
        <family val="2"/>
      </rPr>
      <t>ditambahkan sesuai konte</t>
    </r>
    <r>
      <rPr>
        <sz val="10"/>
        <color rgb="FF727277"/>
        <rFont val="Arial"/>
        <family val="2"/>
      </rPr>
      <t>k</t>
    </r>
    <r>
      <rPr>
        <sz val="10"/>
        <color rgb="FF4F4F52"/>
        <rFont val="Arial"/>
        <family val="2"/>
      </rPr>
      <t xml:space="preserve">s </t>
    </r>
    <r>
      <rPr>
        <sz val="10"/>
        <color rgb="FF646267"/>
        <rFont val="Arial"/>
        <family val="2"/>
      </rPr>
      <t>pe</t>
    </r>
    <r>
      <rPr>
        <sz val="10"/>
        <color rgb="FF3D3B3F"/>
        <rFont val="Arial"/>
        <family val="2"/>
      </rPr>
      <t>r</t>
    </r>
    <r>
      <rPr>
        <sz val="10"/>
        <color rgb="FF646267"/>
        <rFont val="Arial"/>
        <family val="2"/>
      </rPr>
      <t>istiwa r</t>
    </r>
    <r>
      <rPr>
        <sz val="10"/>
        <color rgb="FF2D2D2F"/>
        <rFont val="Arial"/>
        <family val="2"/>
      </rPr>
      <t>i</t>
    </r>
    <r>
      <rPr>
        <sz val="10"/>
        <color rgb="FF4F4F52"/>
        <rFont val="Arial"/>
        <family val="2"/>
      </rPr>
      <t>siko pada satuan kerja masinQ</t>
    </r>
    <r>
      <rPr>
        <sz val="10"/>
        <color rgb="FF2D2D2F"/>
        <rFont val="Arial"/>
        <family val="2"/>
      </rPr>
      <t xml:space="preserve">- </t>
    </r>
    <r>
      <rPr>
        <sz val="10"/>
        <color rgb="FF4F4F52"/>
        <rFont val="Arial"/>
        <family val="2"/>
      </rPr>
      <t>masing)</t>
    </r>
  </si>
  <si>
    <r>
      <rPr>
        <sz val="10"/>
        <color rgb="FF2D2D2F"/>
        <rFont val="Arial"/>
        <family val="2"/>
      </rPr>
      <t xml:space="preserve">1 </t>
    </r>
    <r>
      <rPr>
        <sz val="10"/>
        <color rgb="FF4F4F52"/>
        <rFont val="Arial"/>
        <family val="2"/>
      </rPr>
      <t>9</t>
    </r>
  </si>
  <si>
    <r>
      <rPr>
        <sz val="10"/>
        <color rgb="FF3D3B3F"/>
        <rFont val="Arial"/>
        <family val="2"/>
      </rPr>
      <t xml:space="preserve">Risiko analisa </t>
    </r>
    <r>
      <rPr>
        <sz val="10"/>
        <color rgb="FF18181C"/>
        <rFont val="Arial"/>
        <family val="2"/>
      </rPr>
      <t>li</t>
    </r>
    <r>
      <rPr>
        <sz val="10"/>
        <color rgb="FF4F4F52"/>
        <rFont val="Arial"/>
        <family val="2"/>
      </rPr>
      <t>ngk</t>
    </r>
    <r>
      <rPr>
        <sz val="10"/>
        <color rgb="FF2D2D2F"/>
        <rFont val="Arial"/>
        <family val="2"/>
      </rPr>
      <t>un</t>
    </r>
    <r>
      <rPr>
        <sz val="10"/>
        <color rgb="FF4F4F52"/>
        <rFont val="Arial"/>
        <family val="2"/>
      </rPr>
      <t>gan bis</t>
    </r>
    <r>
      <rPr>
        <sz val="10"/>
        <color rgb="FF2D2D2F"/>
        <rFont val="Arial"/>
        <family val="2"/>
      </rPr>
      <t>n</t>
    </r>
    <r>
      <rPr>
        <sz val="10"/>
        <color rgb="FF4F4F52"/>
        <rFont val="Arial"/>
        <family val="2"/>
      </rPr>
      <t>is</t>
    </r>
  </si>
  <si>
    <r>
      <rPr>
        <sz val="10"/>
        <color rgb="FF3D3B3F"/>
        <rFont val="Arial"/>
        <family val="2"/>
      </rPr>
      <t>Risiko     ana</t>
    </r>
    <r>
      <rPr>
        <sz val="10"/>
        <color rgb="FF18181C"/>
        <rFont val="Arial"/>
        <family val="2"/>
      </rPr>
      <t>li</t>
    </r>
    <r>
      <rPr>
        <sz val="10"/>
        <color rgb="FF4F4F52"/>
        <rFont val="Arial"/>
        <family val="2"/>
      </rPr>
      <t xml:space="preserve">sa     </t>
    </r>
    <r>
      <rPr>
        <sz val="10"/>
        <color rgb="FF3D3B3F"/>
        <rFont val="Arial"/>
        <family val="2"/>
      </rPr>
      <t>lingkungan     b</t>
    </r>
    <r>
      <rPr>
        <sz val="10"/>
        <color rgb="FF646267"/>
        <rFont val="Arial"/>
        <family val="2"/>
      </rPr>
      <t xml:space="preserve">isnis     </t>
    </r>
    <r>
      <rPr>
        <sz val="10"/>
        <color rgb="FF4F4F52"/>
        <rFont val="Arial"/>
        <family val="2"/>
      </rPr>
      <t>me</t>
    </r>
    <r>
      <rPr>
        <sz val="10"/>
        <color rgb="FF2D2D2F"/>
        <rFont val="Arial"/>
        <family val="2"/>
      </rPr>
      <t>r</t>
    </r>
    <r>
      <rPr>
        <sz val="10"/>
        <color rgb="FF4F4F52"/>
        <rFont val="Arial"/>
        <family val="2"/>
      </rPr>
      <t>ujuk     pada kemungk</t>
    </r>
    <r>
      <rPr>
        <sz val="10"/>
        <color rgb="FF2D2D2F"/>
        <rFont val="Arial"/>
        <family val="2"/>
      </rPr>
      <t>in</t>
    </r>
    <r>
      <rPr>
        <sz val="10"/>
        <color rgb="FF4F4F52"/>
        <rFont val="Arial"/>
        <family val="2"/>
      </rPr>
      <t xml:space="preserve">an  </t>
    </r>
    <r>
      <rPr>
        <sz val="10"/>
        <color rgb="FF3D3B3F"/>
        <rFont val="Arial"/>
        <family val="2"/>
      </rPr>
      <t>ba</t>
    </r>
    <r>
      <rPr>
        <sz val="10"/>
        <color rgb="FF646267"/>
        <rFont val="Arial"/>
        <family val="2"/>
      </rPr>
      <t xml:space="preserve">hwa  </t>
    </r>
    <r>
      <rPr>
        <sz val="10"/>
        <color rgb="FF4F4F52"/>
        <rFont val="Arial"/>
        <family val="2"/>
      </rPr>
      <t xml:space="preserve">suatu  organisasi  atau  perusahaan </t>
    </r>
    <r>
      <rPr>
        <sz val="10"/>
        <color rgb="FF3D3B3F"/>
        <rFont val="Arial"/>
        <family val="2"/>
      </rPr>
      <t>m</t>
    </r>
    <r>
      <rPr>
        <sz val="10"/>
        <color rgb="FF18181C"/>
        <rFont val="Arial"/>
        <family val="2"/>
      </rPr>
      <t>u</t>
    </r>
    <r>
      <rPr>
        <sz val="10"/>
        <color rgb="FF4F4F52"/>
        <rFont val="Arial"/>
        <family val="2"/>
      </rPr>
      <t>ngki</t>
    </r>
    <r>
      <rPr>
        <sz val="10"/>
        <color rgb="FF2D2D2F"/>
        <rFont val="Arial"/>
        <family val="2"/>
      </rPr>
      <t xml:space="preserve">n </t>
    </r>
    <r>
      <rPr>
        <sz val="10"/>
        <color rgb="FF4F4F52"/>
        <rFont val="Arial"/>
        <family val="2"/>
      </rPr>
      <t>tidak secara aku</t>
    </r>
    <r>
      <rPr>
        <sz val="10"/>
        <color rgb="FF2D2D2F"/>
        <rFont val="Arial"/>
        <family val="2"/>
      </rPr>
      <t>r</t>
    </r>
    <r>
      <rPr>
        <sz val="10"/>
        <color rgb="FF4F4F52"/>
        <rFont val="Arial"/>
        <family val="2"/>
      </rPr>
      <t>at mengident</t>
    </r>
    <r>
      <rPr>
        <sz val="10"/>
        <color rgb="FF2D2D2F"/>
        <rFont val="Arial"/>
        <family val="2"/>
      </rPr>
      <t>i</t>
    </r>
    <r>
      <rPr>
        <sz val="10"/>
        <color rgb="FF4F4F52"/>
        <rFont val="Arial"/>
        <family val="2"/>
      </rPr>
      <t>fi</t>
    </r>
    <r>
      <rPr>
        <sz val="10"/>
        <color rgb="FF2D2D2F"/>
        <rFont val="Arial"/>
        <family val="2"/>
      </rPr>
      <t>k</t>
    </r>
    <r>
      <rPr>
        <sz val="10"/>
        <color rgb="FF4F4F52"/>
        <rFont val="Arial"/>
        <family val="2"/>
      </rPr>
      <t>asi</t>
    </r>
    <r>
      <rPr>
        <sz val="10"/>
        <color rgb="FF727277"/>
        <rFont val="Arial"/>
        <family val="2"/>
      </rPr>
      <t xml:space="preserve">, </t>
    </r>
    <r>
      <rPr>
        <sz val="10"/>
        <color rgb="FF4F4F52"/>
        <rFont val="Arial"/>
        <family val="2"/>
      </rPr>
      <t>memahami</t>
    </r>
    <r>
      <rPr>
        <sz val="10"/>
        <color rgb="FF828287"/>
        <rFont val="Arial"/>
        <family val="2"/>
      </rPr>
      <t xml:space="preserve">, </t>
    </r>
    <r>
      <rPr>
        <sz val="10"/>
        <color rgb="FF3D3B3F"/>
        <rFont val="Arial"/>
        <family val="2"/>
      </rPr>
      <t>atau  menila</t>
    </r>
    <r>
      <rPr>
        <sz val="10"/>
        <color rgb="FF646267"/>
        <rFont val="Arial"/>
        <family val="2"/>
      </rPr>
      <t xml:space="preserve">i  </t>
    </r>
    <r>
      <rPr>
        <sz val="10"/>
        <color rgb="FF4F4F52"/>
        <rFont val="Arial"/>
        <family val="2"/>
      </rPr>
      <t>faktor</t>
    </r>
    <r>
      <rPr>
        <sz val="10"/>
        <color rgb="FF2D2D2F"/>
        <rFont val="Arial"/>
        <family val="2"/>
      </rPr>
      <t>-f</t>
    </r>
    <r>
      <rPr>
        <sz val="10"/>
        <color rgb="FF4F4F52"/>
        <rFont val="Arial"/>
        <family val="2"/>
      </rPr>
      <t>aktor  eks</t>
    </r>
    <r>
      <rPr>
        <sz val="10"/>
        <color rgb="FF2D2D2F"/>
        <rFont val="Arial"/>
        <family val="2"/>
      </rPr>
      <t>te</t>
    </r>
    <r>
      <rPr>
        <sz val="10"/>
        <color rgb="FF4F4F52"/>
        <rFont val="Arial"/>
        <family val="2"/>
      </rPr>
      <t xml:space="preserve">rnal  yang  </t>
    </r>
    <r>
      <rPr>
        <sz val="10"/>
        <color rgb="FF3D3B3F"/>
        <rFont val="Arial"/>
        <family val="2"/>
      </rPr>
      <t>mempe</t>
    </r>
    <r>
      <rPr>
        <sz val="10"/>
        <color rgb="FF646267"/>
        <rFont val="Arial"/>
        <family val="2"/>
      </rPr>
      <t xml:space="preserve">ngaruhi </t>
    </r>
    <r>
      <rPr>
        <sz val="10"/>
        <color rgb="FF4F4F52"/>
        <rFont val="Arial"/>
        <family val="2"/>
      </rPr>
      <t>ind</t>
    </r>
    <r>
      <rPr>
        <sz val="10"/>
        <color rgb="FF2D2D2F"/>
        <rFont val="Arial"/>
        <family val="2"/>
      </rPr>
      <t>u</t>
    </r>
    <r>
      <rPr>
        <sz val="10"/>
        <color rgb="FF4F4F52"/>
        <rFont val="Arial"/>
        <family val="2"/>
      </rPr>
      <t>st</t>
    </r>
    <r>
      <rPr>
        <sz val="10"/>
        <color rgb="FF18181C"/>
        <rFont val="Arial"/>
        <family val="2"/>
      </rPr>
      <t>r</t>
    </r>
    <r>
      <rPr>
        <sz val="10"/>
        <color rgb="FF4F4F52"/>
        <rFont val="Arial"/>
        <family val="2"/>
      </rPr>
      <t xml:space="preserve">i dan </t>
    </r>
    <r>
      <rPr>
        <sz val="10"/>
        <color rgb="FF3D3B3F"/>
        <rFont val="Arial"/>
        <family val="2"/>
      </rPr>
      <t xml:space="preserve">pasar </t>
    </r>
    <r>
      <rPr>
        <sz val="10"/>
        <color rgb="FF4F4F52"/>
        <rFont val="Arial"/>
        <family val="2"/>
      </rPr>
      <t xml:space="preserve">tempat </t>
    </r>
    <r>
      <rPr>
        <sz val="10"/>
        <color rgb="FF3D3B3F"/>
        <rFont val="Arial"/>
        <family val="2"/>
      </rPr>
      <t xml:space="preserve">mereka </t>
    </r>
    <r>
      <rPr>
        <sz val="10"/>
        <color rgb="FF4F4F52"/>
        <rFont val="Arial"/>
        <family val="2"/>
      </rPr>
      <t>berope</t>
    </r>
    <r>
      <rPr>
        <sz val="10"/>
        <color rgb="FF2D2D2F"/>
        <rFont val="Arial"/>
        <family val="2"/>
      </rPr>
      <t>ra</t>
    </r>
    <r>
      <rPr>
        <sz val="10"/>
        <color rgb="FF4F4F52"/>
        <rFont val="Arial"/>
        <family val="2"/>
      </rPr>
      <t>si.</t>
    </r>
  </si>
  <si>
    <r>
      <rPr>
        <sz val="10"/>
        <color rgb="FF4F4F52"/>
        <rFont val="Arial"/>
        <family val="2"/>
      </rPr>
      <t xml:space="preserve">a.    Keterbatasan    data    dan   </t>
    </r>
    <r>
      <rPr>
        <sz val="10"/>
        <color rgb="FF3D3B3F"/>
        <rFont val="Arial"/>
        <family val="2"/>
      </rPr>
      <t>i</t>
    </r>
    <r>
      <rPr>
        <sz val="10"/>
        <color rgb="FF646267"/>
        <rFont val="Arial"/>
        <family val="2"/>
      </rPr>
      <t>nfo</t>
    </r>
    <r>
      <rPr>
        <sz val="10"/>
        <color rgb="FF2D2D2F"/>
        <rFont val="Arial"/>
        <family val="2"/>
      </rPr>
      <t>r</t>
    </r>
    <r>
      <rPr>
        <sz val="10"/>
        <color rgb="FF4F4F52"/>
        <rFont val="Arial"/>
        <family val="2"/>
      </rPr>
      <t>masi   da</t>
    </r>
    <r>
      <rPr>
        <sz val="10"/>
        <color rgb="FF18181C"/>
        <rFont val="Arial"/>
        <family val="2"/>
      </rPr>
      <t>l</t>
    </r>
    <r>
      <rPr>
        <sz val="10"/>
        <color rgb="FF4F4F52"/>
        <rFont val="Arial"/>
        <family val="2"/>
      </rPr>
      <t xml:space="preserve">am analisis perubahan </t>
    </r>
    <r>
      <rPr>
        <sz val="10"/>
        <color rgb="FF2D2D2F"/>
        <rFont val="Arial"/>
        <family val="2"/>
      </rPr>
      <t>tr</t>
    </r>
    <r>
      <rPr>
        <sz val="10"/>
        <color rgb="FF4F4F52"/>
        <rFont val="Arial"/>
        <family val="2"/>
      </rPr>
      <t xml:space="preserve">en </t>
    </r>
    <r>
      <rPr>
        <sz val="10"/>
        <color rgb="FF727277"/>
        <rFont val="Arial"/>
        <family val="2"/>
      </rPr>
      <t>k</t>
    </r>
    <r>
      <rPr>
        <sz val="10"/>
        <color rgb="FF4F4F52"/>
        <rFont val="Arial"/>
        <family val="2"/>
      </rPr>
      <t>onsumsi energi
b.    Kesalahan     mem</t>
    </r>
    <r>
      <rPr>
        <sz val="10"/>
        <color rgb="FF727277"/>
        <rFont val="Arial"/>
        <family val="2"/>
      </rPr>
      <t>p</t>
    </r>
    <r>
      <rPr>
        <sz val="10"/>
        <color rgb="FF4F4F52"/>
        <rFont val="Arial"/>
        <family val="2"/>
      </rPr>
      <t xml:space="preserve">rediksi     </t>
    </r>
    <r>
      <rPr>
        <sz val="10"/>
        <color rgb="FF3D3B3F"/>
        <rFont val="Arial"/>
        <family val="2"/>
      </rPr>
      <t xml:space="preserve">fluktuasi    </t>
    </r>
    <r>
      <rPr>
        <sz val="10"/>
        <color rgb="FF727277"/>
        <rFont val="Arial"/>
        <family val="2"/>
      </rPr>
      <t>h</t>
    </r>
    <r>
      <rPr>
        <sz val="10"/>
        <color rgb="FF4F4F52"/>
        <rFont val="Arial"/>
        <family val="2"/>
      </rPr>
      <t xml:space="preserve">arga energi primer
c.    </t>
    </r>
    <r>
      <rPr>
        <sz val="10"/>
        <color rgb="FF646267"/>
        <rFont val="Arial"/>
        <family val="2"/>
      </rPr>
      <t>(da</t>
    </r>
    <r>
      <rPr>
        <sz val="10"/>
        <color rgb="FF3D3B3F"/>
        <rFont val="Arial"/>
        <family val="2"/>
      </rPr>
      <t xml:space="preserve">pat </t>
    </r>
    <r>
      <rPr>
        <sz val="10"/>
        <color rgb="FF4F4F52"/>
        <rFont val="Arial"/>
        <family val="2"/>
      </rPr>
      <t>ditambahkan ses</t>
    </r>
    <r>
      <rPr>
        <sz val="10"/>
        <color rgb="FF727277"/>
        <rFont val="Arial"/>
        <family val="2"/>
      </rPr>
      <t>u</t>
    </r>
    <r>
      <rPr>
        <sz val="10"/>
        <color rgb="FF4F4F52"/>
        <rFont val="Arial"/>
        <family val="2"/>
      </rPr>
      <t>ai konte</t>
    </r>
    <r>
      <rPr>
        <sz val="10"/>
        <color rgb="FF828287"/>
        <rFont val="Arial"/>
        <family val="2"/>
      </rPr>
      <t>k</t>
    </r>
    <r>
      <rPr>
        <sz val="10"/>
        <color rgb="FF4F4F52"/>
        <rFont val="Arial"/>
        <family val="2"/>
      </rPr>
      <t xml:space="preserve">s </t>
    </r>
    <r>
      <rPr>
        <sz val="10"/>
        <color rgb="FF646267"/>
        <rFont val="Arial"/>
        <family val="2"/>
      </rPr>
      <t>pe</t>
    </r>
    <r>
      <rPr>
        <sz val="10"/>
        <color rgb="FF3D3B3F"/>
        <rFont val="Arial"/>
        <family val="2"/>
      </rPr>
      <t>risti</t>
    </r>
    <r>
      <rPr>
        <sz val="10"/>
        <color rgb="FF646267"/>
        <rFont val="Arial"/>
        <family val="2"/>
      </rPr>
      <t xml:space="preserve">wa
risiko </t>
    </r>
    <r>
      <rPr>
        <sz val="10"/>
        <color rgb="FF4F4F52"/>
        <rFont val="Arial"/>
        <family val="2"/>
      </rPr>
      <t xml:space="preserve">pada satuan </t>
    </r>
    <r>
      <rPr>
        <sz val="10"/>
        <color rgb="FF3D3B3F"/>
        <rFont val="Arial"/>
        <family val="2"/>
      </rPr>
      <t>ker</t>
    </r>
    <r>
      <rPr>
        <sz val="10"/>
        <color rgb="FF646267"/>
        <rFont val="Arial"/>
        <family val="2"/>
      </rPr>
      <t xml:space="preserve">ia </t>
    </r>
    <r>
      <rPr>
        <sz val="10"/>
        <color rgb="FF4F4F52"/>
        <rFont val="Arial"/>
        <family val="2"/>
      </rPr>
      <t>masino</t>
    </r>
    <r>
      <rPr>
        <sz val="10"/>
        <color rgb="FF18181C"/>
        <rFont val="Arial"/>
        <family val="2"/>
      </rPr>
      <t>-</t>
    </r>
    <r>
      <rPr>
        <sz val="10"/>
        <color rgb="FF646267"/>
        <rFont val="Arial"/>
        <family val="2"/>
      </rPr>
      <t>ma</t>
    </r>
    <r>
      <rPr>
        <sz val="10"/>
        <color rgb="FF3D3B3F"/>
        <rFont val="Arial"/>
        <family val="2"/>
      </rPr>
      <t>sino</t>
    </r>
    <r>
      <rPr>
        <sz val="10"/>
        <color rgb="FF646267"/>
        <rFont val="Arial"/>
        <family val="2"/>
      </rPr>
      <t>)</t>
    </r>
  </si>
  <si>
    <r>
      <rPr>
        <sz val="10"/>
        <color rgb="FF2D2D2F"/>
        <rFont val="Arial"/>
        <family val="2"/>
      </rPr>
      <t xml:space="preserve">R </t>
    </r>
    <r>
      <rPr>
        <sz val="10"/>
        <color rgb="FF4F4F52"/>
        <rFont val="Arial"/>
        <family val="2"/>
      </rPr>
      <t xml:space="preserve">isiko  </t>
    </r>
    <r>
      <rPr>
        <sz val="10"/>
        <color rgb="FF3D3B3F"/>
        <rFont val="Arial"/>
        <family val="2"/>
      </rPr>
      <t>perencanaan strategis</t>
    </r>
  </si>
  <si>
    <r>
      <rPr>
        <sz val="10"/>
        <color rgb="FF3D3B3F"/>
        <rFont val="Arial"/>
        <family val="2"/>
      </rPr>
      <t>R</t>
    </r>
    <r>
      <rPr>
        <sz val="10"/>
        <color rgb="FF18181C"/>
        <rFont val="Arial"/>
        <family val="2"/>
      </rPr>
      <t>i</t>
    </r>
    <r>
      <rPr>
        <sz val="10"/>
        <color rgb="FF3D3B3F"/>
        <rFont val="Arial"/>
        <family val="2"/>
      </rPr>
      <t xml:space="preserve">siko    </t>
    </r>
    <r>
      <rPr>
        <sz val="10"/>
        <color rgb="FF4F4F52"/>
        <rFont val="Arial"/>
        <family val="2"/>
      </rPr>
      <t>yang    berkai</t>
    </r>
    <r>
      <rPr>
        <sz val="10"/>
        <color rgb="FF2D2D2F"/>
        <rFont val="Arial"/>
        <family val="2"/>
      </rPr>
      <t>t</t>
    </r>
    <r>
      <rPr>
        <sz val="10"/>
        <color rgb="FF4F4F52"/>
        <rFont val="Arial"/>
        <family val="2"/>
      </rPr>
      <t xml:space="preserve">an    </t>
    </r>
    <r>
      <rPr>
        <sz val="10"/>
        <color rgb="FF3D3B3F"/>
        <rFont val="Arial"/>
        <family val="2"/>
      </rPr>
      <t>de</t>
    </r>
    <r>
      <rPr>
        <sz val="10"/>
        <color rgb="FF646267"/>
        <rFont val="Arial"/>
        <family val="2"/>
      </rPr>
      <t xml:space="preserve">ngan    </t>
    </r>
    <r>
      <rPr>
        <sz val="10"/>
        <color rgb="FF3D3B3F"/>
        <rFont val="Arial"/>
        <family val="2"/>
      </rPr>
      <t xml:space="preserve">proses    </t>
    </r>
    <r>
      <rPr>
        <sz val="10"/>
        <color rgb="FF4F4F52"/>
        <rFont val="Arial"/>
        <family val="2"/>
      </rPr>
      <t>pembuatan keb</t>
    </r>
    <r>
      <rPr>
        <sz val="10"/>
        <color rgb="FF2D2D2F"/>
        <rFont val="Arial"/>
        <family val="2"/>
      </rPr>
      <t>i</t>
    </r>
    <r>
      <rPr>
        <sz val="10"/>
        <color rgb="FF4F4F52"/>
        <rFont val="Arial"/>
        <family val="2"/>
      </rPr>
      <t>jakan dan rencana strategis.</t>
    </r>
  </si>
  <si>
    <r>
      <rPr>
        <sz val="10"/>
        <color rgb="FF4F4F52"/>
        <rFont val="Arial"/>
        <family val="2"/>
      </rPr>
      <t>a.    Kegagalan       mengin</t>
    </r>
    <r>
      <rPr>
        <sz val="10"/>
        <color rgb="FF2D2D2F"/>
        <rFont val="Arial"/>
        <family val="2"/>
      </rPr>
      <t>t</t>
    </r>
    <r>
      <rPr>
        <sz val="10"/>
        <color rgb="FF4F4F52"/>
        <rFont val="Arial"/>
        <family val="2"/>
      </rPr>
      <t xml:space="preserve">egrasikan       </t>
    </r>
    <r>
      <rPr>
        <sz val="10"/>
        <color rgb="FF646267"/>
        <rFont val="Arial"/>
        <family val="2"/>
      </rPr>
      <t xml:space="preserve">rencana </t>
    </r>
    <r>
      <rPr>
        <sz val="10"/>
        <color rgb="FF4F4F52"/>
        <rFont val="Arial"/>
        <family val="2"/>
      </rPr>
      <t xml:space="preserve">strategis </t>
    </r>
    <r>
      <rPr>
        <sz val="10"/>
        <color rgb="FF646267"/>
        <rFont val="Arial"/>
        <family val="2"/>
      </rPr>
      <t>k</t>
    </r>
    <r>
      <rPr>
        <sz val="10"/>
        <color rgb="FF3D3B3F"/>
        <rFont val="Arial"/>
        <family val="2"/>
      </rPr>
      <t xml:space="preserve">e </t>
    </r>
    <r>
      <rPr>
        <sz val="10"/>
        <color rgb="FF4F4F52"/>
        <rFont val="Arial"/>
        <family val="2"/>
      </rPr>
      <t>selu</t>
    </r>
    <r>
      <rPr>
        <sz val="10"/>
        <color rgb="FF2D2D2F"/>
        <rFont val="Arial"/>
        <family val="2"/>
      </rPr>
      <t>r</t>
    </r>
    <r>
      <rPr>
        <sz val="10"/>
        <color rgb="FF4F4F52"/>
        <rFont val="Arial"/>
        <family val="2"/>
      </rPr>
      <t xml:space="preserve">uh </t>
    </r>
    <r>
      <rPr>
        <sz val="10"/>
        <color rgb="FF3D3B3F"/>
        <rFont val="Arial"/>
        <family val="2"/>
      </rPr>
      <t>lap</t>
    </r>
    <r>
      <rPr>
        <sz val="10"/>
        <color rgb="FF646267"/>
        <rFont val="Arial"/>
        <family val="2"/>
      </rPr>
      <t xml:space="preserve">isan </t>
    </r>
    <r>
      <rPr>
        <sz val="10"/>
        <color rgb="FF4F4F52"/>
        <rFont val="Arial"/>
        <family val="2"/>
      </rPr>
      <t>organisas</t>
    </r>
    <r>
      <rPr>
        <sz val="10"/>
        <color rgb="FF828287"/>
        <rFont val="Arial"/>
        <family val="2"/>
      </rPr>
      <t xml:space="preserve">i
</t>
    </r>
    <r>
      <rPr>
        <sz val="10"/>
        <color rgb="FF4F4F52"/>
        <rFont val="Arial"/>
        <family val="2"/>
      </rPr>
      <t xml:space="preserve">b.    Penentuan asumsi yang </t>
    </r>
    <r>
      <rPr>
        <sz val="10"/>
        <color rgb="FF646267"/>
        <rFont val="Arial"/>
        <family val="2"/>
      </rPr>
      <t xml:space="preserve">tidak </t>
    </r>
    <r>
      <rPr>
        <sz val="10"/>
        <color rgb="FF2D2D2F"/>
        <rFont val="Arial"/>
        <family val="2"/>
      </rPr>
      <t>r</t>
    </r>
    <r>
      <rPr>
        <sz val="10"/>
        <color rgb="FF646267"/>
        <rFont val="Arial"/>
        <family val="2"/>
      </rPr>
      <t xml:space="preserve">ealistis tentang </t>
    </r>
    <r>
      <rPr>
        <sz val="10"/>
        <color rgb="FF4F4F52"/>
        <rFont val="Arial"/>
        <family val="2"/>
      </rPr>
      <t xml:space="preserve">sumber daya </t>
    </r>
    <r>
      <rPr>
        <sz val="10"/>
        <color rgb="FF646267"/>
        <rFont val="Arial"/>
        <family val="2"/>
      </rPr>
      <t>ya</t>
    </r>
    <r>
      <rPr>
        <sz val="10"/>
        <color rgb="FF3D3B3F"/>
        <rFont val="Arial"/>
        <family val="2"/>
      </rPr>
      <t xml:space="preserve">ng </t>
    </r>
    <r>
      <rPr>
        <sz val="10"/>
        <color rgb="FF4F4F52"/>
        <rFont val="Arial"/>
        <family val="2"/>
      </rPr>
      <t>tersed</t>
    </r>
    <r>
      <rPr>
        <sz val="10"/>
        <color rgb="FF2D2D2F"/>
        <rFont val="Arial"/>
        <family val="2"/>
      </rPr>
      <t>i</t>
    </r>
    <r>
      <rPr>
        <sz val="10"/>
        <color rgb="FF646267"/>
        <rFont val="Arial"/>
        <family val="2"/>
      </rPr>
      <t xml:space="preserve">a
</t>
    </r>
    <r>
      <rPr>
        <sz val="10"/>
        <color rgb="FF4F4F52"/>
        <rFont val="Arial"/>
        <family val="2"/>
      </rPr>
      <t xml:space="preserve">c.    </t>
    </r>
    <r>
      <rPr>
        <sz val="10"/>
        <color rgb="FF646267"/>
        <rFont val="Arial"/>
        <family val="2"/>
      </rPr>
      <t>(da</t>
    </r>
    <r>
      <rPr>
        <sz val="10"/>
        <color rgb="FF2D2D2F"/>
        <rFont val="Arial"/>
        <family val="2"/>
      </rPr>
      <t>p</t>
    </r>
    <r>
      <rPr>
        <sz val="10"/>
        <color rgb="FF4F4F52"/>
        <rFont val="Arial"/>
        <family val="2"/>
      </rPr>
      <t>at d</t>
    </r>
    <r>
      <rPr>
        <sz val="10"/>
        <color rgb="FF727277"/>
        <rFont val="Arial"/>
        <family val="2"/>
      </rPr>
      <t>i</t>
    </r>
    <r>
      <rPr>
        <sz val="10"/>
        <color rgb="FF4F4F52"/>
        <rFont val="Arial"/>
        <family val="2"/>
      </rPr>
      <t>tambah</t>
    </r>
    <r>
      <rPr>
        <sz val="10"/>
        <color rgb="FF2D2D2F"/>
        <rFont val="Arial"/>
        <family val="2"/>
      </rPr>
      <t>k</t>
    </r>
    <r>
      <rPr>
        <sz val="10"/>
        <color rgb="FF4F4F52"/>
        <rFont val="Arial"/>
        <family val="2"/>
      </rPr>
      <t>an sesuai konteks peristiwa
risiko pada sa</t>
    </r>
    <r>
      <rPr>
        <sz val="10"/>
        <color rgb="FF727277"/>
        <rFont val="Arial"/>
        <family val="2"/>
      </rPr>
      <t>t</t>
    </r>
    <r>
      <rPr>
        <sz val="10"/>
        <color rgb="FF4F4F52"/>
        <rFont val="Arial"/>
        <family val="2"/>
      </rPr>
      <t>uan keria masinQ</t>
    </r>
    <r>
      <rPr>
        <sz val="10"/>
        <color rgb="FF18181C"/>
        <rFont val="Arial"/>
        <family val="2"/>
      </rPr>
      <t xml:space="preserve">- </t>
    </r>
    <r>
      <rPr>
        <sz val="10"/>
        <color rgb="FF4F4F52"/>
        <rFont val="Arial"/>
        <family val="2"/>
      </rPr>
      <t xml:space="preserve">mas  </t>
    </r>
    <r>
      <rPr>
        <sz val="10"/>
        <color rgb="FF18181C"/>
        <rFont val="Arial"/>
        <family val="2"/>
      </rPr>
      <t>i</t>
    </r>
    <r>
      <rPr>
        <sz val="10"/>
        <color rgb="FF4F4F52"/>
        <rFont val="Arial"/>
        <family val="2"/>
      </rPr>
      <t xml:space="preserve">nQ </t>
    </r>
    <r>
      <rPr>
        <sz val="10"/>
        <color rgb="FF727277"/>
        <rFont val="Arial"/>
        <family val="2"/>
      </rPr>
      <t>)</t>
    </r>
  </si>
  <si>
    <r>
      <rPr>
        <sz val="10"/>
        <color rgb="FF3D3B3F"/>
        <rFont val="Arial"/>
        <family val="2"/>
      </rPr>
      <t xml:space="preserve">Risiko eksekusi </t>
    </r>
    <r>
      <rPr>
        <sz val="10"/>
        <color rgb="FF4F4F52"/>
        <rFont val="Arial"/>
        <family val="2"/>
      </rPr>
      <t>strategis</t>
    </r>
  </si>
  <si>
    <r>
      <rPr>
        <sz val="10"/>
        <color rgb="FF3D3B3F"/>
        <rFont val="Arial"/>
        <family val="2"/>
      </rPr>
      <t xml:space="preserve">Risiko </t>
    </r>
    <r>
      <rPr>
        <sz val="10"/>
        <color rgb="FF4F4F52"/>
        <rFont val="Arial"/>
        <family val="2"/>
      </rPr>
      <t xml:space="preserve">yang terkait  dengan  </t>
    </r>
    <r>
      <rPr>
        <sz val="10"/>
        <color rgb="FF3D3B3F"/>
        <rFont val="Arial"/>
        <family val="2"/>
      </rPr>
      <t xml:space="preserve">penerapan  rencana  </t>
    </r>
    <r>
      <rPr>
        <sz val="10"/>
        <color rgb="FF4F4F52"/>
        <rFont val="Arial"/>
        <family val="2"/>
      </rPr>
      <t xml:space="preserve">strategis </t>
    </r>
    <r>
      <rPr>
        <sz val="10"/>
        <color rgb="FF3D3B3F"/>
        <rFont val="Arial"/>
        <family val="2"/>
      </rPr>
      <t>tersebut</t>
    </r>
    <r>
      <rPr>
        <sz val="10"/>
        <color rgb="FF646267"/>
        <rFont val="Arial"/>
        <family val="2"/>
      </rPr>
      <t xml:space="preserve">,  </t>
    </r>
    <r>
      <rPr>
        <sz val="10"/>
        <color rgb="FF4F4F52"/>
        <rFont val="Arial"/>
        <family val="2"/>
      </rPr>
      <t xml:space="preserve">termasuk  </t>
    </r>
    <r>
      <rPr>
        <sz val="10"/>
        <color rgb="FF3D3B3F"/>
        <rFont val="Arial"/>
        <family val="2"/>
      </rPr>
      <t xml:space="preserve">Risiko  </t>
    </r>
    <r>
      <rPr>
        <sz val="10"/>
        <color rgb="FF4F4F52"/>
        <rFont val="Arial"/>
        <family val="2"/>
      </rPr>
      <t xml:space="preserve">bahwa  </t>
    </r>
    <r>
      <rPr>
        <sz val="10"/>
        <color rgb="FF3D3B3F"/>
        <rFont val="Arial"/>
        <family val="2"/>
      </rPr>
      <t>r</t>
    </r>
    <r>
      <rPr>
        <sz val="10"/>
        <color rgb="FF646267"/>
        <rFont val="Arial"/>
        <family val="2"/>
      </rPr>
      <t>e</t>
    </r>
    <r>
      <rPr>
        <sz val="10"/>
        <color rgb="FF3D3B3F"/>
        <rFont val="Arial"/>
        <family val="2"/>
      </rPr>
      <t>n</t>
    </r>
    <r>
      <rPr>
        <sz val="10"/>
        <color rgb="FF646267"/>
        <rFont val="Arial"/>
        <family val="2"/>
      </rPr>
      <t xml:space="preserve">cana  </t>
    </r>
    <r>
      <rPr>
        <sz val="10"/>
        <color rgb="FF4F4F52"/>
        <rFont val="Arial"/>
        <family val="2"/>
      </rPr>
      <t>tersebut  tidak diimp</t>
    </r>
    <r>
      <rPr>
        <sz val="10"/>
        <color rgb="FF2D2D2F"/>
        <rFont val="Arial"/>
        <family val="2"/>
      </rPr>
      <t>l</t>
    </r>
    <r>
      <rPr>
        <sz val="10"/>
        <color rgb="FF4F4F52"/>
        <rFont val="Arial"/>
        <family val="2"/>
      </rPr>
      <t>ementasikan  dengan  e</t>
    </r>
    <r>
      <rPr>
        <sz val="10"/>
        <color rgb="FF2D2D2F"/>
        <rFont val="Arial"/>
        <family val="2"/>
      </rPr>
      <t>f</t>
    </r>
    <r>
      <rPr>
        <sz val="10"/>
        <color rgb="FF4F4F52"/>
        <rFont val="Arial"/>
        <family val="2"/>
      </rPr>
      <t>ekt</t>
    </r>
    <r>
      <rPr>
        <sz val="10"/>
        <color rgb="FF2D2D2F"/>
        <rFont val="Arial"/>
        <family val="2"/>
      </rPr>
      <t>i</t>
    </r>
    <r>
      <rPr>
        <sz val="10"/>
        <color rgb="FF646267"/>
        <rFont val="Arial"/>
        <family val="2"/>
      </rPr>
      <t xml:space="preserve">f,  </t>
    </r>
    <r>
      <rPr>
        <sz val="10"/>
        <color rgb="FF3D3B3F"/>
        <rFont val="Arial"/>
        <family val="2"/>
      </rPr>
      <t>kurangn</t>
    </r>
    <r>
      <rPr>
        <sz val="10"/>
        <color rgb="FF646267"/>
        <rFont val="Arial"/>
        <family val="2"/>
      </rPr>
      <t xml:space="preserve">ya  </t>
    </r>
    <r>
      <rPr>
        <sz val="10"/>
        <color rgb="FF3D3B3F"/>
        <rFont val="Arial"/>
        <family val="2"/>
      </rPr>
      <t xml:space="preserve">komitmen dari tim </t>
    </r>
    <r>
      <rPr>
        <sz val="10"/>
        <color rgb="FF4F4F52"/>
        <rFont val="Arial"/>
        <family val="2"/>
      </rPr>
      <t>manajemen</t>
    </r>
    <r>
      <rPr>
        <sz val="10"/>
        <color rgb="FF727277"/>
        <rFont val="Arial"/>
        <family val="2"/>
      </rPr>
      <t xml:space="preserve">, </t>
    </r>
    <r>
      <rPr>
        <sz val="10"/>
        <color rgb="FF4F4F52"/>
        <rFont val="Arial"/>
        <family val="2"/>
      </rPr>
      <t>a</t>
    </r>
    <r>
      <rPr>
        <sz val="10"/>
        <color rgb="FF2D2D2F"/>
        <rFont val="Arial"/>
        <family val="2"/>
      </rPr>
      <t>t</t>
    </r>
    <r>
      <rPr>
        <sz val="10"/>
        <color rgb="FF4F4F52"/>
        <rFont val="Arial"/>
        <family val="2"/>
      </rPr>
      <t xml:space="preserve">au </t>
    </r>
    <r>
      <rPr>
        <sz val="10"/>
        <color rgb="FF3D3B3F"/>
        <rFont val="Arial"/>
        <family val="2"/>
      </rPr>
      <t xml:space="preserve">resistensi dari </t>
    </r>
    <r>
      <rPr>
        <sz val="10"/>
        <color rgb="FF2D2D2F"/>
        <rFont val="Arial"/>
        <family val="2"/>
      </rPr>
      <t>k</t>
    </r>
    <r>
      <rPr>
        <sz val="10"/>
        <color rgb="FF4F4F52"/>
        <rFont val="Arial"/>
        <family val="2"/>
      </rPr>
      <t>aryawan.</t>
    </r>
  </si>
  <si>
    <r>
      <rPr>
        <sz val="10"/>
        <color rgb="FF4F4F52"/>
        <rFont val="Arial"/>
        <family val="2"/>
      </rPr>
      <t>a.    Res</t>
    </r>
    <r>
      <rPr>
        <sz val="10"/>
        <color rgb="FF727277"/>
        <rFont val="Arial"/>
        <family val="2"/>
      </rPr>
      <t>i</t>
    </r>
    <r>
      <rPr>
        <sz val="10"/>
        <color rgb="FF4F4F52"/>
        <rFont val="Arial"/>
        <family val="2"/>
      </rPr>
      <t xml:space="preserve">stensi  </t>
    </r>
    <r>
      <rPr>
        <i/>
        <sz val="10"/>
        <color rgb="FF4F4F52"/>
        <rFont val="Arial"/>
        <family val="2"/>
      </rPr>
      <t xml:space="preserve">stakeholder  </t>
    </r>
    <r>
      <rPr>
        <sz val="10"/>
        <color rgb="FF4F4F52"/>
        <rFont val="Arial"/>
        <family val="2"/>
      </rPr>
      <t xml:space="preserve">terhadap  </t>
    </r>
    <r>
      <rPr>
        <sz val="10"/>
        <color rgb="FF646267"/>
        <rFont val="Arial"/>
        <family val="2"/>
      </rPr>
      <t>pe</t>
    </r>
    <r>
      <rPr>
        <sz val="10"/>
        <color rgb="FF3D3B3F"/>
        <rFont val="Arial"/>
        <family val="2"/>
      </rPr>
      <t>r</t>
    </r>
    <r>
      <rPr>
        <sz val="10"/>
        <color rgb="FF646267"/>
        <rFont val="Arial"/>
        <family val="2"/>
      </rPr>
      <t>uba</t>
    </r>
    <r>
      <rPr>
        <sz val="10"/>
        <color rgb="FF3D3B3F"/>
        <rFont val="Arial"/>
        <family val="2"/>
      </rPr>
      <t>ha</t>
    </r>
    <r>
      <rPr>
        <sz val="10"/>
        <color rgb="FF646267"/>
        <rFont val="Arial"/>
        <family val="2"/>
      </rPr>
      <t xml:space="preserve">n </t>
    </r>
    <r>
      <rPr>
        <sz val="10"/>
        <color rgb="FF4F4F52"/>
        <rFont val="Arial"/>
        <family val="2"/>
      </rPr>
      <t xml:space="preserve">rencana strategis
</t>
    </r>
    <r>
      <rPr>
        <sz val="10"/>
        <color rgb="FF646267"/>
        <rFont val="Arial"/>
        <family val="2"/>
      </rPr>
      <t xml:space="preserve">b.    </t>
    </r>
    <r>
      <rPr>
        <sz val="10"/>
        <color rgb="FF4F4F52"/>
        <rFont val="Arial"/>
        <family val="2"/>
      </rPr>
      <t xml:space="preserve">Komitmen  </t>
    </r>
    <r>
      <rPr>
        <i/>
        <sz val="10"/>
        <color rgb="FF4F4F52"/>
        <rFont val="Arial"/>
        <family val="2"/>
      </rPr>
      <t xml:space="preserve">management  </t>
    </r>
    <r>
      <rPr>
        <sz val="10"/>
        <color rgb="FF4F4F52"/>
        <rFont val="Arial"/>
        <family val="2"/>
      </rPr>
      <t xml:space="preserve">dalam </t>
    </r>
    <r>
      <rPr>
        <sz val="10"/>
        <color rgb="FF646267"/>
        <rFont val="Arial"/>
        <family val="2"/>
      </rPr>
      <t>implementas</t>
    </r>
    <r>
      <rPr>
        <sz val="10"/>
        <color rgb="FF18181C"/>
        <rFont val="Arial"/>
        <family val="2"/>
      </rPr>
      <t xml:space="preserve">i </t>
    </r>
    <r>
      <rPr>
        <sz val="10"/>
        <color rgb="FF4F4F52"/>
        <rFont val="Arial"/>
        <family val="2"/>
      </rPr>
      <t xml:space="preserve">rencana strategis
c.    </t>
    </r>
    <r>
      <rPr>
        <sz val="10"/>
        <color rgb="FF646267"/>
        <rFont val="Arial"/>
        <family val="2"/>
      </rPr>
      <t>(da</t>
    </r>
    <r>
      <rPr>
        <sz val="10"/>
        <color rgb="FF3D3B3F"/>
        <rFont val="Arial"/>
        <family val="2"/>
      </rPr>
      <t xml:space="preserve">pat ditambahkan </t>
    </r>
    <r>
      <rPr>
        <sz val="10"/>
        <color rgb="FF4F4F52"/>
        <rFont val="Arial"/>
        <family val="2"/>
      </rPr>
      <t xml:space="preserve">sesuai </t>
    </r>
    <r>
      <rPr>
        <sz val="10"/>
        <color rgb="FF646267"/>
        <rFont val="Arial"/>
        <family val="2"/>
      </rPr>
      <t>ko</t>
    </r>
    <r>
      <rPr>
        <sz val="10"/>
        <color rgb="FF3D3B3F"/>
        <rFont val="Arial"/>
        <family val="2"/>
      </rPr>
      <t>nt</t>
    </r>
    <r>
      <rPr>
        <sz val="10"/>
        <color rgb="FF646267"/>
        <rFont val="Arial"/>
        <family val="2"/>
      </rPr>
      <t xml:space="preserve">eks </t>
    </r>
    <r>
      <rPr>
        <sz val="10"/>
        <color rgb="FF4F4F52"/>
        <rFont val="Arial"/>
        <family val="2"/>
      </rPr>
      <t>perist</t>
    </r>
    <r>
      <rPr>
        <sz val="10"/>
        <color rgb="FF18181C"/>
        <rFont val="Arial"/>
        <family val="2"/>
      </rPr>
      <t>i</t>
    </r>
    <r>
      <rPr>
        <sz val="10"/>
        <color rgb="FF646267"/>
        <rFont val="Arial"/>
        <family val="2"/>
      </rPr>
      <t xml:space="preserve">wa
</t>
    </r>
    <r>
      <rPr>
        <sz val="10"/>
        <color rgb="FF4F4F52"/>
        <rFont val="Arial"/>
        <family val="2"/>
      </rPr>
      <t>r</t>
    </r>
    <r>
      <rPr>
        <sz val="10"/>
        <color rgb="FF9A9A9E"/>
        <rFont val="Arial"/>
        <family val="2"/>
      </rPr>
      <t>i</t>
    </r>
    <r>
      <rPr>
        <sz val="10"/>
        <color rgb="FF4F4F52"/>
        <rFont val="Arial"/>
        <family val="2"/>
      </rPr>
      <t xml:space="preserve">siko pada satuan </t>
    </r>
    <r>
      <rPr>
        <sz val="10"/>
        <color rgb="FF3D3B3F"/>
        <rFont val="Arial"/>
        <family val="2"/>
      </rPr>
      <t>ker</t>
    </r>
    <r>
      <rPr>
        <sz val="10"/>
        <color rgb="FF727277"/>
        <rFont val="Arial"/>
        <family val="2"/>
      </rPr>
      <t>i</t>
    </r>
    <r>
      <rPr>
        <sz val="10"/>
        <color rgb="FF4F4F52"/>
        <rFont val="Arial"/>
        <family val="2"/>
      </rPr>
      <t xml:space="preserve">a </t>
    </r>
    <r>
      <rPr>
        <sz val="10"/>
        <color rgb="FF646267"/>
        <rFont val="Arial"/>
        <family val="2"/>
      </rPr>
      <t>mas</t>
    </r>
    <r>
      <rPr>
        <sz val="10"/>
        <color rgb="FF2D2D2F"/>
        <rFont val="Arial"/>
        <family val="2"/>
      </rPr>
      <t>i</t>
    </r>
    <r>
      <rPr>
        <sz val="10"/>
        <color rgb="FF4F4F52"/>
        <rFont val="Arial"/>
        <family val="2"/>
      </rPr>
      <t>no-masinq)</t>
    </r>
  </si>
  <si>
    <r>
      <rPr>
        <sz val="10"/>
        <color rgb="FF3D3B3F"/>
        <rFont val="Arial"/>
        <family val="2"/>
      </rPr>
      <t>Ris</t>
    </r>
    <r>
      <rPr>
        <sz val="10"/>
        <color rgb="FF18181C"/>
        <rFont val="Arial"/>
        <family val="2"/>
      </rPr>
      <t>i</t>
    </r>
    <r>
      <rPr>
        <sz val="10"/>
        <color rgb="FF3D3B3F"/>
        <rFont val="Arial"/>
        <family val="2"/>
      </rPr>
      <t>ko harga komoditas</t>
    </r>
  </si>
  <si>
    <r>
      <rPr>
        <sz val="10"/>
        <color rgb="FF3D3B3F"/>
        <rFont val="Arial"/>
        <family val="2"/>
      </rPr>
      <t xml:space="preserve">Ketidakpastian    </t>
    </r>
    <r>
      <rPr>
        <sz val="10"/>
        <color rgb="FF18181C"/>
        <rFont val="Arial"/>
        <family val="2"/>
      </rPr>
      <t>h</t>
    </r>
    <r>
      <rPr>
        <sz val="10"/>
        <color rgb="FF4F4F52"/>
        <rFont val="Arial"/>
        <family val="2"/>
      </rPr>
      <t xml:space="preserve">arga    komoditas    yang    </t>
    </r>
    <r>
      <rPr>
        <sz val="10"/>
        <color rgb="FF3D3B3F"/>
        <rFont val="Arial"/>
        <family val="2"/>
      </rPr>
      <t xml:space="preserve">berpengaruh </t>
    </r>
    <r>
      <rPr>
        <sz val="10"/>
        <color rgb="FF4F4F52"/>
        <rFont val="Arial"/>
        <family val="2"/>
      </rPr>
      <t>ter</t>
    </r>
    <r>
      <rPr>
        <sz val="10"/>
        <color rgb="FF2D2D2F"/>
        <rFont val="Arial"/>
        <family val="2"/>
      </rPr>
      <t>h</t>
    </r>
    <r>
      <rPr>
        <sz val="10"/>
        <color rgb="FF4F4F52"/>
        <rFont val="Arial"/>
        <family val="2"/>
      </rPr>
      <t>adap perusahaan</t>
    </r>
  </si>
  <si>
    <r>
      <rPr>
        <sz val="10"/>
        <color rgb="FF4F4F52"/>
        <rFont val="Arial"/>
        <family val="2"/>
      </rPr>
      <t xml:space="preserve">a.    </t>
    </r>
    <r>
      <rPr>
        <sz val="10"/>
        <color rgb="FF2D2D2F"/>
        <rFont val="Arial"/>
        <family val="2"/>
      </rPr>
      <t>Flu</t>
    </r>
    <r>
      <rPr>
        <sz val="10"/>
        <color rgb="FF4F4F52"/>
        <rFont val="Arial"/>
        <family val="2"/>
      </rPr>
      <t xml:space="preserve">ktuasi </t>
    </r>
    <r>
      <rPr>
        <sz val="10"/>
        <color rgb="FF3D3B3F"/>
        <rFont val="Arial"/>
        <family val="2"/>
      </rPr>
      <t>ha</t>
    </r>
    <r>
      <rPr>
        <sz val="10"/>
        <color rgb="FF646267"/>
        <rFont val="Arial"/>
        <family val="2"/>
      </rPr>
      <t xml:space="preserve">rga </t>
    </r>
    <r>
      <rPr>
        <sz val="10"/>
        <color rgb="FF727277"/>
        <rFont val="Arial"/>
        <family val="2"/>
      </rPr>
      <t>b</t>
    </r>
    <r>
      <rPr>
        <sz val="10"/>
        <color rgb="FF4F4F52"/>
        <rFont val="Arial"/>
        <family val="2"/>
      </rPr>
      <t>atuba</t>
    </r>
    <r>
      <rPr>
        <sz val="10"/>
        <color rgb="FF2D2D2F"/>
        <rFont val="Arial"/>
        <family val="2"/>
      </rPr>
      <t>r</t>
    </r>
    <r>
      <rPr>
        <sz val="10"/>
        <color rgb="FF4F4F52"/>
        <rFont val="Arial"/>
        <family val="2"/>
      </rPr>
      <t>a dun</t>
    </r>
    <r>
      <rPr>
        <sz val="10"/>
        <color rgb="FF18181C"/>
        <rFont val="Arial"/>
        <family val="2"/>
      </rPr>
      <t>i</t>
    </r>
    <r>
      <rPr>
        <sz val="10"/>
        <color rgb="FF4F4F52"/>
        <rFont val="Arial"/>
        <family val="2"/>
      </rPr>
      <t>a
b</t>
    </r>
    <r>
      <rPr>
        <sz val="10"/>
        <color rgb="FF18181C"/>
        <rFont val="Arial"/>
        <family val="2"/>
      </rPr>
      <t xml:space="preserve">.    </t>
    </r>
    <r>
      <rPr>
        <sz val="10"/>
        <color rgb="FF4F4F52"/>
        <rFont val="Arial"/>
        <family val="2"/>
      </rPr>
      <t xml:space="preserve">Kenaikan </t>
    </r>
    <r>
      <rPr>
        <sz val="10"/>
        <color rgb="FF3D3B3F"/>
        <rFont val="Arial"/>
        <family val="2"/>
      </rPr>
      <t xml:space="preserve">biaya </t>
    </r>
    <r>
      <rPr>
        <sz val="10"/>
        <color rgb="FF4F4F52"/>
        <rFont val="Arial"/>
        <family val="2"/>
      </rPr>
      <t xml:space="preserve">pembelian gas alam
c.    (dapat </t>
    </r>
    <r>
      <rPr>
        <sz val="10"/>
        <color rgb="FF3D3B3F"/>
        <rFont val="Arial"/>
        <family val="2"/>
      </rPr>
      <t xml:space="preserve">ditambahkan </t>
    </r>
    <r>
      <rPr>
        <sz val="10"/>
        <color rgb="FF4F4F52"/>
        <rFont val="Arial"/>
        <family val="2"/>
      </rPr>
      <t>sesuai konteks pe</t>
    </r>
    <r>
      <rPr>
        <sz val="10"/>
        <color rgb="FF727277"/>
        <rFont val="Arial"/>
        <family val="2"/>
      </rPr>
      <t>r</t>
    </r>
    <r>
      <rPr>
        <sz val="10"/>
        <color rgb="FF18181C"/>
        <rFont val="Arial"/>
        <family val="2"/>
      </rPr>
      <t>i</t>
    </r>
    <r>
      <rPr>
        <sz val="10"/>
        <color rgb="FF4F4F52"/>
        <rFont val="Arial"/>
        <family val="2"/>
      </rPr>
      <t>s</t>
    </r>
    <r>
      <rPr>
        <sz val="10"/>
        <color rgb="FF727277"/>
        <rFont val="Arial"/>
        <family val="2"/>
      </rPr>
      <t>t</t>
    </r>
    <r>
      <rPr>
        <sz val="10"/>
        <color rgb="FF4F4F52"/>
        <rFont val="Arial"/>
        <family val="2"/>
      </rPr>
      <t xml:space="preserve">iwa </t>
    </r>
    <r>
      <rPr>
        <sz val="10"/>
        <color rgb="FF2D2D2F"/>
        <rFont val="Arial"/>
        <family val="2"/>
      </rPr>
      <t>r</t>
    </r>
    <r>
      <rPr>
        <sz val="10"/>
        <color rgb="FF828287"/>
        <rFont val="Arial"/>
        <family val="2"/>
      </rPr>
      <t>i</t>
    </r>
    <r>
      <rPr>
        <sz val="10"/>
        <color rgb="FF4F4F52"/>
        <rFont val="Arial"/>
        <family val="2"/>
      </rPr>
      <t>s</t>
    </r>
    <r>
      <rPr>
        <sz val="10"/>
        <color rgb="FF2D2D2F"/>
        <rFont val="Arial"/>
        <family val="2"/>
      </rPr>
      <t>i</t>
    </r>
    <r>
      <rPr>
        <sz val="10"/>
        <color rgb="FF4F4F52"/>
        <rFont val="Arial"/>
        <family val="2"/>
      </rPr>
      <t xml:space="preserve">ko pada satuan </t>
    </r>
    <r>
      <rPr>
        <sz val="10"/>
        <color rgb="FF2D2D2F"/>
        <rFont val="Arial"/>
        <family val="2"/>
      </rPr>
      <t>k</t>
    </r>
    <r>
      <rPr>
        <sz val="10"/>
        <color rgb="FF4F4F52"/>
        <rFont val="Arial"/>
        <family val="2"/>
      </rPr>
      <t>e</t>
    </r>
    <r>
      <rPr>
        <sz val="10"/>
        <color rgb="FF2D2D2F"/>
        <rFont val="Arial"/>
        <family val="2"/>
      </rPr>
      <t>r</t>
    </r>
    <r>
      <rPr>
        <sz val="10"/>
        <color rgb="FF646267"/>
        <rFont val="Arial"/>
        <family val="2"/>
      </rPr>
      <t xml:space="preserve">ja </t>
    </r>
    <r>
      <rPr>
        <sz val="10"/>
        <color rgb="FF4F4F52"/>
        <rFont val="Arial"/>
        <family val="2"/>
      </rPr>
      <t>mas</t>
    </r>
    <r>
      <rPr>
        <sz val="10"/>
        <color rgb="FF18181C"/>
        <rFont val="Arial"/>
        <family val="2"/>
      </rPr>
      <t>i</t>
    </r>
    <r>
      <rPr>
        <sz val="10"/>
        <color rgb="FF3D3B3F"/>
        <rFont val="Arial"/>
        <family val="2"/>
      </rPr>
      <t>ng-masing</t>
    </r>
    <r>
      <rPr>
        <sz val="10"/>
        <color rgb="FF646267"/>
        <rFont val="Arial"/>
        <family val="2"/>
      </rPr>
      <t>)</t>
    </r>
  </si>
  <si>
    <r>
      <rPr>
        <sz val="10"/>
        <color rgb="FF3D3B3F"/>
        <rFont val="Arial"/>
        <family val="2"/>
      </rPr>
      <t>Ris</t>
    </r>
    <r>
      <rPr>
        <sz val="10"/>
        <color rgb="FF18181C"/>
        <rFont val="Arial"/>
        <family val="2"/>
      </rPr>
      <t>i</t>
    </r>
    <r>
      <rPr>
        <sz val="10"/>
        <color rgb="FF3D3B3F"/>
        <rFont val="Arial"/>
        <family val="2"/>
      </rPr>
      <t xml:space="preserve">ko </t>
    </r>
    <r>
      <rPr>
        <sz val="10"/>
        <color rgb="FF4F4F52"/>
        <rFont val="Arial"/>
        <family val="2"/>
      </rPr>
      <t>ko</t>
    </r>
    <r>
      <rPr>
        <sz val="10"/>
        <color rgb="FF2D2D2F"/>
        <rFont val="Arial"/>
        <family val="2"/>
      </rPr>
      <t xml:space="preserve">ndisi </t>
    </r>
    <r>
      <rPr>
        <sz val="10"/>
        <color rgb="FF4F4F52"/>
        <rFont val="Arial"/>
        <family val="2"/>
      </rPr>
      <t>eko</t>
    </r>
    <r>
      <rPr>
        <sz val="10"/>
        <color rgb="FF18181C"/>
        <rFont val="Arial"/>
        <family val="2"/>
      </rPr>
      <t>n</t>
    </r>
    <r>
      <rPr>
        <sz val="10"/>
        <color rgb="FF3D3B3F"/>
        <rFont val="Arial"/>
        <family val="2"/>
      </rPr>
      <t>omi
global</t>
    </r>
  </si>
  <si>
    <r>
      <rPr>
        <sz val="10"/>
        <color rgb="FF2D2D2F"/>
        <rFont val="Arial"/>
        <family val="2"/>
      </rPr>
      <t>P</t>
    </r>
    <r>
      <rPr>
        <sz val="10"/>
        <color rgb="FF4F4F52"/>
        <rFont val="Arial"/>
        <family val="2"/>
      </rPr>
      <t>ote</t>
    </r>
    <r>
      <rPr>
        <sz val="10"/>
        <color rgb="FF18181C"/>
        <rFont val="Arial"/>
        <family val="2"/>
      </rPr>
      <t>n</t>
    </r>
    <r>
      <rPr>
        <sz val="10"/>
        <color rgb="FF3D3B3F"/>
        <rFont val="Arial"/>
        <family val="2"/>
      </rPr>
      <t xml:space="preserve">si  </t>
    </r>
    <r>
      <rPr>
        <sz val="10"/>
        <color rgb="FF4F4F52"/>
        <rFont val="Arial"/>
        <family val="2"/>
      </rPr>
      <t>a</t>
    </r>
    <r>
      <rPr>
        <sz val="10"/>
        <color rgb="FF2D2D2F"/>
        <rFont val="Arial"/>
        <family val="2"/>
      </rPr>
      <t>n</t>
    </r>
    <r>
      <rPr>
        <sz val="10"/>
        <color rgb="FF4F4F52"/>
        <rFont val="Arial"/>
        <family val="2"/>
      </rPr>
      <t>caman  ata</t>
    </r>
    <r>
      <rPr>
        <sz val="10"/>
        <color rgb="FF2D2D2F"/>
        <rFont val="Arial"/>
        <family val="2"/>
      </rPr>
      <t xml:space="preserve">u  </t>
    </r>
    <r>
      <rPr>
        <sz val="10"/>
        <color rgb="FF3D3B3F"/>
        <rFont val="Arial"/>
        <family val="2"/>
      </rPr>
      <t>ketidakpast</t>
    </r>
    <r>
      <rPr>
        <sz val="10"/>
        <color rgb="FF727277"/>
        <rFont val="Arial"/>
        <family val="2"/>
      </rPr>
      <t>i</t>
    </r>
    <r>
      <rPr>
        <sz val="10"/>
        <color rgb="FF4F4F52"/>
        <rFont val="Arial"/>
        <family val="2"/>
      </rPr>
      <t xml:space="preserve">an  yang  </t>
    </r>
    <r>
      <rPr>
        <sz val="10"/>
        <color rgb="FF3D3B3F"/>
        <rFont val="Arial"/>
        <family val="2"/>
      </rPr>
      <t>timb</t>
    </r>
    <r>
      <rPr>
        <sz val="10"/>
        <color rgb="FF18181C"/>
        <rFont val="Arial"/>
        <family val="2"/>
      </rPr>
      <t>u</t>
    </r>
    <r>
      <rPr>
        <sz val="10"/>
        <color rgb="FF4F4F52"/>
        <rFont val="Arial"/>
        <family val="2"/>
      </rPr>
      <t xml:space="preserve">l  </t>
    </r>
    <r>
      <rPr>
        <sz val="10"/>
        <color rgb="FF3D3B3F"/>
        <rFont val="Arial"/>
        <family val="2"/>
      </rPr>
      <t>dari
fluktuas</t>
    </r>
    <r>
      <rPr>
        <sz val="10"/>
        <color rgb="FF18181C"/>
        <rFont val="Arial"/>
        <family val="2"/>
      </rPr>
      <t xml:space="preserve">i </t>
    </r>
    <r>
      <rPr>
        <sz val="10"/>
        <color rgb="FF3D3B3F"/>
        <rFont val="Arial"/>
        <family val="2"/>
      </rPr>
      <t xml:space="preserve">dan </t>
    </r>
    <r>
      <rPr>
        <sz val="10"/>
        <color rgb="FF4F4F52"/>
        <rFont val="Arial"/>
        <family val="2"/>
      </rPr>
      <t>kondis</t>
    </r>
    <r>
      <rPr>
        <sz val="10"/>
        <color rgb="FF2D2D2F"/>
        <rFont val="Arial"/>
        <family val="2"/>
      </rPr>
      <t xml:space="preserve">i </t>
    </r>
    <r>
      <rPr>
        <sz val="10"/>
        <color rgb="FF3D3B3F"/>
        <rFont val="Arial"/>
        <family val="2"/>
      </rPr>
      <t>ekonomi d</t>
    </r>
    <r>
      <rPr>
        <sz val="10"/>
        <color rgb="FF646267"/>
        <rFont val="Arial"/>
        <family val="2"/>
      </rPr>
      <t xml:space="preserve">i </t>
    </r>
    <r>
      <rPr>
        <sz val="10"/>
        <color rgb="FF4F4F52"/>
        <rFont val="Arial"/>
        <family val="2"/>
      </rPr>
      <t>se</t>
    </r>
    <r>
      <rPr>
        <sz val="10"/>
        <color rgb="FF18181C"/>
        <rFont val="Arial"/>
        <family val="2"/>
      </rPr>
      <t>l</t>
    </r>
    <r>
      <rPr>
        <sz val="10"/>
        <color rgb="FF3D3B3F"/>
        <rFont val="Arial"/>
        <family val="2"/>
      </rPr>
      <t>uruh dunia.</t>
    </r>
  </si>
  <si>
    <r>
      <rPr>
        <sz val="10"/>
        <color rgb="FF4F4F52"/>
        <rFont val="Arial"/>
        <family val="2"/>
      </rPr>
      <t>a</t>
    </r>
    <r>
      <rPr>
        <sz val="10"/>
        <color rgb="FF18181C"/>
        <rFont val="Arial"/>
        <family val="2"/>
      </rPr>
      <t xml:space="preserve">.    </t>
    </r>
    <r>
      <rPr>
        <sz val="10"/>
        <color rgb="FF4F4F52"/>
        <rFont val="Arial"/>
        <family val="2"/>
      </rPr>
      <t>Te</t>
    </r>
    <r>
      <rPr>
        <sz val="10"/>
        <color rgb="FF2D2D2F"/>
        <rFont val="Arial"/>
        <family val="2"/>
      </rPr>
      <t>rja</t>
    </r>
    <r>
      <rPr>
        <sz val="10"/>
        <color rgb="FF4F4F52"/>
        <rFont val="Arial"/>
        <family val="2"/>
      </rPr>
      <t>di</t>
    </r>
    <r>
      <rPr>
        <sz val="10"/>
        <color rgb="FF2D2D2F"/>
        <rFont val="Arial"/>
        <family val="2"/>
      </rPr>
      <t>n</t>
    </r>
    <r>
      <rPr>
        <sz val="10"/>
        <color rgb="FF4F4F52"/>
        <rFont val="Arial"/>
        <family val="2"/>
      </rPr>
      <t xml:space="preserve">ya resesi </t>
    </r>
    <r>
      <rPr>
        <sz val="10"/>
        <color rgb="FF3D3B3F"/>
        <rFont val="Arial"/>
        <family val="2"/>
      </rPr>
      <t>g</t>
    </r>
    <r>
      <rPr>
        <sz val="10"/>
        <color rgb="FF18181C"/>
        <rFont val="Arial"/>
        <family val="2"/>
      </rPr>
      <t>l</t>
    </r>
    <r>
      <rPr>
        <sz val="10"/>
        <color rgb="FF4F4F52"/>
        <rFont val="Arial"/>
        <family val="2"/>
      </rPr>
      <t>oba</t>
    </r>
    <r>
      <rPr>
        <sz val="10"/>
        <color rgb="FF18181C"/>
        <rFont val="Arial"/>
        <family val="2"/>
      </rPr>
      <t xml:space="preserve">l
</t>
    </r>
    <r>
      <rPr>
        <sz val="10"/>
        <color rgb="FF4F4F52"/>
        <rFont val="Arial"/>
        <family val="2"/>
      </rPr>
      <t xml:space="preserve">b.    </t>
    </r>
    <r>
      <rPr>
        <sz val="10"/>
        <color rgb="FF2D2D2F"/>
        <rFont val="Arial"/>
        <family val="2"/>
      </rPr>
      <t>Fl</t>
    </r>
    <r>
      <rPr>
        <sz val="10"/>
        <color rgb="FF4F4F52"/>
        <rFont val="Arial"/>
        <family val="2"/>
      </rPr>
      <t>ukt</t>
    </r>
    <r>
      <rPr>
        <sz val="10"/>
        <color rgb="FF2D2D2F"/>
        <rFont val="Arial"/>
        <family val="2"/>
      </rPr>
      <t>u</t>
    </r>
    <r>
      <rPr>
        <sz val="10"/>
        <color rgb="FF4F4F52"/>
        <rFont val="Arial"/>
        <family val="2"/>
      </rPr>
      <t xml:space="preserve">asi </t>
    </r>
    <r>
      <rPr>
        <sz val="10"/>
        <color rgb="FF3D3B3F"/>
        <rFont val="Arial"/>
        <family val="2"/>
      </rPr>
      <t xml:space="preserve">pasar modal </t>
    </r>
    <r>
      <rPr>
        <sz val="10"/>
        <color rgb="FF4F4F52"/>
        <rFont val="Arial"/>
        <family val="2"/>
      </rPr>
      <t>reg</t>
    </r>
    <r>
      <rPr>
        <sz val="10"/>
        <color rgb="FF18181C"/>
        <rFont val="Arial"/>
        <family val="2"/>
      </rPr>
      <t>i</t>
    </r>
    <r>
      <rPr>
        <sz val="10"/>
        <color rgb="FF646267"/>
        <rFont val="Arial"/>
        <family val="2"/>
      </rPr>
      <t>o</t>
    </r>
    <r>
      <rPr>
        <sz val="10"/>
        <color rgb="FF3D3B3F"/>
        <rFont val="Arial"/>
        <family val="2"/>
      </rPr>
      <t>na</t>
    </r>
    <r>
      <rPr>
        <sz val="10"/>
        <color rgb="FF18181C"/>
        <rFont val="Arial"/>
        <family val="2"/>
      </rPr>
      <t>l</t>
    </r>
  </si>
  <si>
    <r>
      <rPr>
        <sz val="10"/>
        <color rgb="FF3B3B3F"/>
        <rFont val="Arial"/>
        <family val="2"/>
      </rPr>
      <t>Risiko suku bunga</t>
    </r>
  </si>
  <si>
    <r>
      <rPr>
        <sz val="10"/>
        <color rgb="FF3B3B3F"/>
        <rFont val="Arial"/>
        <family val="2"/>
      </rPr>
      <t xml:space="preserve">Polensi kerugian </t>
    </r>
    <r>
      <rPr>
        <sz val="10"/>
        <color rgb="FF4D4D52"/>
        <rFont val="Arial"/>
        <family val="2"/>
      </rPr>
      <t xml:space="preserve">alau kelidakpaslian yang </t>
    </r>
    <r>
      <rPr>
        <sz val="10"/>
        <color rgb="FF3B3B3F"/>
        <rFont val="Arial"/>
        <family val="2"/>
      </rPr>
      <t xml:space="preserve">limbul </t>
    </r>
    <r>
      <rPr>
        <sz val="10"/>
        <color rgb="FF4D4D52"/>
        <rFont val="Arial"/>
        <family val="2"/>
      </rPr>
      <t xml:space="preserve">karena perubahan  </t>
    </r>
    <r>
      <rPr>
        <sz val="10"/>
        <color rgb="FF3B3B3F"/>
        <rFont val="Arial"/>
        <family val="2"/>
      </rPr>
      <t xml:space="preserve">dalam  lingkal  suku  </t>
    </r>
    <r>
      <rPr>
        <sz val="10"/>
        <color rgb="FF4D4D52"/>
        <rFont val="Arial"/>
        <family val="2"/>
      </rPr>
      <t xml:space="preserve">bunga  </t>
    </r>
    <r>
      <rPr>
        <sz val="10"/>
        <color rgb="FF3B3B3F"/>
        <rFont val="Arial"/>
        <family val="2"/>
      </rPr>
      <t>yang  ber</t>
    </r>
    <r>
      <rPr>
        <sz val="10"/>
        <color theme="1"/>
        <rFont val="Arial"/>
        <family val="2"/>
      </rPr>
      <t>l</t>
    </r>
    <r>
      <rPr>
        <sz val="10"/>
        <color rgb="FF4D4D52"/>
        <rFont val="Arial"/>
        <family val="2"/>
      </rPr>
      <t xml:space="preserve">aku  </t>
    </r>
    <r>
      <rPr>
        <sz val="10"/>
        <color rgb="FF3B3B3F"/>
        <rFont val="Arial"/>
        <family val="2"/>
      </rPr>
      <t>di pasar.</t>
    </r>
  </si>
  <si>
    <r>
      <rPr>
        <sz val="10"/>
        <color rgb="FF3B3B3F"/>
        <rFont val="Arial"/>
        <family val="2"/>
      </rPr>
      <t xml:space="preserve">a.   Kenaikan </t>
    </r>
    <r>
      <rPr>
        <sz val="10"/>
        <color rgb="FF4D4D52"/>
        <rFont val="Arial"/>
        <family val="2"/>
      </rPr>
      <t xml:space="preserve">suku </t>
    </r>
    <r>
      <rPr>
        <sz val="10"/>
        <color rgb="FF3B3B3F"/>
        <rFont val="Arial"/>
        <family val="2"/>
      </rPr>
      <t xml:space="preserve">bunga acuan Bank </t>
    </r>
    <r>
      <rPr>
        <sz val="10"/>
        <color rgb="FF262428"/>
        <rFont val="Arial"/>
        <family val="2"/>
      </rPr>
      <t>In</t>
    </r>
    <r>
      <rPr>
        <sz val="10"/>
        <color rgb="FF4D4D52"/>
        <rFont val="Arial"/>
        <family val="2"/>
      </rPr>
      <t xml:space="preserve">donesia
b.   </t>
    </r>
    <r>
      <rPr>
        <sz val="10"/>
        <color rgb="FF3B3B3F"/>
        <rFont val="Arial"/>
        <family val="2"/>
      </rPr>
      <t xml:space="preserve">Kenaikan suku </t>
    </r>
    <r>
      <rPr>
        <sz val="10"/>
        <color rgb="FF4D4D52"/>
        <rFont val="Arial"/>
        <family val="2"/>
      </rPr>
      <t>bunga
C</t>
    </r>
    <r>
      <rPr>
        <sz val="10"/>
        <color rgb="FF6D6D72"/>
        <rFont val="Arial"/>
        <family val="2"/>
      </rPr>
      <t xml:space="preserve">.     </t>
    </r>
    <r>
      <rPr>
        <sz val="10"/>
        <color rgb="FF4D4D52"/>
        <rFont val="Arial"/>
        <family val="2"/>
      </rPr>
      <t>(dapa</t>
    </r>
    <r>
      <rPr>
        <sz val="10"/>
        <color rgb="FF262428"/>
        <rFont val="Arial"/>
        <family val="2"/>
      </rPr>
      <t xml:space="preserve">l </t>
    </r>
    <r>
      <rPr>
        <sz val="10"/>
        <color rgb="FF3B3B3F"/>
        <rFont val="Arial"/>
        <family val="2"/>
      </rPr>
      <t xml:space="preserve">dilambahkan sesuai konleks </t>
    </r>
    <r>
      <rPr>
        <sz val="10"/>
        <color rgb="FF4D4D52"/>
        <rFont val="Arial"/>
        <family val="2"/>
      </rPr>
      <t xml:space="preserve">perisliwa </t>
    </r>
    <r>
      <rPr>
        <sz val="10"/>
        <color rgb="FF3B3B3F"/>
        <rFont val="Arial"/>
        <family val="2"/>
      </rPr>
      <t>r</t>
    </r>
    <r>
      <rPr>
        <sz val="10"/>
        <color rgb="FF6D6D72"/>
        <rFont val="Arial"/>
        <family val="2"/>
      </rPr>
      <t>i</t>
    </r>
    <r>
      <rPr>
        <sz val="10"/>
        <color rgb="FF4D4D52"/>
        <rFont val="Arial"/>
        <family val="2"/>
      </rPr>
      <t xml:space="preserve">siko </t>
    </r>
    <r>
      <rPr>
        <sz val="10"/>
        <color rgb="FF3B3B3F"/>
        <rFont val="Arial"/>
        <family val="2"/>
      </rPr>
      <t>pada saluan kerja masing-masing)</t>
    </r>
  </si>
  <si>
    <r>
      <rPr>
        <sz val="10"/>
        <color rgb="FF3B3B3F"/>
        <rFont val="Arial"/>
        <family val="2"/>
      </rPr>
      <t>Risiko n</t>
    </r>
    <r>
      <rPr>
        <sz val="10"/>
        <color rgb="FF16161A"/>
        <rFont val="Arial"/>
        <family val="2"/>
      </rPr>
      <t>il</t>
    </r>
    <r>
      <rPr>
        <sz val="10"/>
        <color rgb="FF3B3B3F"/>
        <rFont val="Arial"/>
        <family val="2"/>
      </rPr>
      <t>ai luka</t>
    </r>
    <r>
      <rPr>
        <sz val="10"/>
        <color rgb="FF16161A"/>
        <rFont val="Arial"/>
        <family val="2"/>
      </rPr>
      <t>r</t>
    </r>
  </si>
  <si>
    <r>
      <rPr>
        <sz val="10"/>
        <color rgb="FF3B3B3F"/>
        <rFont val="Arial"/>
        <family val="2"/>
      </rPr>
      <t>R</t>
    </r>
    <r>
      <rPr>
        <sz val="10"/>
        <color rgb="FF16161A"/>
        <rFont val="Arial"/>
        <family val="2"/>
      </rPr>
      <t>i</t>
    </r>
    <r>
      <rPr>
        <sz val="10"/>
        <color rgb="FF3B3B3F"/>
        <rFont val="Arial"/>
        <family val="2"/>
      </rPr>
      <t>siko ke</t>
    </r>
    <r>
      <rPr>
        <sz val="10"/>
        <color rgb="FF16161A"/>
        <rFont val="Arial"/>
        <family val="2"/>
      </rPr>
      <t>u</t>
    </r>
    <r>
      <rPr>
        <sz val="10"/>
        <color rgb="FF3B3B3F"/>
        <rFont val="Arial"/>
        <family val="2"/>
      </rPr>
      <t xml:space="preserve">anganyang limbu </t>
    </r>
    <r>
      <rPr>
        <sz val="10"/>
        <color rgb="FF16161A"/>
        <rFont val="Arial"/>
        <family val="2"/>
      </rPr>
      <t xml:space="preserve">l </t>
    </r>
    <r>
      <rPr>
        <sz val="10"/>
        <color rgb="FF3B3B3F"/>
        <rFont val="Arial"/>
        <family val="2"/>
      </rPr>
      <t>ak</t>
    </r>
    <r>
      <rPr>
        <sz val="10"/>
        <color rgb="FF16161A"/>
        <rFont val="Arial"/>
        <family val="2"/>
      </rPr>
      <t>i</t>
    </r>
    <r>
      <rPr>
        <sz val="10"/>
        <color rgb="FF3B3B3F"/>
        <rFont val="Arial"/>
        <family val="2"/>
      </rPr>
      <t>bal perubahan lak le</t>
    </r>
    <r>
      <rPr>
        <sz val="10"/>
        <color rgb="FF16161A"/>
        <rFont val="Arial"/>
        <family val="2"/>
      </rPr>
      <t>r</t>
    </r>
    <r>
      <rPr>
        <sz val="10"/>
        <color rgb="FF3B3B3F"/>
        <rFont val="Arial"/>
        <family val="2"/>
      </rPr>
      <t>duga dalam ni</t>
    </r>
    <r>
      <rPr>
        <sz val="10"/>
        <color rgb="FF16161A"/>
        <rFont val="Arial"/>
        <family val="2"/>
      </rPr>
      <t>l</t>
    </r>
    <r>
      <rPr>
        <sz val="10"/>
        <color rgb="FF3B3B3F"/>
        <rFont val="Arial"/>
        <family val="2"/>
      </rPr>
      <t>ai lukar mala uang.</t>
    </r>
  </si>
  <si>
    <r>
      <rPr>
        <sz val="10"/>
        <color rgb="FF4D4D52"/>
        <rFont val="Arial"/>
        <family val="2"/>
      </rPr>
      <t xml:space="preserve">a.   </t>
    </r>
    <r>
      <rPr>
        <sz val="10"/>
        <color rgb="FF3B3B3F"/>
        <rFont val="Arial"/>
        <family val="2"/>
      </rPr>
      <t xml:space="preserve">Depresiasi </t>
    </r>
    <r>
      <rPr>
        <sz val="10"/>
        <color rgb="FF16161A"/>
        <rFont val="Arial"/>
        <family val="2"/>
      </rPr>
      <t>r</t>
    </r>
    <r>
      <rPr>
        <sz val="10"/>
        <color rgb="FF3B3B3F"/>
        <rFont val="Arial"/>
        <family val="2"/>
      </rPr>
      <t xml:space="preserve">upiah
</t>
    </r>
    <r>
      <rPr>
        <sz val="10"/>
        <color rgb="FF4D4D52"/>
        <rFont val="Arial"/>
        <family val="2"/>
      </rPr>
      <t xml:space="preserve">b.   </t>
    </r>
    <r>
      <rPr>
        <sz val="10"/>
        <color rgb="FF3B3B3F"/>
        <rFont val="Arial"/>
        <family val="2"/>
      </rPr>
      <t>F</t>
    </r>
    <r>
      <rPr>
        <sz val="10"/>
        <color rgb="FF16161A"/>
        <rFont val="Arial"/>
        <family val="2"/>
      </rPr>
      <t>l</t>
    </r>
    <r>
      <rPr>
        <sz val="10"/>
        <color rgb="FF3B3B3F"/>
        <rFont val="Arial"/>
        <family val="2"/>
      </rPr>
      <t xml:space="preserve">uktuasi </t>
    </r>
    <r>
      <rPr>
        <sz val="10"/>
        <color rgb="FF4D4D52"/>
        <rFont val="Arial"/>
        <family val="2"/>
      </rPr>
      <t xml:space="preserve">kurs </t>
    </r>
    <r>
      <rPr>
        <sz val="10"/>
        <color rgb="FF3B3B3F"/>
        <rFont val="Arial"/>
        <family val="2"/>
      </rPr>
      <t xml:space="preserve">lukar </t>
    </r>
    <r>
      <rPr>
        <sz val="10"/>
        <color rgb="FF16161A"/>
        <rFont val="Arial"/>
        <family val="2"/>
      </rPr>
      <t>r</t>
    </r>
    <r>
      <rPr>
        <sz val="10"/>
        <color rgb="FF3B3B3F"/>
        <rFont val="Arial"/>
        <family val="2"/>
      </rPr>
      <t xml:space="preserve">upiah
</t>
    </r>
    <r>
      <rPr>
        <sz val="10"/>
        <color rgb="FF4D4D52"/>
        <rFont val="Arial"/>
        <family val="2"/>
      </rPr>
      <t>C.     (dapa</t>
    </r>
    <r>
      <rPr>
        <sz val="10"/>
        <color rgb="FF262428"/>
        <rFont val="Arial"/>
        <family val="2"/>
      </rPr>
      <t xml:space="preserve">l  </t>
    </r>
    <r>
      <rPr>
        <sz val="10"/>
        <color rgb="FF3B3B3F"/>
        <rFont val="Arial"/>
        <family val="2"/>
      </rPr>
      <t>di</t>
    </r>
    <r>
      <rPr>
        <sz val="10"/>
        <color rgb="FF6D6D72"/>
        <rFont val="Arial"/>
        <family val="2"/>
      </rPr>
      <t>l</t>
    </r>
    <r>
      <rPr>
        <sz val="10"/>
        <color rgb="FF4D4D52"/>
        <rFont val="Arial"/>
        <family val="2"/>
      </rPr>
      <t xml:space="preserve">ambahkansesuai </t>
    </r>
    <r>
      <rPr>
        <sz val="10"/>
        <color rgb="FF3B3B3F"/>
        <rFont val="Arial"/>
        <family val="2"/>
      </rPr>
      <t>konteks perisliwa r</t>
    </r>
    <r>
      <rPr>
        <sz val="10"/>
        <color rgb="FF6D6D72"/>
        <rFont val="Arial"/>
        <family val="2"/>
      </rPr>
      <t>i</t>
    </r>
    <r>
      <rPr>
        <sz val="10"/>
        <color rgb="FF4D4D52"/>
        <rFont val="Arial"/>
        <family val="2"/>
      </rPr>
      <t xml:space="preserve">siko </t>
    </r>
    <r>
      <rPr>
        <sz val="10"/>
        <color rgb="FF3B3B3F"/>
        <rFont val="Arial"/>
        <family val="2"/>
      </rPr>
      <t xml:space="preserve">pada </t>
    </r>
    <r>
      <rPr>
        <sz val="10"/>
        <color rgb="FF4D4D52"/>
        <rFont val="Arial"/>
        <family val="2"/>
      </rPr>
      <t>sa</t>
    </r>
    <r>
      <rPr>
        <sz val="10"/>
        <color rgb="FF6D6D72"/>
        <rFont val="Arial"/>
        <family val="2"/>
      </rPr>
      <t>t</t>
    </r>
    <r>
      <rPr>
        <sz val="10"/>
        <color rgb="FF3B3B3F"/>
        <rFont val="Arial"/>
        <family val="2"/>
      </rPr>
      <t xml:space="preserve">uan </t>
    </r>
    <r>
      <rPr>
        <sz val="10"/>
        <color rgb="FF4D4D52"/>
        <rFont val="Arial"/>
        <family val="2"/>
      </rPr>
      <t>keria masinq-masinq</t>
    </r>
    <r>
      <rPr>
        <sz val="10"/>
        <color rgb="FF6D6D72"/>
        <rFont val="Arial"/>
        <family val="2"/>
      </rPr>
      <t>)</t>
    </r>
  </si>
  <si>
    <r>
      <rPr>
        <sz val="10"/>
        <color rgb="FF3B3B3F"/>
        <rFont val="Arial"/>
        <family val="2"/>
      </rPr>
      <t>Ris</t>
    </r>
    <r>
      <rPr>
        <sz val="10"/>
        <color rgb="FF16161A"/>
        <rFont val="Arial"/>
        <family val="2"/>
      </rPr>
      <t>i</t>
    </r>
    <r>
      <rPr>
        <sz val="10"/>
        <color rgb="FF3B3B3F"/>
        <rFont val="Arial"/>
        <family val="2"/>
      </rPr>
      <t>ko polilik &amp;
geopo</t>
    </r>
    <r>
      <rPr>
        <sz val="10"/>
        <color rgb="FF16161A"/>
        <rFont val="Arial"/>
        <family val="2"/>
      </rPr>
      <t>l</t>
    </r>
    <r>
      <rPr>
        <sz val="10"/>
        <color rgb="FF3B3B3F"/>
        <rFont val="Arial"/>
        <family val="2"/>
      </rPr>
      <t>it</t>
    </r>
    <r>
      <rPr>
        <sz val="10"/>
        <color rgb="FF16161A"/>
        <rFont val="Arial"/>
        <family val="2"/>
      </rPr>
      <t>i</t>
    </r>
    <r>
      <rPr>
        <sz val="10"/>
        <color rgb="FF3B3B3F"/>
        <rFont val="Arial"/>
        <family val="2"/>
      </rPr>
      <t>k</t>
    </r>
  </si>
  <si>
    <r>
      <rPr>
        <vertAlign val="superscript"/>
        <sz val="10"/>
        <color rgb="FF3B3B3F"/>
        <rFont val="Arial"/>
        <family val="2"/>
      </rPr>
      <t xml:space="preserve">Ketidakpastian     yang     berkaitan     dengan     </t>
    </r>
    <r>
      <rPr>
        <sz val="10"/>
        <color rgb="FF3B3B3F"/>
        <rFont val="Arial"/>
        <family val="2"/>
      </rPr>
      <t xml:space="preserve">tindakan
</t>
    </r>
    <r>
      <rPr>
        <sz val="10"/>
        <color rgb="FF262428"/>
        <rFont val="Arial"/>
        <family val="2"/>
      </rPr>
      <t xml:space="preserve">Pemerintah </t>
    </r>
    <r>
      <rPr>
        <sz val="10"/>
        <color rgb="FF3B3B3F"/>
        <rFont val="Arial"/>
        <family val="2"/>
      </rPr>
      <t>alau perubahan pol</t>
    </r>
    <r>
      <rPr>
        <sz val="10"/>
        <color rgb="FF16161A"/>
        <rFont val="Arial"/>
        <family val="2"/>
      </rPr>
      <t>i</t>
    </r>
    <r>
      <rPr>
        <sz val="10"/>
        <color rgb="FF4D4D52"/>
        <rFont val="Arial"/>
        <family val="2"/>
      </rPr>
      <t>t</t>
    </r>
    <r>
      <rPr>
        <sz val="10"/>
        <color rgb="FF16161A"/>
        <rFont val="Arial"/>
        <family val="2"/>
      </rPr>
      <t>i</t>
    </r>
    <r>
      <rPr>
        <sz val="10"/>
        <color rgb="FF3B3B3F"/>
        <rFont val="Arial"/>
        <family val="2"/>
      </rPr>
      <t xml:space="preserve">k </t>
    </r>
    <r>
      <rPr>
        <sz val="10"/>
        <color rgb="FF4D4D52"/>
        <rFont val="Arial"/>
        <family val="2"/>
      </rPr>
      <t xml:space="preserve">dan </t>
    </r>
    <r>
      <rPr>
        <sz val="10"/>
        <color rgb="FF262428"/>
        <rFont val="Arial"/>
        <family val="2"/>
      </rPr>
      <t xml:space="preserve">Risiko </t>
    </r>
    <r>
      <rPr>
        <sz val="10"/>
        <color rgb="FF3B3B3F"/>
        <rFont val="Arial"/>
        <family val="2"/>
      </rPr>
      <t xml:space="preserve">yang </t>
    </r>
    <r>
      <rPr>
        <sz val="10"/>
        <color rgb="FF4D4D52"/>
        <rFont val="Arial"/>
        <family val="2"/>
      </rPr>
      <t>berasa</t>
    </r>
    <r>
      <rPr>
        <sz val="10"/>
        <color rgb="FF16161A"/>
        <rFont val="Arial"/>
        <family val="2"/>
      </rPr>
      <t xml:space="preserve">l </t>
    </r>
    <r>
      <rPr>
        <sz val="10"/>
        <color rgb="FF3B3B3F"/>
        <rFont val="Arial"/>
        <family val="2"/>
      </rPr>
      <t xml:space="preserve">dari kelegangan  </t>
    </r>
    <r>
      <rPr>
        <sz val="10"/>
        <color rgb="FF4D4D52"/>
        <rFont val="Arial"/>
        <family val="2"/>
      </rPr>
      <t>anta</t>
    </r>
    <r>
      <rPr>
        <sz val="10"/>
        <color rgb="FF262428"/>
        <rFont val="Arial"/>
        <family val="2"/>
      </rPr>
      <t xml:space="preserve">rnegara </t>
    </r>
    <r>
      <rPr>
        <sz val="10"/>
        <color rgb="FF3B3B3F"/>
        <rFont val="Arial"/>
        <family val="2"/>
      </rPr>
      <t xml:space="preserve">atau  dalam  kawasan  yang dapal mempengaruhi pasar global </t>
    </r>
    <r>
      <rPr>
        <sz val="10"/>
        <color rgb="FF4D4D52"/>
        <rFont val="Arial"/>
        <family val="2"/>
      </rPr>
      <t xml:space="preserve">dan </t>
    </r>
    <r>
      <rPr>
        <sz val="10"/>
        <color rgb="FF3B3B3F"/>
        <rFont val="Arial"/>
        <family val="2"/>
      </rPr>
      <t>slabilitas ekonomi.</t>
    </r>
  </si>
  <si>
    <r>
      <rPr>
        <vertAlign val="superscript"/>
        <sz val="10"/>
        <color rgb="FF4D4D52"/>
        <rFont val="Arial"/>
        <family val="2"/>
      </rPr>
      <t xml:space="preserve">a.   </t>
    </r>
    <r>
      <rPr>
        <sz val="10"/>
        <color rgb="FF3B3B3F"/>
        <rFont val="Arial"/>
        <family val="2"/>
      </rPr>
      <t xml:space="preserve">Konflik   </t>
    </r>
    <r>
      <rPr>
        <vertAlign val="superscript"/>
        <sz val="10"/>
        <color rgb="FF4D4D52"/>
        <rFont val="Arial"/>
        <family val="2"/>
      </rPr>
      <t>pada   pem</t>
    </r>
    <r>
      <rPr>
        <vertAlign val="superscript"/>
        <sz val="10"/>
        <color rgb="FF262428"/>
        <rFont val="Arial"/>
        <family val="2"/>
      </rPr>
      <t>ilih</t>
    </r>
    <r>
      <rPr>
        <vertAlign val="superscript"/>
        <sz val="10"/>
        <color rgb="FF4D4D52"/>
        <rFont val="Arial"/>
        <family val="2"/>
      </rPr>
      <t xml:space="preserve">an   </t>
    </r>
    <r>
      <rPr>
        <vertAlign val="superscript"/>
        <sz val="10"/>
        <color rgb="FF262428"/>
        <rFont val="Arial"/>
        <family val="2"/>
      </rPr>
      <t>u</t>
    </r>
    <r>
      <rPr>
        <vertAlign val="superscript"/>
        <sz val="10"/>
        <color rgb="FF4D4D52"/>
        <rFont val="Arial"/>
        <family val="2"/>
      </rPr>
      <t xml:space="preserve">mum   pemimpin </t>
    </r>
    <r>
      <rPr>
        <sz val="10"/>
        <color rgb="FF3B3B3F"/>
        <rFont val="Arial"/>
        <family val="2"/>
      </rPr>
      <t>nega</t>
    </r>
    <r>
      <rPr>
        <sz val="10"/>
        <color rgb="FF16161A"/>
        <rFont val="Arial"/>
        <family val="2"/>
      </rPr>
      <t>r</t>
    </r>
    <r>
      <rPr>
        <sz val="10"/>
        <color rgb="FF3B3B3F"/>
        <rFont val="Arial"/>
        <family val="2"/>
      </rPr>
      <t>a atau pem</t>
    </r>
    <r>
      <rPr>
        <sz val="10"/>
        <color rgb="FF16161A"/>
        <rFont val="Arial"/>
        <family val="2"/>
      </rPr>
      <t>i</t>
    </r>
    <r>
      <rPr>
        <sz val="10"/>
        <color rgb="FF3B3B3F"/>
        <rFont val="Arial"/>
        <family val="2"/>
      </rPr>
      <t>mp</t>
    </r>
    <r>
      <rPr>
        <sz val="10"/>
        <color rgb="FF6D6D72"/>
        <rFont val="Arial"/>
        <family val="2"/>
      </rPr>
      <t>i</t>
    </r>
    <r>
      <rPr>
        <sz val="10"/>
        <color rgb="FF262428"/>
        <rFont val="Arial"/>
        <family val="2"/>
      </rPr>
      <t xml:space="preserve">n </t>
    </r>
    <r>
      <rPr>
        <sz val="10"/>
        <color rgb="FF3B3B3F"/>
        <rFont val="Arial"/>
        <family val="2"/>
      </rPr>
      <t xml:space="preserve">daerah
</t>
    </r>
    <r>
      <rPr>
        <sz val="10"/>
        <color rgb="FF4D4D52"/>
        <rFont val="Arial"/>
        <family val="2"/>
      </rPr>
      <t xml:space="preserve">b.   </t>
    </r>
    <r>
      <rPr>
        <vertAlign val="superscript"/>
        <sz val="10"/>
        <color rgb="FF3B3B3F"/>
        <rFont val="Arial"/>
        <family val="2"/>
      </rPr>
      <t xml:space="preserve">Kelegangan </t>
    </r>
    <r>
      <rPr>
        <vertAlign val="superscript"/>
        <sz val="10"/>
        <color rgb="FF4D4D52"/>
        <rFont val="Arial"/>
        <family val="2"/>
      </rPr>
      <t>geopolil</t>
    </r>
    <r>
      <rPr>
        <vertAlign val="superscript"/>
        <sz val="10"/>
        <color rgb="FF262428"/>
        <rFont val="Arial"/>
        <family val="2"/>
      </rPr>
      <t xml:space="preserve">ik </t>
    </r>
    <r>
      <rPr>
        <vertAlign val="superscript"/>
        <sz val="10"/>
        <color rgb="FF3B3B3F"/>
        <rFont val="Arial"/>
        <family val="2"/>
      </rPr>
      <t xml:space="preserve">di kawasan Asia
</t>
    </r>
    <r>
      <rPr>
        <sz val="10"/>
        <color rgb="FF4D4D52"/>
        <rFont val="Arial"/>
        <family val="2"/>
      </rPr>
      <t xml:space="preserve">C.      </t>
    </r>
    <r>
      <rPr>
        <vertAlign val="superscript"/>
        <sz val="10"/>
        <color rgb="FF4D4D52"/>
        <rFont val="Arial"/>
        <family val="2"/>
      </rPr>
      <t>(dapa</t>
    </r>
    <r>
      <rPr>
        <vertAlign val="superscript"/>
        <sz val="10"/>
        <color rgb="FF262428"/>
        <rFont val="Arial"/>
        <family val="2"/>
      </rPr>
      <t xml:space="preserve">t </t>
    </r>
    <r>
      <rPr>
        <vertAlign val="superscript"/>
        <sz val="10"/>
        <color rgb="FF3B3B3F"/>
        <rFont val="Arial"/>
        <family val="2"/>
      </rPr>
      <t xml:space="preserve">ditambahkan sesuai </t>
    </r>
    <r>
      <rPr>
        <vertAlign val="superscript"/>
        <sz val="10"/>
        <color rgb="FF4D4D52"/>
        <rFont val="Arial"/>
        <family val="2"/>
      </rPr>
      <t>kon</t>
    </r>
    <r>
      <rPr>
        <vertAlign val="superscript"/>
        <sz val="10"/>
        <color rgb="FF262428"/>
        <rFont val="Arial"/>
        <family val="2"/>
      </rPr>
      <t>t</t>
    </r>
    <r>
      <rPr>
        <vertAlign val="superscript"/>
        <sz val="10"/>
        <color rgb="FF4D4D52"/>
        <rFont val="Arial"/>
        <family val="2"/>
      </rPr>
      <t xml:space="preserve">eks </t>
    </r>
    <r>
      <rPr>
        <vertAlign val="superscript"/>
        <sz val="10"/>
        <color rgb="FF3B3B3F"/>
        <rFont val="Arial"/>
        <family val="2"/>
      </rPr>
      <t xml:space="preserve">peristiwa </t>
    </r>
    <r>
      <rPr>
        <sz val="10"/>
        <color rgb="FF3B3B3F"/>
        <rFont val="Arial"/>
        <family val="2"/>
      </rPr>
      <t>r</t>
    </r>
    <r>
      <rPr>
        <sz val="10"/>
        <color rgb="FF6D6D72"/>
        <rFont val="Arial"/>
        <family val="2"/>
      </rPr>
      <t>i</t>
    </r>
    <r>
      <rPr>
        <sz val="10"/>
        <color rgb="FF4D4D52"/>
        <rFont val="Arial"/>
        <family val="2"/>
      </rPr>
      <t xml:space="preserve">siko pada </t>
    </r>
    <r>
      <rPr>
        <sz val="10"/>
        <color rgb="FF3B3B3F"/>
        <rFont val="Arial"/>
        <family val="2"/>
      </rPr>
      <t>satuan keria masinq-masing)</t>
    </r>
  </si>
  <si>
    <r>
      <rPr>
        <sz val="10"/>
        <color rgb="FF3B3B3F"/>
        <rFont val="Arial"/>
        <family val="2"/>
      </rPr>
      <t xml:space="preserve">Risiko perdagangan
</t>
    </r>
    <r>
      <rPr>
        <sz val="10"/>
        <color rgb="FF262428"/>
        <rFont val="Arial"/>
        <family val="2"/>
      </rPr>
      <t>inlerna</t>
    </r>
    <r>
      <rPr>
        <sz val="10"/>
        <color rgb="FF4D4D52"/>
        <rFont val="Arial"/>
        <family val="2"/>
      </rPr>
      <t>s</t>
    </r>
    <r>
      <rPr>
        <sz val="10"/>
        <color rgb="FF262428"/>
        <rFont val="Arial"/>
        <family val="2"/>
      </rPr>
      <t>i</t>
    </r>
    <r>
      <rPr>
        <sz val="10"/>
        <color rgb="FF4D4D52"/>
        <rFont val="Arial"/>
        <family val="2"/>
      </rPr>
      <t>onal</t>
    </r>
  </si>
  <si>
    <r>
      <rPr>
        <vertAlign val="superscript"/>
        <sz val="10"/>
        <color rgb="FF3B3B3F"/>
        <rFont val="Arial"/>
        <family val="2"/>
      </rPr>
      <t xml:space="preserve">Ketidakpaslian   dan   potensi   </t>
    </r>
    <r>
      <rPr>
        <sz val="10"/>
        <color rgb="FF3B3B3F"/>
        <rFont val="Arial"/>
        <family val="2"/>
      </rPr>
      <t>masa</t>
    </r>
    <r>
      <rPr>
        <sz val="10"/>
        <color rgb="FF16161A"/>
        <rFont val="Arial"/>
        <family val="2"/>
      </rPr>
      <t>l</t>
    </r>
    <r>
      <rPr>
        <sz val="10"/>
        <color rgb="FF3B3B3F"/>
        <rFont val="Arial"/>
        <family val="2"/>
      </rPr>
      <t>ah   yang   dihadap</t>
    </r>
    <r>
      <rPr>
        <sz val="10"/>
        <color rgb="FF6D6D72"/>
        <rFont val="Arial"/>
        <family val="2"/>
      </rPr>
      <t xml:space="preserve">i
</t>
    </r>
    <r>
      <rPr>
        <sz val="10"/>
        <color rgb="FF3B3B3F"/>
        <rFont val="Arial"/>
        <family val="2"/>
      </rPr>
      <t xml:space="preserve">perusahaan dan </t>
    </r>
    <r>
      <rPr>
        <sz val="10"/>
        <color rgb="FF16161A"/>
        <rFont val="Arial"/>
        <family val="2"/>
      </rPr>
      <t>i</t>
    </r>
    <r>
      <rPr>
        <sz val="10"/>
        <color rgb="FF3B3B3F"/>
        <rFont val="Arial"/>
        <family val="2"/>
      </rPr>
      <t>nvestor ketika melak</t>
    </r>
    <r>
      <rPr>
        <sz val="10"/>
        <color rgb="FF16161A"/>
        <rFont val="Arial"/>
        <family val="2"/>
      </rPr>
      <t>u</t>
    </r>
    <r>
      <rPr>
        <sz val="10"/>
        <color rgb="FF3B3B3F"/>
        <rFont val="Arial"/>
        <family val="2"/>
      </rPr>
      <t xml:space="preserve">kan </t>
    </r>
    <r>
      <rPr>
        <sz val="10"/>
        <color rgb="FF262428"/>
        <rFont val="Arial"/>
        <family val="2"/>
      </rPr>
      <t>bi</t>
    </r>
    <r>
      <rPr>
        <sz val="10"/>
        <color rgb="FF4D4D52"/>
        <rFont val="Arial"/>
        <family val="2"/>
      </rPr>
      <t xml:space="preserve">snis </t>
    </r>
    <r>
      <rPr>
        <sz val="10"/>
        <color rgb="FF3B3B3F"/>
        <rFont val="Arial"/>
        <family val="2"/>
      </rPr>
      <t>di linlas negara.</t>
    </r>
  </si>
  <si>
    <r>
      <rPr>
        <sz val="10"/>
        <color rgb="FF4D4D52"/>
        <rFont val="Arial"/>
        <family val="2"/>
      </rPr>
      <t xml:space="preserve">a.   </t>
    </r>
    <r>
      <rPr>
        <sz val="10"/>
        <color rgb="FF3B3B3F"/>
        <rFont val="Arial"/>
        <family val="2"/>
      </rPr>
      <t xml:space="preserve">Perbedaan  </t>
    </r>
    <r>
      <rPr>
        <vertAlign val="superscript"/>
        <sz val="10"/>
        <color rgb="FF3B3B3F"/>
        <rFont val="Arial"/>
        <family val="2"/>
      </rPr>
      <t>regu</t>
    </r>
    <r>
      <rPr>
        <vertAlign val="superscript"/>
        <sz val="10"/>
        <color rgb="FF16161A"/>
        <rFont val="Arial"/>
        <family val="2"/>
      </rPr>
      <t>l</t>
    </r>
    <r>
      <rPr>
        <vertAlign val="superscript"/>
        <sz val="10"/>
        <color rgb="FF3B3B3F"/>
        <rFont val="Arial"/>
        <family val="2"/>
      </rPr>
      <t>asi  da</t>
    </r>
    <r>
      <rPr>
        <vertAlign val="superscript"/>
        <sz val="10"/>
        <color rgb="FF16161A"/>
        <rFont val="Arial"/>
        <family val="2"/>
      </rPr>
      <t>l</t>
    </r>
    <r>
      <rPr>
        <vertAlign val="superscript"/>
        <sz val="10"/>
        <color rgb="FF3B3B3F"/>
        <rFont val="Arial"/>
        <family val="2"/>
      </rPr>
      <t xml:space="preserve">am  </t>
    </r>
    <r>
      <rPr>
        <vertAlign val="superscript"/>
        <sz val="10"/>
        <color rgb="FF4D4D52"/>
        <rFont val="Arial"/>
        <family val="2"/>
      </rPr>
      <t>transaks</t>
    </r>
    <r>
      <rPr>
        <vertAlign val="superscript"/>
        <sz val="10"/>
        <color rgb="FF6D6D72"/>
        <rFont val="Arial"/>
        <family val="2"/>
      </rPr>
      <t xml:space="preserve">i  </t>
    </r>
    <r>
      <rPr>
        <vertAlign val="superscript"/>
        <sz val="10"/>
        <color rgb="FF4D4D52"/>
        <rFont val="Arial"/>
        <family val="2"/>
      </rPr>
      <t xml:space="preserve">antar
</t>
    </r>
    <r>
      <rPr>
        <sz val="10"/>
        <color rgb="FF3B3B3F"/>
        <rFont val="Arial"/>
        <family val="2"/>
      </rPr>
      <t>nega</t>
    </r>
    <r>
      <rPr>
        <sz val="10"/>
        <color rgb="FF16161A"/>
        <rFont val="Arial"/>
        <family val="2"/>
      </rPr>
      <t>r</t>
    </r>
    <r>
      <rPr>
        <sz val="10"/>
        <color rgb="FF3B3B3F"/>
        <rFont val="Arial"/>
        <family val="2"/>
      </rPr>
      <t>a
b</t>
    </r>
    <r>
      <rPr>
        <sz val="10"/>
        <color rgb="FF16161A"/>
        <rFont val="Arial"/>
        <family val="2"/>
      </rPr>
      <t xml:space="preserve">.    </t>
    </r>
    <r>
      <rPr>
        <sz val="10"/>
        <color rgb="FF3B3B3F"/>
        <rFont val="Arial"/>
        <family val="2"/>
      </rPr>
      <t>Kebijaka</t>
    </r>
    <r>
      <rPr>
        <sz val="10"/>
        <color rgb="FF16161A"/>
        <rFont val="Arial"/>
        <family val="2"/>
      </rPr>
      <t xml:space="preserve">n </t>
    </r>
    <r>
      <rPr>
        <sz val="10"/>
        <color rgb="FF4D4D52"/>
        <rFont val="Arial"/>
        <family val="2"/>
      </rPr>
      <t>p</t>
    </r>
    <r>
      <rPr>
        <sz val="10"/>
        <color rgb="FF16161A"/>
        <rFont val="Arial"/>
        <family val="2"/>
      </rPr>
      <t>r</t>
    </r>
    <r>
      <rPr>
        <sz val="10"/>
        <color rgb="FF4D4D52"/>
        <rFont val="Arial"/>
        <family val="2"/>
      </rPr>
      <t>ote</t>
    </r>
    <r>
      <rPr>
        <sz val="10"/>
        <color rgb="FF262428"/>
        <rFont val="Arial"/>
        <family val="2"/>
      </rPr>
      <t>k</t>
    </r>
    <r>
      <rPr>
        <sz val="10"/>
        <color rgb="FF4D4D52"/>
        <rFont val="Arial"/>
        <family val="2"/>
      </rPr>
      <t>sion</t>
    </r>
    <r>
      <rPr>
        <sz val="10"/>
        <color rgb="FF16161A"/>
        <rFont val="Arial"/>
        <family val="2"/>
      </rPr>
      <t>i</t>
    </r>
    <r>
      <rPr>
        <sz val="10"/>
        <color rgb="FF3B3B3F"/>
        <rFont val="Arial"/>
        <family val="2"/>
      </rPr>
      <t xml:space="preserve">sme
</t>
    </r>
    <r>
      <rPr>
        <sz val="10"/>
        <color rgb="FF4D4D52"/>
        <rFont val="Arial"/>
        <family val="2"/>
      </rPr>
      <t xml:space="preserve">C.     </t>
    </r>
    <r>
      <rPr>
        <vertAlign val="superscript"/>
        <sz val="10"/>
        <color rgb="FF4D4D52"/>
        <rFont val="Arial"/>
        <family val="2"/>
      </rPr>
      <t>(dapa</t>
    </r>
    <r>
      <rPr>
        <vertAlign val="superscript"/>
        <sz val="10"/>
        <color rgb="FF16161A"/>
        <rFont val="Arial"/>
        <family val="2"/>
      </rPr>
      <t xml:space="preserve">l  </t>
    </r>
    <r>
      <rPr>
        <vertAlign val="superscript"/>
        <sz val="10"/>
        <color rgb="FF3B3B3F"/>
        <rFont val="Arial"/>
        <family val="2"/>
      </rPr>
      <t xml:space="preserve">dilambahkan sesuai </t>
    </r>
    <r>
      <rPr>
        <vertAlign val="superscript"/>
        <sz val="10"/>
        <color rgb="FF4D4D52"/>
        <rFont val="Arial"/>
        <family val="2"/>
      </rPr>
      <t xml:space="preserve">konteks </t>
    </r>
    <r>
      <rPr>
        <vertAlign val="superscript"/>
        <sz val="10"/>
        <color rgb="FF3B3B3F"/>
        <rFont val="Arial"/>
        <family val="2"/>
      </rPr>
      <t xml:space="preserve">perisliwa </t>
    </r>
    <r>
      <rPr>
        <sz val="10"/>
        <color rgb="FF262428"/>
        <rFont val="Arial"/>
        <family val="2"/>
      </rPr>
      <t>r</t>
    </r>
    <r>
      <rPr>
        <sz val="10"/>
        <color rgb="FF6D6D72"/>
        <rFont val="Arial"/>
        <family val="2"/>
      </rPr>
      <t>i</t>
    </r>
    <r>
      <rPr>
        <sz val="10"/>
        <color rgb="FF4D4D52"/>
        <rFont val="Arial"/>
        <family val="2"/>
      </rPr>
      <t xml:space="preserve">siko </t>
    </r>
    <r>
      <rPr>
        <sz val="10"/>
        <color rgb="FF3B3B3F"/>
        <rFont val="Arial"/>
        <family val="2"/>
      </rPr>
      <t xml:space="preserve">pada </t>
    </r>
    <r>
      <rPr>
        <sz val="10"/>
        <color rgb="FF4D4D52"/>
        <rFont val="Arial"/>
        <family val="2"/>
      </rPr>
      <t>sa</t>
    </r>
    <r>
      <rPr>
        <sz val="10"/>
        <color rgb="FF6D6D72"/>
        <rFont val="Arial"/>
        <family val="2"/>
      </rPr>
      <t>l</t>
    </r>
    <r>
      <rPr>
        <sz val="10"/>
        <color rgb="FF4D4D52"/>
        <rFont val="Arial"/>
        <family val="2"/>
      </rPr>
      <t xml:space="preserve">uan </t>
    </r>
    <r>
      <rPr>
        <sz val="10"/>
        <color rgb="FF3B3B3F"/>
        <rFont val="Arial"/>
        <family val="2"/>
      </rPr>
      <t xml:space="preserve">kerja </t>
    </r>
    <r>
      <rPr>
        <sz val="10"/>
        <color rgb="FF4D4D52"/>
        <rFont val="Arial"/>
        <family val="2"/>
      </rPr>
      <t>masing-masing)</t>
    </r>
  </si>
  <si>
    <r>
      <rPr>
        <sz val="10"/>
        <color rgb="FF3B3B3F"/>
        <rFont val="Arial"/>
        <family val="2"/>
      </rPr>
      <t xml:space="preserve">Risiko </t>
    </r>
    <r>
      <rPr>
        <sz val="10"/>
        <color rgb="FF4D4D52"/>
        <rFont val="Arial"/>
        <family val="2"/>
      </rPr>
      <t xml:space="preserve">kebijakan
</t>
    </r>
    <r>
      <rPr>
        <sz val="10"/>
        <color rgb="FF3B3B3F"/>
        <rFont val="Arial"/>
        <family val="2"/>
      </rPr>
      <t xml:space="preserve">moneler </t>
    </r>
    <r>
      <rPr>
        <sz val="10"/>
        <color rgb="FF4D4D52"/>
        <rFont val="Arial"/>
        <family val="2"/>
      </rPr>
      <t xml:space="preserve">&amp;  </t>
    </r>
    <r>
      <rPr>
        <sz val="10"/>
        <color rgb="FF3B3B3F"/>
        <rFont val="Arial"/>
        <family val="2"/>
      </rPr>
      <t>fiskal</t>
    </r>
  </si>
  <si>
    <r>
      <rPr>
        <sz val="10"/>
        <color rgb="FF3B3B3F"/>
        <rFont val="Arial"/>
        <family val="2"/>
      </rPr>
      <t xml:space="preserve">Kelidakpastian </t>
    </r>
    <r>
      <rPr>
        <sz val="10"/>
        <color rgb="FF4D4D52"/>
        <rFont val="Arial"/>
        <family val="2"/>
      </rPr>
      <t xml:space="preserve">alau dampak </t>
    </r>
    <r>
      <rPr>
        <sz val="10"/>
        <color rgb="FF3B3B3F"/>
        <rFont val="Arial"/>
        <family val="2"/>
      </rPr>
      <t xml:space="preserve">negatif </t>
    </r>
    <r>
      <rPr>
        <sz val="10"/>
        <color rgb="FF4D4D52"/>
        <rFont val="Arial"/>
        <family val="2"/>
      </rPr>
      <t xml:space="preserve">yang </t>
    </r>
    <r>
      <rPr>
        <sz val="10"/>
        <color rgb="FF3B3B3F"/>
        <rFont val="Arial"/>
        <family val="2"/>
      </rPr>
      <t xml:space="preserve">diakibalkan </t>
    </r>
    <r>
      <rPr>
        <sz val="10"/>
        <color rgb="FF4D4D52"/>
        <rFont val="Arial"/>
        <family val="2"/>
      </rPr>
      <t xml:space="preserve">oleh </t>
    </r>
    <r>
      <rPr>
        <sz val="10"/>
        <color rgb="FF3B3B3F"/>
        <rFont val="Arial"/>
        <family val="2"/>
      </rPr>
      <t xml:space="preserve">perubahan dalam </t>
    </r>
    <r>
      <rPr>
        <sz val="10"/>
        <color rgb="FF4D4D52"/>
        <rFont val="Arial"/>
        <family val="2"/>
      </rPr>
      <t xml:space="preserve">kebijakan </t>
    </r>
    <r>
      <rPr>
        <sz val="10"/>
        <color rgb="FF3B3B3F"/>
        <rFont val="Arial"/>
        <family val="2"/>
      </rPr>
      <t xml:space="preserve">Pemerintah  </t>
    </r>
    <r>
      <rPr>
        <sz val="10"/>
        <color rgb="FF4D4D52"/>
        <rFont val="Arial"/>
        <family val="2"/>
      </rPr>
      <t xml:space="preserve">dan </t>
    </r>
    <r>
      <rPr>
        <sz val="10"/>
        <color rgb="FF3B3B3F"/>
        <rFont val="Arial"/>
        <family val="2"/>
      </rPr>
      <t xml:space="preserve">bank </t>
    </r>
    <r>
      <rPr>
        <sz val="10"/>
        <color rgb="FF4D4D52"/>
        <rFont val="Arial"/>
        <family val="2"/>
      </rPr>
      <t>se</t>
    </r>
    <r>
      <rPr>
        <sz val="10"/>
        <color rgb="FF262428"/>
        <rFont val="Arial"/>
        <family val="2"/>
      </rPr>
      <t>nl</t>
    </r>
    <r>
      <rPr>
        <sz val="10"/>
        <color rgb="FF4D4D52"/>
        <rFont val="Arial"/>
        <family val="2"/>
      </rPr>
      <t xml:space="preserve">ral </t>
    </r>
    <r>
      <rPr>
        <sz val="10"/>
        <color rgb="FF3B3B3F"/>
        <rFont val="Arial"/>
        <family val="2"/>
      </rPr>
      <t xml:space="preserve">yang mempengaruhi kondisi </t>
    </r>
    <r>
      <rPr>
        <sz val="10"/>
        <color rgb="FF4D4D52"/>
        <rFont val="Arial"/>
        <family val="2"/>
      </rPr>
      <t>ekonomi secara kese</t>
    </r>
    <r>
      <rPr>
        <sz val="10"/>
        <color rgb="FF262428"/>
        <rFont val="Arial"/>
        <family val="2"/>
      </rPr>
      <t>luruh</t>
    </r>
    <r>
      <rPr>
        <sz val="10"/>
        <color rgb="FF4D4D52"/>
        <rFont val="Arial"/>
        <family val="2"/>
      </rPr>
      <t>an.</t>
    </r>
  </si>
  <si>
    <r>
      <rPr>
        <sz val="10"/>
        <color rgb="FF4D4D52"/>
        <rFont val="Arial"/>
        <family val="2"/>
      </rPr>
      <t xml:space="preserve">a.   </t>
    </r>
    <r>
      <rPr>
        <sz val="10"/>
        <color rgb="FF3B3B3F"/>
        <rFont val="Arial"/>
        <family val="2"/>
      </rPr>
      <t xml:space="preserve">Perubahan </t>
    </r>
    <r>
      <rPr>
        <sz val="10"/>
        <color rgb="FF4D4D52"/>
        <rFont val="Arial"/>
        <family val="2"/>
      </rPr>
      <t>kebijakan moneter
b</t>
    </r>
    <r>
      <rPr>
        <sz val="10"/>
        <color rgb="FF262428"/>
        <rFont val="Arial"/>
        <family val="2"/>
      </rPr>
      <t xml:space="preserve">.   </t>
    </r>
    <r>
      <rPr>
        <vertAlign val="superscript"/>
        <sz val="10"/>
        <color rgb="FF3B3B3F"/>
        <rFont val="Arial"/>
        <family val="2"/>
      </rPr>
      <t xml:space="preserve">Perubahan </t>
    </r>
    <r>
      <rPr>
        <vertAlign val="superscript"/>
        <sz val="10"/>
        <color rgb="FF4D4D52"/>
        <rFont val="Arial"/>
        <family val="2"/>
      </rPr>
      <t xml:space="preserve">kebijakan </t>
    </r>
    <r>
      <rPr>
        <vertAlign val="superscript"/>
        <sz val="10"/>
        <color rgb="FF3B3B3F"/>
        <rFont val="Arial"/>
        <family val="2"/>
      </rPr>
      <t xml:space="preserve">fiskal </t>
    </r>
    <r>
      <rPr>
        <vertAlign val="superscript"/>
        <sz val="10"/>
        <color rgb="FF4D4D52"/>
        <rFont val="Arial"/>
        <family val="2"/>
      </rPr>
      <t xml:space="preserve">pemerintah
</t>
    </r>
    <r>
      <rPr>
        <sz val="10"/>
        <color rgb="FF3B3B3F"/>
        <rFont val="Arial"/>
        <family val="2"/>
      </rPr>
      <t>C.     (dapa</t>
    </r>
    <r>
      <rPr>
        <sz val="10"/>
        <color rgb="FF16161A"/>
        <rFont val="Arial"/>
        <family val="2"/>
      </rPr>
      <t xml:space="preserve">l </t>
    </r>
    <r>
      <rPr>
        <sz val="10"/>
        <color rgb="FF3B3B3F"/>
        <rFont val="Arial"/>
        <family val="2"/>
      </rPr>
      <t>d</t>
    </r>
    <r>
      <rPr>
        <sz val="10"/>
        <color rgb="FF16161A"/>
        <rFont val="Arial"/>
        <family val="2"/>
      </rPr>
      <t>i</t>
    </r>
    <r>
      <rPr>
        <sz val="10"/>
        <color rgb="FF4D4D52"/>
        <rFont val="Arial"/>
        <family val="2"/>
      </rPr>
      <t>l ambahkan</t>
    </r>
    <r>
      <rPr>
        <sz val="10"/>
        <color rgb="FF3B3B3F"/>
        <rFont val="Arial"/>
        <family val="2"/>
      </rPr>
      <t xml:space="preserve">sesuai konteks peristiwa </t>
    </r>
    <r>
      <rPr>
        <sz val="10"/>
        <color rgb="FF262428"/>
        <rFont val="Arial"/>
        <family val="2"/>
      </rPr>
      <t>r</t>
    </r>
    <r>
      <rPr>
        <sz val="10"/>
        <color rgb="FF4D4D52"/>
        <rFont val="Arial"/>
        <family val="2"/>
      </rPr>
      <t xml:space="preserve">isiko </t>
    </r>
    <r>
      <rPr>
        <sz val="10"/>
        <color rgb="FF3B3B3F"/>
        <rFont val="Arial"/>
        <family val="2"/>
      </rPr>
      <t xml:space="preserve">pada </t>
    </r>
    <r>
      <rPr>
        <sz val="10"/>
        <color rgb="FF4D4D52"/>
        <rFont val="Arial"/>
        <family val="2"/>
      </rPr>
      <t>salua</t>
    </r>
    <r>
      <rPr>
        <sz val="10"/>
        <color rgb="FF16161A"/>
        <rFont val="Arial"/>
        <family val="2"/>
      </rPr>
      <t xml:space="preserve">n </t>
    </r>
    <r>
      <rPr>
        <sz val="10"/>
        <color rgb="FF3B3B3F"/>
        <rFont val="Arial"/>
        <family val="2"/>
      </rPr>
      <t>kerja masing-mas</t>
    </r>
    <r>
      <rPr>
        <sz val="10"/>
        <color rgb="FF16161A"/>
        <rFont val="Arial"/>
        <family val="2"/>
      </rPr>
      <t>in</t>
    </r>
    <r>
      <rPr>
        <sz val="10"/>
        <color rgb="FF3B3B3F"/>
        <rFont val="Arial"/>
        <family val="2"/>
      </rPr>
      <t>g)</t>
    </r>
  </si>
  <si>
    <r>
      <rPr>
        <sz val="10"/>
        <color rgb="FF3B3B3F"/>
        <rFont val="Arial"/>
        <family val="2"/>
      </rPr>
      <t>Risiko asurans</t>
    </r>
    <r>
      <rPr>
        <sz val="10"/>
        <color rgb="FF16161A"/>
        <rFont val="Arial"/>
        <family val="2"/>
      </rPr>
      <t>i</t>
    </r>
  </si>
  <si>
    <r>
      <rPr>
        <sz val="10"/>
        <color rgb="FF3B3B3F"/>
        <rFont val="Arial"/>
        <family val="2"/>
      </rPr>
      <t xml:space="preserve">Ketidakpastian alau potensi kerugian </t>
    </r>
    <r>
      <rPr>
        <sz val="10"/>
        <color rgb="FF4D4D52"/>
        <rFont val="Arial"/>
        <family val="2"/>
      </rPr>
      <t xml:space="preserve">yang </t>
    </r>
    <r>
      <rPr>
        <sz val="10"/>
        <color rgb="FF3B3B3F"/>
        <rFont val="Arial"/>
        <family val="2"/>
      </rPr>
      <t xml:space="preserve">lerkail dengan
</t>
    </r>
    <r>
      <rPr>
        <vertAlign val="superscript"/>
        <sz val="10"/>
        <color rgb="FF3B3B3F"/>
        <rFont val="Arial"/>
        <family val="2"/>
      </rPr>
      <t>pol</t>
    </r>
    <r>
      <rPr>
        <vertAlign val="superscript"/>
        <sz val="10"/>
        <color rgb="FF16161A"/>
        <rFont val="Arial"/>
        <family val="2"/>
      </rPr>
      <t>i</t>
    </r>
    <r>
      <rPr>
        <vertAlign val="superscript"/>
        <sz val="10"/>
        <color rgb="FF4D4D52"/>
        <rFont val="Arial"/>
        <family val="2"/>
      </rPr>
      <t xml:space="preserve">s   </t>
    </r>
    <r>
      <rPr>
        <sz val="10"/>
        <color rgb="FF3B3B3F"/>
        <rFont val="Arial"/>
        <family val="2"/>
      </rPr>
      <t>asu</t>
    </r>
    <r>
      <rPr>
        <sz val="10"/>
        <color rgb="FF16161A"/>
        <rFont val="Arial"/>
        <family val="2"/>
      </rPr>
      <t>r</t>
    </r>
    <r>
      <rPr>
        <sz val="10"/>
        <color rgb="FF3B3B3F"/>
        <rFont val="Arial"/>
        <family val="2"/>
      </rPr>
      <t>ansi   yang   di</t>
    </r>
    <r>
      <rPr>
        <sz val="10"/>
        <color rgb="FF16161A"/>
        <rFont val="Arial"/>
        <family val="2"/>
      </rPr>
      <t>m</t>
    </r>
    <r>
      <rPr>
        <sz val="10"/>
        <color rgb="FF4D4D52"/>
        <rFont val="Arial"/>
        <family val="2"/>
      </rPr>
      <t xml:space="preserve">iliki   </t>
    </r>
    <r>
      <rPr>
        <sz val="10"/>
        <color rgb="FF3B3B3F"/>
        <rFont val="Arial"/>
        <family val="2"/>
      </rPr>
      <t>alau   d</t>
    </r>
    <r>
      <rPr>
        <sz val="10"/>
        <color rgb="FF16161A"/>
        <rFont val="Arial"/>
        <family val="2"/>
      </rPr>
      <t>i</t>
    </r>
    <r>
      <rPr>
        <sz val="10"/>
        <color rgb="FF3B3B3F"/>
        <rFont val="Arial"/>
        <family val="2"/>
      </rPr>
      <t xml:space="preserve">operasikan  </t>
    </r>
    <r>
      <rPr>
        <sz val="10"/>
        <color rgb="FF4D4D52"/>
        <rFont val="Arial"/>
        <family val="2"/>
      </rPr>
      <t>oleh perusahaan.</t>
    </r>
  </si>
  <si>
    <r>
      <rPr>
        <sz val="10"/>
        <color rgb="FF3B3B3F"/>
        <rFont val="Arial"/>
        <family val="2"/>
      </rPr>
      <t xml:space="preserve">a.   </t>
    </r>
    <r>
      <rPr>
        <sz val="10"/>
        <color rgb="FF262428"/>
        <rFont val="Arial"/>
        <family val="2"/>
      </rPr>
      <t>P</t>
    </r>
    <r>
      <rPr>
        <sz val="10"/>
        <color rgb="FF4D4D52"/>
        <rFont val="Arial"/>
        <family val="2"/>
      </rPr>
      <t xml:space="preserve">enolakan </t>
    </r>
    <r>
      <rPr>
        <sz val="10"/>
        <color rgb="FF3B3B3F"/>
        <rFont val="Arial"/>
        <family val="2"/>
      </rPr>
      <t>k</t>
    </r>
    <r>
      <rPr>
        <sz val="10"/>
        <color rgb="FF16161A"/>
        <rFont val="Arial"/>
        <family val="2"/>
      </rPr>
      <t>l</t>
    </r>
    <r>
      <rPr>
        <sz val="10"/>
        <color rgb="FF3B3B3F"/>
        <rFont val="Arial"/>
        <family val="2"/>
      </rPr>
      <t>a</t>
    </r>
    <r>
      <rPr>
        <sz val="10"/>
        <color rgb="FF16161A"/>
        <rFont val="Arial"/>
        <family val="2"/>
      </rPr>
      <t>i</t>
    </r>
    <r>
      <rPr>
        <sz val="10"/>
        <color rgb="FF3B3B3F"/>
        <rFont val="Arial"/>
        <family val="2"/>
      </rPr>
      <t xml:space="preserve">m asuransi
</t>
    </r>
    <r>
      <rPr>
        <sz val="10"/>
        <color rgb="FF4D4D52"/>
        <rFont val="Arial"/>
        <family val="2"/>
      </rPr>
      <t xml:space="preserve">b.   </t>
    </r>
    <r>
      <rPr>
        <sz val="10"/>
        <color rgb="FF3B3B3F"/>
        <rFont val="Arial"/>
        <family val="2"/>
      </rPr>
      <t xml:space="preserve">Peningkalan </t>
    </r>
    <r>
      <rPr>
        <sz val="10"/>
        <color rgb="FF4D4D52"/>
        <rFont val="Arial"/>
        <family val="2"/>
      </rPr>
      <t>prem</t>
    </r>
    <r>
      <rPr>
        <sz val="10"/>
        <color rgb="FF16161A"/>
        <rFont val="Arial"/>
        <family val="2"/>
      </rPr>
      <t xml:space="preserve">i </t>
    </r>
    <r>
      <rPr>
        <sz val="10"/>
        <color rgb="FF3B3B3F"/>
        <rFont val="Arial"/>
        <family val="2"/>
      </rPr>
      <t xml:space="preserve">asuransi
</t>
    </r>
    <r>
      <rPr>
        <sz val="10"/>
        <color rgb="FF4D4D52"/>
        <rFont val="Arial"/>
        <family val="2"/>
      </rPr>
      <t xml:space="preserve">C.      </t>
    </r>
    <r>
      <rPr>
        <vertAlign val="superscript"/>
        <sz val="10"/>
        <color rgb="FF4D4D52"/>
        <rFont val="Arial"/>
        <family val="2"/>
      </rPr>
      <t>(dapa</t>
    </r>
    <r>
      <rPr>
        <vertAlign val="superscript"/>
        <sz val="10"/>
        <color rgb="FF262428"/>
        <rFont val="Arial"/>
        <family val="2"/>
      </rPr>
      <t xml:space="preserve">l </t>
    </r>
    <r>
      <rPr>
        <vertAlign val="superscript"/>
        <sz val="10"/>
        <color rgb="FF4D4D52"/>
        <rFont val="Arial"/>
        <family val="2"/>
      </rPr>
      <t>ditambahkan ses</t>
    </r>
    <r>
      <rPr>
        <vertAlign val="superscript"/>
        <sz val="10"/>
        <color rgb="FF262428"/>
        <rFont val="Arial"/>
        <family val="2"/>
      </rPr>
      <t xml:space="preserve">uai </t>
    </r>
    <r>
      <rPr>
        <vertAlign val="superscript"/>
        <sz val="10"/>
        <color rgb="FF4D4D52"/>
        <rFont val="Arial"/>
        <family val="2"/>
      </rPr>
      <t>konteks per</t>
    </r>
    <r>
      <rPr>
        <vertAlign val="superscript"/>
        <sz val="10"/>
        <color rgb="FF6D6D72"/>
        <rFont val="Arial"/>
        <family val="2"/>
      </rPr>
      <t>i</t>
    </r>
    <r>
      <rPr>
        <vertAlign val="superscript"/>
        <sz val="10"/>
        <color rgb="FF4D4D52"/>
        <rFont val="Arial"/>
        <family val="2"/>
      </rPr>
      <t>stiw</t>
    </r>
    <r>
      <rPr>
        <vertAlign val="superscript"/>
        <sz val="10"/>
        <color rgb="FF6D6D72"/>
        <rFont val="Arial"/>
        <family val="2"/>
      </rPr>
      <t xml:space="preserve">a </t>
    </r>
    <r>
      <rPr>
        <sz val="10"/>
        <color rgb="FF3B3B3F"/>
        <rFont val="Arial"/>
        <family val="2"/>
      </rPr>
      <t>r</t>
    </r>
    <r>
      <rPr>
        <sz val="10"/>
        <color rgb="FF6D6D72"/>
        <rFont val="Arial"/>
        <family val="2"/>
      </rPr>
      <t>i</t>
    </r>
    <r>
      <rPr>
        <sz val="10"/>
        <color rgb="FF3B3B3F"/>
        <rFont val="Arial"/>
        <family val="2"/>
      </rPr>
      <t xml:space="preserve">siko pada </t>
    </r>
    <r>
      <rPr>
        <sz val="10"/>
        <color rgb="FF4D4D52"/>
        <rFont val="Arial"/>
        <family val="2"/>
      </rPr>
      <t xml:space="preserve">satuan </t>
    </r>
    <r>
      <rPr>
        <sz val="10"/>
        <color rgb="FF3B3B3F"/>
        <rFont val="Arial"/>
        <family val="2"/>
      </rPr>
      <t>keria masinq-masing)</t>
    </r>
  </si>
  <si>
    <r>
      <rPr>
        <sz val="10"/>
        <color rgb="FF3B3B3F"/>
        <rFont val="Arial"/>
        <family val="2"/>
      </rPr>
      <t>Risiko pendanaan</t>
    </r>
  </si>
  <si>
    <r>
      <rPr>
        <sz val="10"/>
        <color rgb="FF3B3B3F"/>
        <rFont val="Arial"/>
        <family val="2"/>
      </rPr>
      <t>Risiko terka</t>
    </r>
    <r>
      <rPr>
        <sz val="10"/>
        <color rgb="FF16161A"/>
        <rFont val="Arial"/>
        <family val="2"/>
      </rPr>
      <t>i</t>
    </r>
    <r>
      <rPr>
        <sz val="10"/>
        <color rgb="FF3B3B3F"/>
        <rFont val="Arial"/>
        <family val="2"/>
      </rPr>
      <t xml:space="preserve">t dengan </t>
    </r>
    <r>
      <rPr>
        <sz val="10"/>
        <color rgb="FF4D4D52"/>
        <rFont val="Arial"/>
        <family val="2"/>
      </rPr>
      <t>st</t>
    </r>
    <r>
      <rPr>
        <sz val="10"/>
        <color rgb="FF262428"/>
        <rFont val="Arial"/>
        <family val="2"/>
      </rPr>
      <t>ru</t>
    </r>
    <r>
      <rPr>
        <sz val="10"/>
        <color rgb="FF4D4D52"/>
        <rFont val="Arial"/>
        <family val="2"/>
      </rPr>
      <t>k</t>
    </r>
    <r>
      <rPr>
        <sz val="10"/>
        <color rgb="FF262428"/>
        <rFont val="Arial"/>
        <family val="2"/>
      </rPr>
      <t xml:space="preserve">tur </t>
    </r>
    <r>
      <rPr>
        <sz val="10"/>
        <color rgb="FF3B3B3F"/>
        <rFont val="Arial"/>
        <family val="2"/>
      </rPr>
      <t xml:space="preserve">pendanaan </t>
    </r>
    <r>
      <rPr>
        <sz val="10"/>
        <color rgb="FF262428"/>
        <rFont val="Arial"/>
        <family val="2"/>
      </rPr>
      <t xml:space="preserve">dan </t>
    </r>
    <r>
      <rPr>
        <sz val="10"/>
        <color rgb="FF3B3B3F"/>
        <rFont val="Arial"/>
        <family val="2"/>
      </rPr>
      <t>kemampuan perusa</t>
    </r>
    <r>
      <rPr>
        <sz val="10"/>
        <color rgb="FF16161A"/>
        <rFont val="Arial"/>
        <family val="2"/>
      </rPr>
      <t>h</t>
    </r>
    <r>
      <rPr>
        <sz val="10"/>
        <color rgb="FF3B3B3F"/>
        <rFont val="Arial"/>
        <family val="2"/>
      </rPr>
      <t>aan  unluk  mendapalka</t>
    </r>
    <r>
      <rPr>
        <sz val="10"/>
        <color rgb="FF16161A"/>
        <rFont val="Arial"/>
        <family val="2"/>
      </rPr>
      <t xml:space="preserve">n  </t>
    </r>
    <r>
      <rPr>
        <sz val="10"/>
        <color rgb="FF3B3B3F"/>
        <rFont val="Arial"/>
        <family val="2"/>
      </rPr>
      <t>dana  yang  diperlu</t>
    </r>
    <r>
      <rPr>
        <sz val="10"/>
        <color rgb="FF16161A"/>
        <rFont val="Arial"/>
        <family val="2"/>
      </rPr>
      <t>k</t>
    </r>
    <r>
      <rPr>
        <sz val="10"/>
        <color rgb="FF3B3B3F"/>
        <rFont val="Arial"/>
        <family val="2"/>
      </rPr>
      <t>an unluk operasinya dan untuk memenuhi klausu</t>
    </r>
    <r>
      <rPr>
        <sz val="10"/>
        <color rgb="FF16161A"/>
        <rFont val="Arial"/>
        <family val="2"/>
      </rPr>
      <t xml:space="preserve">l </t>
    </r>
    <r>
      <rPr>
        <sz val="10"/>
        <color rgb="FF3B3B3F"/>
        <rFont val="Arial"/>
        <family val="2"/>
      </rPr>
      <t>pe</t>
    </r>
    <r>
      <rPr>
        <sz val="10"/>
        <color rgb="FF16161A"/>
        <rFont val="Arial"/>
        <family val="2"/>
      </rPr>
      <t>r</t>
    </r>
    <r>
      <rPr>
        <sz val="10"/>
        <color rgb="FF4D4D52"/>
        <rFont val="Arial"/>
        <family val="2"/>
      </rPr>
      <t>janjia</t>
    </r>
    <r>
      <rPr>
        <sz val="10"/>
        <color rgb="FF262428"/>
        <rFont val="Arial"/>
        <family val="2"/>
      </rPr>
      <t xml:space="preserve">n </t>
    </r>
    <r>
      <rPr>
        <sz val="10"/>
        <color rgb="FF4D4D52"/>
        <rFont val="Arial"/>
        <family val="2"/>
      </rPr>
      <t>pendanaan.</t>
    </r>
  </si>
  <si>
    <r>
      <rPr>
        <sz val="10"/>
        <color rgb="FF4D4D52"/>
        <rFont val="Arial"/>
        <family val="2"/>
      </rPr>
      <t xml:space="preserve">a.   </t>
    </r>
    <r>
      <rPr>
        <vertAlign val="superscript"/>
        <sz val="10"/>
        <color rgb="FF262428"/>
        <rFont val="Arial"/>
        <family val="2"/>
      </rPr>
      <t>P</t>
    </r>
    <r>
      <rPr>
        <vertAlign val="superscript"/>
        <sz val="10"/>
        <color rgb="FF4D4D52"/>
        <rFont val="Arial"/>
        <family val="2"/>
      </rPr>
      <t>enu</t>
    </r>
    <r>
      <rPr>
        <vertAlign val="superscript"/>
        <sz val="10"/>
        <color rgb="FF262428"/>
        <rFont val="Arial"/>
        <family val="2"/>
      </rPr>
      <t>run</t>
    </r>
    <r>
      <rPr>
        <vertAlign val="superscript"/>
        <sz val="10"/>
        <color rgb="FF4D4D52"/>
        <rFont val="Arial"/>
        <family val="2"/>
      </rPr>
      <t xml:space="preserve">an </t>
    </r>
    <r>
      <rPr>
        <vertAlign val="superscript"/>
        <sz val="10"/>
        <color rgb="FF3B3B3F"/>
        <rFont val="Arial"/>
        <family val="2"/>
      </rPr>
      <t xml:space="preserve">kemampuan  </t>
    </r>
    <r>
      <rPr>
        <vertAlign val="superscript"/>
        <sz val="10"/>
        <color rgb="FF4D4D52"/>
        <rFont val="Arial"/>
        <family val="2"/>
      </rPr>
      <t>mendapa</t>
    </r>
    <r>
      <rPr>
        <vertAlign val="superscript"/>
        <sz val="10"/>
        <color rgb="FF262428"/>
        <rFont val="Arial"/>
        <family val="2"/>
      </rPr>
      <t xml:space="preserve">lkan  </t>
    </r>
    <r>
      <rPr>
        <vertAlign val="superscript"/>
        <sz val="10"/>
        <color rgb="FF3B3B3F"/>
        <rFont val="Arial"/>
        <family val="2"/>
      </rPr>
      <t xml:space="preserve">dana </t>
    </r>
    <r>
      <rPr>
        <sz val="10"/>
        <color rgb="FF262428"/>
        <rFont val="Arial"/>
        <family val="2"/>
      </rPr>
      <t xml:space="preserve">melalui </t>
    </r>
    <r>
      <rPr>
        <sz val="10"/>
        <color rgb="FF3B3B3F"/>
        <rFont val="Arial"/>
        <family val="2"/>
      </rPr>
      <t xml:space="preserve">pasar </t>
    </r>
    <r>
      <rPr>
        <sz val="10"/>
        <color rgb="FF262428"/>
        <rFont val="Arial"/>
        <family val="2"/>
      </rPr>
      <t xml:space="preserve">modal
</t>
    </r>
    <r>
      <rPr>
        <sz val="10"/>
        <color rgb="FF3B3B3F"/>
        <rFont val="Arial"/>
        <family val="2"/>
      </rPr>
      <t>b.   Kegagalan    memenuhi    klausul    perjanjian penda</t>
    </r>
    <r>
      <rPr>
        <sz val="10"/>
        <color rgb="FF16161A"/>
        <rFont val="Arial"/>
        <family val="2"/>
      </rPr>
      <t>n</t>
    </r>
    <r>
      <rPr>
        <sz val="10"/>
        <color rgb="FF3B3B3F"/>
        <rFont val="Arial"/>
        <family val="2"/>
      </rPr>
      <t xml:space="preserve">aan </t>
    </r>
    <r>
      <rPr>
        <i/>
        <sz val="10"/>
        <color rgb="FF4D4D52"/>
        <rFont val="Arial"/>
        <family val="2"/>
      </rPr>
      <t xml:space="preserve">green financing
</t>
    </r>
    <r>
      <rPr>
        <sz val="10"/>
        <color rgb="FF4D4D52"/>
        <rFont val="Arial"/>
        <family val="2"/>
      </rPr>
      <t xml:space="preserve">C.     </t>
    </r>
    <r>
      <rPr>
        <vertAlign val="superscript"/>
        <sz val="10"/>
        <color rgb="FF4D4D52"/>
        <rFont val="Arial"/>
        <family val="2"/>
      </rPr>
      <t>(dapa</t>
    </r>
    <r>
      <rPr>
        <vertAlign val="superscript"/>
        <sz val="10"/>
        <color rgb="FF262428"/>
        <rFont val="Arial"/>
        <family val="2"/>
      </rPr>
      <t xml:space="preserve">l </t>
    </r>
    <r>
      <rPr>
        <vertAlign val="superscript"/>
        <sz val="10"/>
        <color rgb="FF3B3B3F"/>
        <rFont val="Arial"/>
        <family val="2"/>
      </rPr>
      <t xml:space="preserve">dilambahkan sesuai </t>
    </r>
    <r>
      <rPr>
        <vertAlign val="superscript"/>
        <sz val="10"/>
        <color rgb="FF4D4D52"/>
        <rFont val="Arial"/>
        <family val="2"/>
      </rPr>
      <t>konleks perisl</t>
    </r>
    <r>
      <rPr>
        <vertAlign val="superscript"/>
        <sz val="10"/>
        <color rgb="FF262428"/>
        <rFont val="Arial"/>
        <family val="2"/>
      </rPr>
      <t>i</t>
    </r>
    <r>
      <rPr>
        <vertAlign val="superscript"/>
        <sz val="10"/>
        <color rgb="FF4D4D52"/>
        <rFont val="Arial"/>
        <family val="2"/>
      </rPr>
      <t xml:space="preserve">wa </t>
    </r>
    <r>
      <rPr>
        <sz val="10"/>
        <color rgb="FF3B3B3F"/>
        <rFont val="Arial"/>
        <family val="2"/>
      </rPr>
      <t xml:space="preserve">risiko pada </t>
    </r>
    <r>
      <rPr>
        <sz val="10"/>
        <color rgb="FF4D4D52"/>
        <rFont val="Arial"/>
        <family val="2"/>
      </rPr>
      <t xml:space="preserve">saluan </t>
    </r>
    <r>
      <rPr>
        <sz val="10"/>
        <color rgb="FF3B3B3F"/>
        <rFont val="Arial"/>
        <family val="2"/>
      </rPr>
      <t>kerja masing</t>
    </r>
    <r>
      <rPr>
        <sz val="10"/>
        <color rgb="FF16161A"/>
        <rFont val="Arial"/>
        <family val="2"/>
      </rPr>
      <t>-</t>
    </r>
    <r>
      <rPr>
        <sz val="10"/>
        <color rgb="FF4D4D52"/>
        <rFont val="Arial"/>
        <family val="2"/>
      </rPr>
      <t>masing)</t>
    </r>
  </si>
  <si>
    <r>
      <rPr>
        <sz val="10"/>
        <color rgb="FF313134"/>
        <rFont val="Arial"/>
        <family val="2"/>
      </rPr>
      <t xml:space="preserve">Risiko </t>
    </r>
    <r>
      <rPr>
        <sz val="10"/>
        <color rgb="FF413F44"/>
        <rFont val="Arial"/>
        <family val="2"/>
      </rPr>
      <t>pe</t>
    </r>
    <r>
      <rPr>
        <sz val="10"/>
        <color rgb="FF1D1D21"/>
        <rFont val="Arial"/>
        <family val="2"/>
      </rPr>
      <t>rp</t>
    </r>
    <r>
      <rPr>
        <sz val="10"/>
        <color rgb="FF413F44"/>
        <rFont val="Arial"/>
        <family val="2"/>
      </rPr>
      <t>a</t>
    </r>
    <r>
      <rPr>
        <sz val="10"/>
        <color rgb="FF1D1D21"/>
        <rFont val="Arial"/>
        <family val="2"/>
      </rPr>
      <t>j</t>
    </r>
    <r>
      <rPr>
        <sz val="10"/>
        <color rgb="FF413F44"/>
        <rFont val="Arial"/>
        <family val="2"/>
      </rPr>
      <t>aka</t>
    </r>
    <r>
      <rPr>
        <sz val="10"/>
        <color rgb="FF1D1D21"/>
        <rFont val="Arial"/>
        <family val="2"/>
      </rPr>
      <t>n</t>
    </r>
  </si>
  <si>
    <r>
      <rPr>
        <sz val="10"/>
        <color rgb="FF1D1D21"/>
        <rFont val="Arial"/>
        <family val="2"/>
      </rPr>
      <t>P</t>
    </r>
    <r>
      <rPr>
        <sz val="10"/>
        <color rgb="FF413F44"/>
        <rFont val="Arial"/>
        <family val="2"/>
      </rPr>
      <t>o</t>
    </r>
    <r>
      <rPr>
        <sz val="10"/>
        <color rgb="FF1D1D21"/>
        <rFont val="Arial"/>
        <family val="2"/>
      </rPr>
      <t>te</t>
    </r>
    <r>
      <rPr>
        <sz val="10"/>
        <color rgb="FF413F44"/>
        <rFont val="Arial"/>
        <family val="2"/>
      </rPr>
      <t xml:space="preserve">nsi  </t>
    </r>
    <r>
      <rPr>
        <sz val="10"/>
        <color rgb="FF313134"/>
        <rFont val="Arial"/>
        <family val="2"/>
      </rPr>
      <t xml:space="preserve">ancaman  </t>
    </r>
    <r>
      <rPr>
        <sz val="10"/>
        <color rgb="FF1D1D21"/>
        <rFont val="Arial"/>
        <family val="2"/>
      </rPr>
      <t xml:space="preserve">keuan </t>
    </r>
    <r>
      <rPr>
        <sz val="10"/>
        <color rgb="FF413F44"/>
        <rFont val="Arial"/>
        <family val="2"/>
      </rPr>
      <t xml:space="preserve">gan  </t>
    </r>
    <r>
      <rPr>
        <sz val="10"/>
        <color rgb="FF313134"/>
        <rFont val="Arial"/>
        <family val="2"/>
      </rPr>
      <t xml:space="preserve">yang  </t>
    </r>
    <r>
      <rPr>
        <sz val="10"/>
        <color rgb="FF413F44"/>
        <rFont val="Arial"/>
        <family val="2"/>
      </rPr>
      <t xml:space="preserve">dihadapi  </t>
    </r>
    <r>
      <rPr>
        <sz val="10"/>
        <color rgb="FF313134"/>
        <rFont val="Arial"/>
        <family val="2"/>
      </rPr>
      <t xml:space="preserve">perusahaan </t>
    </r>
    <r>
      <rPr>
        <sz val="10"/>
        <color rgb="FF413F44"/>
        <rFont val="Arial"/>
        <family val="2"/>
      </rPr>
      <t>ak</t>
    </r>
    <r>
      <rPr>
        <sz val="10"/>
        <color rgb="FF1D1D21"/>
        <rFont val="Arial"/>
        <family val="2"/>
      </rPr>
      <t xml:space="preserve">ibat </t>
    </r>
    <r>
      <rPr>
        <sz val="10"/>
        <color rgb="FF313134"/>
        <rFont val="Arial"/>
        <family val="2"/>
      </rPr>
      <t xml:space="preserve">ketidakpastian dalam pengelolaan </t>
    </r>
    <r>
      <rPr>
        <sz val="10"/>
        <color rgb="FF413F44"/>
        <rFont val="Arial"/>
        <family val="2"/>
      </rPr>
      <t>k</t>
    </r>
    <r>
      <rPr>
        <sz val="10"/>
        <color rgb="FF1D1D21"/>
        <rFont val="Arial"/>
        <family val="2"/>
      </rPr>
      <t>ewajib</t>
    </r>
    <r>
      <rPr>
        <sz val="10"/>
        <color rgb="FF413F44"/>
        <rFont val="Arial"/>
        <family val="2"/>
      </rPr>
      <t>a</t>
    </r>
    <r>
      <rPr>
        <sz val="10"/>
        <color rgb="FF1D1D21"/>
        <rFont val="Arial"/>
        <family val="2"/>
      </rPr>
      <t xml:space="preserve">n </t>
    </r>
    <r>
      <rPr>
        <sz val="10"/>
        <color rgb="FF313134"/>
        <rFont val="Arial"/>
        <family val="2"/>
      </rPr>
      <t>pajak.</t>
    </r>
  </si>
  <si>
    <r>
      <rPr>
        <sz val="10"/>
        <color rgb="FF413F44"/>
        <rFont val="Arial"/>
        <family val="2"/>
      </rPr>
      <t>a</t>
    </r>
    <r>
      <rPr>
        <sz val="10"/>
        <color rgb="FF000000"/>
        <rFont val="Arial"/>
        <family val="2"/>
      </rPr>
      <t xml:space="preserve">.    </t>
    </r>
    <r>
      <rPr>
        <sz val="10"/>
        <color rgb="FF1D1D21"/>
        <rFont val="Arial"/>
        <family val="2"/>
      </rPr>
      <t xml:space="preserve">Ketidakcu </t>
    </r>
    <r>
      <rPr>
        <sz val="10"/>
        <color rgb="FF413F44"/>
        <rFont val="Arial"/>
        <family val="2"/>
      </rPr>
      <t>k</t>
    </r>
    <r>
      <rPr>
        <sz val="10"/>
        <color rgb="FF1D1D21"/>
        <rFont val="Arial"/>
        <family val="2"/>
      </rPr>
      <t xml:space="preserve">upan       </t>
    </r>
    <r>
      <rPr>
        <sz val="10"/>
        <color rgb="FF313134"/>
        <rFont val="Arial"/>
        <family val="2"/>
      </rPr>
      <t xml:space="preserve">alokasi       dana       </t>
    </r>
    <r>
      <rPr>
        <sz val="10"/>
        <color rgb="FF1D1D21"/>
        <rFont val="Arial"/>
        <family val="2"/>
      </rPr>
      <t>untu</t>
    </r>
    <r>
      <rPr>
        <sz val="10"/>
        <color rgb="FF413F44"/>
        <rFont val="Arial"/>
        <family val="2"/>
      </rPr>
      <t xml:space="preserve">k </t>
    </r>
    <r>
      <rPr>
        <sz val="10"/>
        <color rgb="FF1D1D21"/>
        <rFont val="Arial"/>
        <family val="2"/>
      </rPr>
      <t>m</t>
    </r>
    <r>
      <rPr>
        <sz val="10"/>
        <color rgb="FF413F44"/>
        <rFont val="Arial"/>
        <family val="2"/>
      </rPr>
      <t>emba</t>
    </r>
    <r>
      <rPr>
        <sz val="10"/>
        <color rgb="FF1D1D21"/>
        <rFont val="Arial"/>
        <family val="2"/>
      </rPr>
      <t>y</t>
    </r>
    <r>
      <rPr>
        <sz val="10"/>
        <color rgb="FF413F44"/>
        <rFont val="Arial"/>
        <family val="2"/>
      </rPr>
      <t xml:space="preserve">ar </t>
    </r>
    <r>
      <rPr>
        <sz val="10"/>
        <color rgb="FF313134"/>
        <rFont val="Arial"/>
        <family val="2"/>
      </rPr>
      <t xml:space="preserve">kewajiban </t>
    </r>
    <r>
      <rPr>
        <sz val="10"/>
        <color rgb="FF413F44"/>
        <rFont val="Arial"/>
        <family val="2"/>
      </rPr>
      <t>pajak
b</t>
    </r>
    <r>
      <rPr>
        <sz val="10"/>
        <color rgb="FF696970"/>
        <rFont val="Arial"/>
        <family val="2"/>
      </rPr>
      <t xml:space="preserve">.    </t>
    </r>
    <r>
      <rPr>
        <sz val="10"/>
        <color rgb="FF313134"/>
        <rFont val="Arial"/>
        <family val="2"/>
      </rPr>
      <t>Pen</t>
    </r>
    <r>
      <rPr>
        <sz val="10"/>
        <color rgb="FF545459"/>
        <rFont val="Arial"/>
        <family val="2"/>
      </rPr>
      <t>i</t>
    </r>
    <r>
      <rPr>
        <sz val="10"/>
        <color rgb="FF313134"/>
        <rFont val="Arial"/>
        <family val="2"/>
      </rPr>
      <t xml:space="preserve">ngkatan beban </t>
    </r>
    <r>
      <rPr>
        <sz val="10"/>
        <color rgb="FF413F44"/>
        <rFont val="Arial"/>
        <family val="2"/>
      </rPr>
      <t>paja</t>
    </r>
    <r>
      <rPr>
        <sz val="10"/>
        <color rgb="FF1D1D21"/>
        <rFont val="Arial"/>
        <family val="2"/>
      </rPr>
      <t xml:space="preserve">k
</t>
    </r>
    <r>
      <rPr>
        <sz val="10"/>
        <color rgb="FF413F44"/>
        <rFont val="Arial"/>
        <family val="2"/>
      </rPr>
      <t>C</t>
    </r>
    <r>
      <rPr>
        <sz val="10"/>
        <color rgb="FF696970"/>
        <rFont val="Arial"/>
        <family val="2"/>
      </rPr>
      <t xml:space="preserve">.      </t>
    </r>
    <r>
      <rPr>
        <sz val="10"/>
        <color rgb="FF413F44"/>
        <rFont val="Arial"/>
        <family val="2"/>
      </rPr>
      <t>(dapat d</t>
    </r>
    <r>
      <rPr>
        <sz val="10"/>
        <color rgb="FF1D1D21"/>
        <rFont val="Arial"/>
        <family val="2"/>
      </rPr>
      <t>i</t>
    </r>
    <r>
      <rPr>
        <sz val="10"/>
        <color rgb="FF413F44"/>
        <rFont val="Arial"/>
        <family val="2"/>
      </rPr>
      <t>tamba</t>
    </r>
    <r>
      <rPr>
        <sz val="10"/>
        <color rgb="FF1D1D21"/>
        <rFont val="Arial"/>
        <family val="2"/>
      </rPr>
      <t>hk</t>
    </r>
    <r>
      <rPr>
        <sz val="10"/>
        <color rgb="FF413F44"/>
        <rFont val="Arial"/>
        <family val="2"/>
      </rPr>
      <t>an sesuai konteks  per</t>
    </r>
    <r>
      <rPr>
        <sz val="10"/>
        <color rgb="FF1D1D21"/>
        <rFont val="Arial"/>
        <family val="2"/>
      </rPr>
      <t>i</t>
    </r>
    <r>
      <rPr>
        <sz val="10"/>
        <color rgb="FF413F44"/>
        <rFont val="Arial"/>
        <family val="2"/>
      </rPr>
      <t xml:space="preserve">sliwa </t>
    </r>
    <r>
      <rPr>
        <sz val="10"/>
        <color rgb="FF1D1D21"/>
        <rFont val="Arial"/>
        <family val="2"/>
      </rPr>
      <t xml:space="preserve">risiko </t>
    </r>
    <r>
      <rPr>
        <sz val="10"/>
        <color rgb="FF313134"/>
        <rFont val="Arial"/>
        <family val="2"/>
      </rPr>
      <t xml:space="preserve">pada </t>
    </r>
    <r>
      <rPr>
        <sz val="10"/>
        <color rgb="FF413F44"/>
        <rFont val="Arial"/>
        <family val="2"/>
      </rPr>
      <t xml:space="preserve">satuan </t>
    </r>
    <r>
      <rPr>
        <sz val="10"/>
        <color rgb="FF313134"/>
        <rFont val="Arial"/>
        <family val="2"/>
      </rPr>
      <t>kerja masing-masing)</t>
    </r>
  </si>
  <si>
    <r>
      <rPr>
        <sz val="10"/>
        <color rgb="FF1D1D21"/>
        <rFont val="Arial"/>
        <family val="2"/>
      </rPr>
      <t xml:space="preserve">Risiko </t>
    </r>
    <r>
      <rPr>
        <sz val="10"/>
        <color rgb="FF313134"/>
        <rFont val="Arial"/>
        <family val="2"/>
      </rPr>
      <t xml:space="preserve">anggaran &amp; </t>
    </r>
    <r>
      <rPr>
        <sz val="10"/>
        <color rgb="FF413F44"/>
        <rFont val="Arial"/>
        <family val="2"/>
      </rPr>
      <t>akunta</t>
    </r>
    <r>
      <rPr>
        <sz val="10"/>
        <color rgb="FF1D1D21"/>
        <rFont val="Arial"/>
        <family val="2"/>
      </rPr>
      <t>n</t>
    </r>
    <r>
      <rPr>
        <sz val="10"/>
        <color rgb="FF413F44"/>
        <rFont val="Arial"/>
        <family val="2"/>
      </rPr>
      <t>s</t>
    </r>
    <r>
      <rPr>
        <sz val="10"/>
        <color rgb="FF1D1D21"/>
        <rFont val="Arial"/>
        <family val="2"/>
      </rPr>
      <t>i</t>
    </r>
  </si>
  <si>
    <r>
      <rPr>
        <sz val="10"/>
        <color rgb="FF1D1D21"/>
        <rFont val="Arial"/>
        <family val="2"/>
      </rPr>
      <t>Ri</t>
    </r>
    <r>
      <rPr>
        <sz val="10"/>
        <color rgb="FF413F44"/>
        <rFont val="Arial"/>
        <family val="2"/>
      </rPr>
      <t xml:space="preserve">siko  yang   </t>
    </r>
    <r>
      <rPr>
        <sz val="10"/>
        <color rgb="FF1D1D21"/>
        <rFont val="Arial"/>
        <family val="2"/>
      </rPr>
      <t>t</t>
    </r>
    <r>
      <rPr>
        <sz val="10"/>
        <color rgb="FF545459"/>
        <rFont val="Arial"/>
        <family val="2"/>
      </rPr>
      <t>er</t>
    </r>
    <r>
      <rPr>
        <sz val="10"/>
        <color rgb="FF313134"/>
        <rFont val="Arial"/>
        <family val="2"/>
      </rPr>
      <t xml:space="preserve">kait  dengan  </t>
    </r>
    <r>
      <rPr>
        <sz val="10"/>
        <color rgb="FF1D1D21"/>
        <rFont val="Arial"/>
        <family val="2"/>
      </rPr>
      <t>peng</t>
    </r>
    <r>
      <rPr>
        <sz val="10"/>
        <color rgb="FF413F44"/>
        <rFont val="Arial"/>
        <family val="2"/>
      </rPr>
      <t>e</t>
    </r>
    <r>
      <rPr>
        <sz val="10"/>
        <color rgb="FF1D1D21"/>
        <rFont val="Arial"/>
        <family val="2"/>
      </rPr>
      <t>l</t>
    </r>
    <r>
      <rPr>
        <sz val="10"/>
        <color rgb="FF413F44"/>
        <rFont val="Arial"/>
        <family val="2"/>
      </rPr>
      <t xml:space="preserve">olaan  </t>
    </r>
    <r>
      <rPr>
        <sz val="10"/>
        <color rgb="FF313134"/>
        <rFont val="Arial"/>
        <family val="2"/>
      </rPr>
      <t xml:space="preserve">anggaran  </t>
    </r>
    <r>
      <rPr>
        <sz val="10"/>
        <color rgb="FF1D1D21"/>
        <rFont val="Arial"/>
        <family val="2"/>
      </rPr>
      <t xml:space="preserve">dan </t>
    </r>
    <r>
      <rPr>
        <sz val="10"/>
        <color rgb="FF413F44"/>
        <rFont val="Arial"/>
        <family val="2"/>
      </rPr>
      <t>penca</t>
    </r>
    <r>
      <rPr>
        <sz val="10"/>
        <color rgb="FF1D1D21"/>
        <rFont val="Arial"/>
        <family val="2"/>
      </rPr>
      <t>t</t>
    </r>
    <r>
      <rPr>
        <sz val="10"/>
        <color rgb="FF413F44"/>
        <rFont val="Arial"/>
        <family val="2"/>
      </rPr>
      <t>ata</t>
    </r>
    <r>
      <rPr>
        <sz val="10"/>
        <color rgb="FF1D1D21"/>
        <rFont val="Arial"/>
        <family val="2"/>
      </rPr>
      <t xml:space="preserve">n </t>
    </r>
    <r>
      <rPr>
        <sz val="10"/>
        <color rgb="FF413F44"/>
        <rFont val="Arial"/>
        <family val="2"/>
      </rPr>
      <t>aku</t>
    </r>
    <r>
      <rPr>
        <sz val="10"/>
        <color rgb="FF1D1D21"/>
        <rFont val="Arial"/>
        <family val="2"/>
      </rPr>
      <t>nt</t>
    </r>
    <r>
      <rPr>
        <sz val="10"/>
        <color rgb="FF413F44"/>
        <rFont val="Arial"/>
        <family val="2"/>
      </rPr>
      <t xml:space="preserve">ansi yang </t>
    </r>
    <r>
      <rPr>
        <sz val="10"/>
        <color rgb="FF1D1D21"/>
        <rFont val="Arial"/>
        <family val="2"/>
      </rPr>
      <t xml:space="preserve">tidak </t>
    </r>
    <r>
      <rPr>
        <sz val="10"/>
        <color rgb="FF413F44"/>
        <rFont val="Arial"/>
        <family val="2"/>
      </rPr>
      <t xml:space="preserve">akurat </t>
    </r>
    <r>
      <rPr>
        <sz val="10"/>
        <color rgb="FF313134"/>
        <rFont val="Arial"/>
        <family val="2"/>
      </rPr>
      <t xml:space="preserve">atau tidak </t>
    </r>
    <r>
      <rPr>
        <sz val="10"/>
        <color rgb="FF413F44"/>
        <rFont val="Arial"/>
        <family val="2"/>
      </rPr>
      <t>efis</t>
    </r>
    <r>
      <rPr>
        <sz val="10"/>
        <color rgb="FF1D1D21"/>
        <rFont val="Arial"/>
        <family val="2"/>
      </rPr>
      <t>i</t>
    </r>
    <r>
      <rPr>
        <sz val="10"/>
        <color rgb="FF413F44"/>
        <rFont val="Arial"/>
        <family val="2"/>
      </rPr>
      <t>e</t>
    </r>
    <r>
      <rPr>
        <sz val="10"/>
        <color rgb="FF1D1D21"/>
        <rFont val="Arial"/>
        <family val="2"/>
      </rPr>
      <t>n.</t>
    </r>
  </si>
  <si>
    <r>
      <rPr>
        <sz val="10"/>
        <color rgb="FF413F44"/>
        <rFont val="Arial"/>
        <family val="2"/>
      </rPr>
      <t xml:space="preserve">a.    </t>
    </r>
    <r>
      <rPr>
        <sz val="10"/>
        <color rgb="FF1D1D21"/>
        <rFont val="Arial"/>
        <family val="2"/>
      </rPr>
      <t>K</t>
    </r>
    <r>
      <rPr>
        <sz val="10"/>
        <color rgb="FF413F44"/>
        <rFont val="Arial"/>
        <family val="2"/>
      </rPr>
      <t>et</t>
    </r>
    <r>
      <rPr>
        <sz val="10"/>
        <color rgb="FF1D1D21"/>
        <rFont val="Arial"/>
        <family val="2"/>
      </rPr>
      <t>ida</t>
    </r>
    <r>
      <rPr>
        <sz val="10"/>
        <color rgb="FF413F44"/>
        <rFont val="Arial"/>
        <family val="2"/>
      </rPr>
      <t xml:space="preserve">kakura </t>
    </r>
    <r>
      <rPr>
        <sz val="10"/>
        <color rgb="FF1D1D21"/>
        <rFont val="Arial"/>
        <family val="2"/>
      </rPr>
      <t>t</t>
    </r>
    <r>
      <rPr>
        <sz val="10"/>
        <color rgb="FF413F44"/>
        <rFont val="Arial"/>
        <family val="2"/>
      </rPr>
      <t xml:space="preserve">an  </t>
    </r>
    <r>
      <rPr>
        <sz val="10"/>
        <color rgb="FF313134"/>
        <rFont val="Arial"/>
        <family val="2"/>
      </rPr>
      <t xml:space="preserve">dalam  </t>
    </r>
    <r>
      <rPr>
        <sz val="10"/>
        <color rgb="FF413F44"/>
        <rFont val="Arial"/>
        <family val="2"/>
      </rPr>
      <t>pe</t>
    </r>
    <r>
      <rPr>
        <sz val="10"/>
        <color rgb="FF1D1D21"/>
        <rFont val="Arial"/>
        <family val="2"/>
      </rPr>
      <t>ncat</t>
    </r>
    <r>
      <rPr>
        <sz val="10"/>
        <color rgb="FF413F44"/>
        <rFont val="Arial"/>
        <family val="2"/>
      </rPr>
      <t>atan  tra</t>
    </r>
    <r>
      <rPr>
        <sz val="10"/>
        <color rgb="FF1D1D21"/>
        <rFont val="Arial"/>
        <family val="2"/>
      </rPr>
      <t>n</t>
    </r>
    <r>
      <rPr>
        <sz val="10"/>
        <color rgb="FF413F44"/>
        <rFont val="Arial"/>
        <family val="2"/>
      </rPr>
      <t>saks</t>
    </r>
    <r>
      <rPr>
        <sz val="10"/>
        <color rgb="FF1D1D21"/>
        <rFont val="Arial"/>
        <family val="2"/>
      </rPr>
      <t>i k</t>
    </r>
    <r>
      <rPr>
        <sz val="10"/>
        <color rgb="FF413F44"/>
        <rFont val="Arial"/>
        <family val="2"/>
      </rPr>
      <t xml:space="preserve">euangan
b.    </t>
    </r>
    <r>
      <rPr>
        <sz val="10"/>
        <color rgb="FF1D1D21"/>
        <rFont val="Arial"/>
        <family val="2"/>
      </rPr>
      <t>l</t>
    </r>
    <r>
      <rPr>
        <sz val="10"/>
        <color rgb="FF413F44"/>
        <rFont val="Arial"/>
        <family val="2"/>
      </rPr>
      <t>nefis</t>
    </r>
    <r>
      <rPr>
        <sz val="10"/>
        <color rgb="FF1D1D21"/>
        <rFont val="Arial"/>
        <family val="2"/>
      </rPr>
      <t>ien</t>
    </r>
    <r>
      <rPr>
        <sz val="10"/>
        <color rgb="FF413F44"/>
        <rFont val="Arial"/>
        <family val="2"/>
      </rPr>
      <t>si   a</t>
    </r>
    <r>
      <rPr>
        <sz val="10"/>
        <color rgb="FF1D1D21"/>
        <rFont val="Arial"/>
        <family val="2"/>
      </rPr>
      <t>t</t>
    </r>
    <r>
      <rPr>
        <sz val="10"/>
        <color rgb="FF413F44"/>
        <rFont val="Arial"/>
        <family val="2"/>
      </rPr>
      <t xml:space="preserve">au   </t>
    </r>
    <r>
      <rPr>
        <i/>
        <sz val="10"/>
        <color rgb="FF413F44"/>
        <rFont val="Arial"/>
        <family val="2"/>
      </rPr>
      <t>overspend</t>
    </r>
    <r>
      <rPr>
        <i/>
        <sz val="10"/>
        <color rgb="FF1D1D21"/>
        <rFont val="Arial"/>
        <family val="2"/>
      </rPr>
      <t>i</t>
    </r>
    <r>
      <rPr>
        <i/>
        <sz val="10"/>
        <color rgb="FF413F44"/>
        <rFont val="Arial"/>
        <family val="2"/>
      </rPr>
      <t xml:space="preserve">ng   </t>
    </r>
    <r>
      <rPr>
        <sz val="10"/>
        <color rgb="FF313134"/>
        <rFont val="Arial"/>
        <family val="2"/>
      </rPr>
      <t xml:space="preserve">pengelolaan </t>
    </r>
    <r>
      <rPr>
        <sz val="10"/>
        <color rgb="FF413F44"/>
        <rFont val="Arial"/>
        <family val="2"/>
      </rPr>
      <t>a</t>
    </r>
    <r>
      <rPr>
        <sz val="10"/>
        <color rgb="FF1D1D21"/>
        <rFont val="Arial"/>
        <family val="2"/>
      </rPr>
      <t xml:space="preserve">ngg </t>
    </r>
    <r>
      <rPr>
        <sz val="10"/>
        <color rgb="FF413F44"/>
        <rFont val="Arial"/>
        <family val="2"/>
      </rPr>
      <t>aran
C</t>
    </r>
    <r>
      <rPr>
        <sz val="10"/>
        <color rgb="FF808085"/>
        <rFont val="Arial"/>
        <family val="2"/>
      </rPr>
      <t xml:space="preserve">.      </t>
    </r>
    <r>
      <rPr>
        <sz val="10"/>
        <color rgb="FF413F44"/>
        <rFont val="Arial"/>
        <family val="2"/>
      </rPr>
      <t xml:space="preserve">(da </t>
    </r>
    <r>
      <rPr>
        <sz val="10"/>
        <color rgb="FF1D1D21"/>
        <rFont val="Arial"/>
        <family val="2"/>
      </rPr>
      <t xml:space="preserve">pa </t>
    </r>
    <r>
      <rPr>
        <sz val="10"/>
        <color rgb="FF413F44"/>
        <rFont val="Arial"/>
        <family val="2"/>
      </rPr>
      <t xml:space="preserve">t </t>
    </r>
    <r>
      <rPr>
        <sz val="10"/>
        <color rgb="FF313134"/>
        <rFont val="Arial"/>
        <family val="2"/>
      </rPr>
      <t>ditambahkan  s</t>
    </r>
    <r>
      <rPr>
        <sz val="10"/>
        <color rgb="FF545459"/>
        <rFont val="Arial"/>
        <family val="2"/>
      </rPr>
      <t xml:space="preserve">esuai </t>
    </r>
    <r>
      <rPr>
        <sz val="10"/>
        <color rgb="FF413F44"/>
        <rFont val="Arial"/>
        <family val="2"/>
      </rPr>
      <t>konteks  per</t>
    </r>
    <r>
      <rPr>
        <sz val="10"/>
        <color rgb="FF1D1D21"/>
        <rFont val="Arial"/>
        <family val="2"/>
      </rPr>
      <t>i</t>
    </r>
    <r>
      <rPr>
        <sz val="10"/>
        <color rgb="FF413F44"/>
        <rFont val="Arial"/>
        <family val="2"/>
      </rPr>
      <t xml:space="preserve">stiwa
</t>
    </r>
    <r>
      <rPr>
        <sz val="10"/>
        <color rgb="FF1D1D21"/>
        <rFont val="Arial"/>
        <family val="2"/>
      </rPr>
      <t>ri</t>
    </r>
    <r>
      <rPr>
        <sz val="10"/>
        <color rgb="FF413F44"/>
        <rFont val="Arial"/>
        <family val="2"/>
      </rPr>
      <t>s</t>
    </r>
    <r>
      <rPr>
        <sz val="10"/>
        <color rgb="FF1D1D21"/>
        <rFont val="Arial"/>
        <family val="2"/>
      </rPr>
      <t xml:space="preserve">iko pada </t>
    </r>
    <r>
      <rPr>
        <sz val="10"/>
        <color rgb="FF313134"/>
        <rFont val="Arial"/>
        <family val="2"/>
      </rPr>
      <t xml:space="preserve">satuan </t>
    </r>
    <r>
      <rPr>
        <sz val="10"/>
        <color rgb="FF1D1D21"/>
        <rFont val="Arial"/>
        <family val="2"/>
      </rPr>
      <t xml:space="preserve">kerja </t>
    </r>
    <r>
      <rPr>
        <sz val="10"/>
        <color rgb="FF413F44"/>
        <rFont val="Arial"/>
        <family val="2"/>
      </rPr>
      <t>ma</t>
    </r>
    <r>
      <rPr>
        <sz val="10"/>
        <color rgb="FF1D1D21"/>
        <rFont val="Arial"/>
        <family val="2"/>
      </rPr>
      <t>sing</t>
    </r>
    <r>
      <rPr>
        <sz val="10"/>
        <color rgb="FF413F44"/>
        <rFont val="Arial"/>
        <family val="2"/>
      </rPr>
      <t>-</t>
    </r>
    <r>
      <rPr>
        <sz val="10"/>
        <color rgb="FF1D1D21"/>
        <rFont val="Arial"/>
        <family val="2"/>
      </rPr>
      <t>masing</t>
    </r>
    <r>
      <rPr>
        <sz val="10"/>
        <color rgb="FF413F44"/>
        <rFont val="Arial"/>
        <family val="2"/>
      </rPr>
      <t>)</t>
    </r>
  </si>
  <si>
    <r>
      <rPr>
        <sz val="10"/>
        <color rgb="FF1D1D21"/>
        <rFont val="Arial"/>
        <family val="2"/>
      </rPr>
      <t>Ri</t>
    </r>
    <r>
      <rPr>
        <sz val="10"/>
        <color rgb="FF413F44"/>
        <rFont val="Arial"/>
        <family val="2"/>
      </rPr>
      <t>s</t>
    </r>
    <r>
      <rPr>
        <sz val="10"/>
        <color rgb="FF1D1D21"/>
        <rFont val="Arial"/>
        <family val="2"/>
      </rPr>
      <t>i</t>
    </r>
    <r>
      <rPr>
        <sz val="10"/>
        <color rgb="FF413F44"/>
        <rFont val="Arial"/>
        <family val="2"/>
      </rPr>
      <t xml:space="preserve">ko </t>
    </r>
    <r>
      <rPr>
        <sz val="10"/>
        <color rgb="FF313134"/>
        <rFont val="Arial"/>
        <family val="2"/>
      </rPr>
      <t xml:space="preserve">pengelolaan modal </t>
    </r>
    <r>
      <rPr>
        <sz val="10"/>
        <color rgb="FF413F44"/>
        <rFont val="Arial"/>
        <family val="2"/>
      </rPr>
      <t>ker</t>
    </r>
    <r>
      <rPr>
        <sz val="10"/>
        <color rgb="FF1D1D21"/>
        <rFont val="Arial"/>
        <family val="2"/>
      </rPr>
      <t>j</t>
    </r>
    <r>
      <rPr>
        <sz val="10"/>
        <color rgb="FF413F44"/>
        <rFont val="Arial"/>
        <family val="2"/>
      </rPr>
      <t>a</t>
    </r>
  </si>
  <si>
    <r>
      <rPr>
        <sz val="10"/>
        <color rgb="FF413F44"/>
        <rFont val="Arial"/>
        <family val="2"/>
      </rPr>
      <t>Ris</t>
    </r>
    <r>
      <rPr>
        <sz val="10"/>
        <color rgb="FF696970"/>
        <rFont val="Arial"/>
        <family val="2"/>
      </rPr>
      <t>i</t>
    </r>
    <r>
      <rPr>
        <sz val="10"/>
        <color rgb="FF1D1D21"/>
        <rFont val="Arial"/>
        <family val="2"/>
      </rPr>
      <t xml:space="preserve">ko  </t>
    </r>
    <r>
      <rPr>
        <sz val="10"/>
        <color rgb="FF413F44"/>
        <rFont val="Arial"/>
        <family val="2"/>
      </rPr>
      <t>yang  berka</t>
    </r>
    <r>
      <rPr>
        <sz val="10"/>
        <color rgb="FF1D1D21"/>
        <rFont val="Arial"/>
        <family val="2"/>
      </rPr>
      <t xml:space="preserve">itan  </t>
    </r>
    <r>
      <rPr>
        <sz val="10"/>
        <color rgb="FF413F44"/>
        <rFont val="Arial"/>
        <family val="2"/>
      </rPr>
      <t>de</t>
    </r>
    <r>
      <rPr>
        <sz val="10"/>
        <color rgb="FF1D1D21"/>
        <rFont val="Arial"/>
        <family val="2"/>
      </rPr>
      <t xml:space="preserve">ngan </t>
    </r>
    <r>
      <rPr>
        <sz val="10"/>
        <color rgb="FF413F44"/>
        <rFont val="Arial"/>
        <family val="2"/>
      </rPr>
      <t xml:space="preserve">pengelolaan  </t>
    </r>
    <r>
      <rPr>
        <sz val="10"/>
        <color rgb="FF313134"/>
        <rFont val="Arial"/>
        <family val="2"/>
      </rPr>
      <t xml:space="preserve">aktiva  </t>
    </r>
    <r>
      <rPr>
        <sz val="10"/>
        <color rgb="FF413F44"/>
        <rFont val="Arial"/>
        <family val="2"/>
      </rPr>
      <t xml:space="preserve">lancar dan    </t>
    </r>
    <r>
      <rPr>
        <vertAlign val="superscript"/>
        <sz val="10"/>
        <color rgb="FF1D1D21"/>
        <rFont val="Arial"/>
        <family val="2"/>
      </rPr>
      <t>hu</t>
    </r>
    <r>
      <rPr>
        <vertAlign val="superscript"/>
        <sz val="10"/>
        <color rgb="FF413F44"/>
        <rFont val="Arial"/>
        <family val="2"/>
      </rPr>
      <t>ta</t>
    </r>
    <r>
      <rPr>
        <vertAlign val="superscript"/>
        <sz val="10"/>
        <color rgb="FF1D1D21"/>
        <rFont val="Arial"/>
        <family val="2"/>
      </rPr>
      <t>n</t>
    </r>
    <r>
      <rPr>
        <vertAlign val="superscript"/>
        <sz val="10"/>
        <color rgb="FF413F44"/>
        <rFont val="Arial"/>
        <family val="2"/>
      </rPr>
      <t xml:space="preserve">g    </t>
    </r>
    <r>
      <rPr>
        <sz val="10"/>
        <color rgb="FF1D1D21"/>
        <rFont val="Arial"/>
        <family val="2"/>
      </rPr>
      <t>l</t>
    </r>
    <r>
      <rPr>
        <sz val="10"/>
        <color rgb="FF413F44"/>
        <rFont val="Arial"/>
        <family val="2"/>
      </rPr>
      <t>anca</t>
    </r>
    <r>
      <rPr>
        <sz val="10"/>
        <color rgb="FF1D1D21"/>
        <rFont val="Arial"/>
        <family val="2"/>
      </rPr>
      <t xml:space="preserve">r    </t>
    </r>
    <r>
      <rPr>
        <sz val="10"/>
        <color rgb="FF413F44"/>
        <rFont val="Arial"/>
        <family val="2"/>
      </rPr>
      <t xml:space="preserve">aga </t>
    </r>
    <r>
      <rPr>
        <sz val="10"/>
        <color rgb="FF1D1D21"/>
        <rFont val="Arial"/>
        <family val="2"/>
      </rPr>
      <t>r    t</t>
    </r>
    <r>
      <rPr>
        <sz val="10"/>
        <color rgb="FF413F44"/>
        <rFont val="Arial"/>
        <family val="2"/>
      </rPr>
      <t>etap    ma</t>
    </r>
    <r>
      <rPr>
        <sz val="10"/>
        <color rgb="FF1D1D21"/>
        <rFont val="Arial"/>
        <family val="2"/>
      </rPr>
      <t xml:space="preserve">mpu    </t>
    </r>
    <r>
      <rPr>
        <sz val="10"/>
        <color rgb="FF313134"/>
        <rFont val="Arial"/>
        <family val="2"/>
      </rPr>
      <t xml:space="preserve">memenuhi </t>
    </r>
    <r>
      <rPr>
        <sz val="10"/>
        <color rgb="FF413F44"/>
        <rFont val="Arial"/>
        <family val="2"/>
      </rPr>
      <t>kebut</t>
    </r>
    <r>
      <rPr>
        <sz val="10"/>
        <color rgb="FF1D1D21"/>
        <rFont val="Arial"/>
        <family val="2"/>
      </rPr>
      <t xml:space="preserve">uh </t>
    </r>
    <r>
      <rPr>
        <sz val="10"/>
        <color rgb="FF413F44"/>
        <rFont val="Arial"/>
        <family val="2"/>
      </rPr>
      <t>an ope</t>
    </r>
    <r>
      <rPr>
        <sz val="10"/>
        <color rgb="FF1D1D21"/>
        <rFont val="Arial"/>
        <family val="2"/>
      </rPr>
      <t>r</t>
    </r>
    <r>
      <rPr>
        <sz val="10"/>
        <color rgb="FF413F44"/>
        <rFont val="Arial"/>
        <family val="2"/>
      </rPr>
      <t>asiona</t>
    </r>
    <r>
      <rPr>
        <sz val="10"/>
        <color rgb="FF1D1D21"/>
        <rFont val="Arial"/>
        <family val="2"/>
      </rPr>
      <t xml:space="preserve">l </t>
    </r>
    <r>
      <rPr>
        <sz val="10"/>
        <color rgb="FF413F44"/>
        <rFont val="Arial"/>
        <family val="2"/>
      </rPr>
      <t xml:space="preserve">perusa </t>
    </r>
    <r>
      <rPr>
        <sz val="10"/>
        <color rgb="FF1D1D21"/>
        <rFont val="Arial"/>
        <family val="2"/>
      </rPr>
      <t>haan</t>
    </r>
  </si>
  <si>
    <r>
      <rPr>
        <sz val="10"/>
        <color rgb="FF413F44"/>
        <rFont val="Arial"/>
        <family val="2"/>
      </rPr>
      <t xml:space="preserve">a.    </t>
    </r>
    <r>
      <rPr>
        <sz val="10"/>
        <color rgb="FF313134"/>
        <rFont val="Arial"/>
        <family val="2"/>
      </rPr>
      <t xml:space="preserve">Meningkatnya     </t>
    </r>
    <r>
      <rPr>
        <sz val="10"/>
        <color rgb="FF1D1D21"/>
        <rFont val="Arial"/>
        <family val="2"/>
      </rPr>
      <t>pers</t>
    </r>
    <r>
      <rPr>
        <sz val="10"/>
        <color rgb="FF413F44"/>
        <rFont val="Arial"/>
        <family val="2"/>
      </rPr>
      <t>ediaa</t>
    </r>
    <r>
      <rPr>
        <sz val="10"/>
        <color rgb="FF1D1D21"/>
        <rFont val="Arial"/>
        <family val="2"/>
      </rPr>
      <t xml:space="preserve">n    </t>
    </r>
    <r>
      <rPr>
        <sz val="10"/>
        <color rgb="FF313134"/>
        <rFont val="Arial"/>
        <family val="2"/>
      </rPr>
      <t xml:space="preserve">pada     laporan keuangan
</t>
    </r>
    <r>
      <rPr>
        <sz val="10"/>
        <color rgb="FF413F44"/>
        <rFont val="Arial"/>
        <family val="2"/>
      </rPr>
      <t xml:space="preserve">b.    </t>
    </r>
    <r>
      <rPr>
        <sz val="10"/>
        <color rgb="FF313134"/>
        <rFont val="Arial"/>
        <family val="2"/>
      </rPr>
      <t xml:space="preserve">Keterlambatan   pembayaran   hutang   </t>
    </r>
    <r>
      <rPr>
        <sz val="10"/>
        <color rgb="FF413F44"/>
        <rFont val="Arial"/>
        <family val="2"/>
      </rPr>
      <t xml:space="preserve">jangka </t>
    </r>
    <r>
      <rPr>
        <sz val="10"/>
        <color rgb="FF313134"/>
        <rFont val="Arial"/>
        <family val="2"/>
      </rPr>
      <t xml:space="preserve">pendek
c.    (dapat  </t>
    </r>
    <r>
      <rPr>
        <sz val="10"/>
        <color rgb="FF1D1D21"/>
        <rFont val="Arial"/>
        <family val="2"/>
      </rPr>
      <t>dit</t>
    </r>
    <r>
      <rPr>
        <sz val="10"/>
        <color rgb="FF413F44"/>
        <rFont val="Arial"/>
        <family val="2"/>
      </rPr>
      <t>a</t>
    </r>
    <r>
      <rPr>
        <sz val="10"/>
        <color rgb="FF1D1D21"/>
        <rFont val="Arial"/>
        <family val="2"/>
      </rPr>
      <t>mb</t>
    </r>
    <r>
      <rPr>
        <sz val="10"/>
        <color rgb="FF413F44"/>
        <rFont val="Arial"/>
        <family val="2"/>
      </rPr>
      <t>a</t>
    </r>
    <r>
      <rPr>
        <sz val="10"/>
        <color rgb="FF1D1D21"/>
        <rFont val="Arial"/>
        <family val="2"/>
      </rPr>
      <t xml:space="preserve">hkan </t>
    </r>
    <r>
      <rPr>
        <sz val="10"/>
        <color rgb="FF313134"/>
        <rFont val="Arial"/>
        <family val="2"/>
      </rPr>
      <t>sesuai konteks  p</t>
    </r>
    <r>
      <rPr>
        <sz val="10"/>
        <color rgb="FF545459"/>
        <rFont val="Arial"/>
        <family val="2"/>
      </rPr>
      <t>e</t>
    </r>
    <r>
      <rPr>
        <sz val="10"/>
        <color rgb="FF1D1D21"/>
        <rFont val="Arial"/>
        <family val="2"/>
      </rPr>
      <t>rist</t>
    </r>
    <r>
      <rPr>
        <sz val="10"/>
        <color rgb="FF413F44"/>
        <rFont val="Arial"/>
        <family val="2"/>
      </rPr>
      <t xml:space="preserve">iwa
</t>
    </r>
    <r>
      <rPr>
        <sz val="10"/>
        <color rgb="FF1D1D21"/>
        <rFont val="Arial"/>
        <family val="2"/>
      </rPr>
      <t>ri</t>
    </r>
    <r>
      <rPr>
        <sz val="10"/>
        <color rgb="FF413F44"/>
        <rFont val="Arial"/>
        <family val="2"/>
      </rPr>
      <t>s</t>
    </r>
    <r>
      <rPr>
        <sz val="10"/>
        <color rgb="FF1D1D21"/>
        <rFont val="Arial"/>
        <family val="2"/>
      </rPr>
      <t xml:space="preserve">iko </t>
    </r>
    <r>
      <rPr>
        <sz val="10"/>
        <color rgb="FF313134"/>
        <rFont val="Arial"/>
        <family val="2"/>
      </rPr>
      <t xml:space="preserve">pada </t>
    </r>
    <r>
      <rPr>
        <sz val="10"/>
        <color rgb="FF413F44"/>
        <rFont val="Arial"/>
        <family val="2"/>
      </rPr>
      <t>sa</t>
    </r>
    <r>
      <rPr>
        <sz val="10"/>
        <color rgb="FF1D1D21"/>
        <rFont val="Arial"/>
        <family val="2"/>
      </rPr>
      <t>t</t>
    </r>
    <r>
      <rPr>
        <sz val="10"/>
        <color rgb="FF413F44"/>
        <rFont val="Arial"/>
        <family val="2"/>
      </rPr>
      <t xml:space="preserve">uan </t>
    </r>
    <r>
      <rPr>
        <sz val="10"/>
        <color rgb="FF1D1D21"/>
        <rFont val="Arial"/>
        <family val="2"/>
      </rPr>
      <t>k</t>
    </r>
    <r>
      <rPr>
        <sz val="10"/>
        <color rgb="FF413F44"/>
        <rFont val="Arial"/>
        <family val="2"/>
      </rPr>
      <t>e</t>
    </r>
    <r>
      <rPr>
        <sz val="10"/>
        <color rgb="FF1D1D21"/>
        <rFont val="Arial"/>
        <family val="2"/>
      </rPr>
      <t>rj</t>
    </r>
    <r>
      <rPr>
        <sz val="10"/>
        <color rgb="FF413F44"/>
        <rFont val="Arial"/>
        <family val="2"/>
      </rPr>
      <t xml:space="preserve">a </t>
    </r>
    <r>
      <rPr>
        <sz val="10"/>
        <color rgb="FF313134"/>
        <rFont val="Arial"/>
        <family val="2"/>
      </rPr>
      <t>masing</t>
    </r>
    <r>
      <rPr>
        <sz val="10"/>
        <color rgb="FF545459"/>
        <rFont val="Arial"/>
        <family val="2"/>
      </rPr>
      <t>-</t>
    </r>
    <r>
      <rPr>
        <sz val="10"/>
        <color rgb="FF313134"/>
        <rFont val="Arial"/>
        <family val="2"/>
      </rPr>
      <t>masing)</t>
    </r>
  </si>
  <si>
    <r>
      <rPr>
        <sz val="10"/>
        <color rgb="FF313134"/>
        <rFont val="Arial"/>
        <family val="2"/>
      </rPr>
      <t xml:space="preserve">Risiko </t>
    </r>
    <r>
      <rPr>
        <sz val="10"/>
        <color rgb="FF413F44"/>
        <rFont val="Arial"/>
        <family val="2"/>
      </rPr>
      <t>arus kas</t>
    </r>
  </si>
  <si>
    <r>
      <rPr>
        <sz val="10"/>
        <color rgb="FF413F44"/>
        <rFont val="Arial"/>
        <family val="2"/>
      </rPr>
      <t>Pote</t>
    </r>
    <r>
      <rPr>
        <sz val="10"/>
        <color rgb="FF1D1D21"/>
        <rFont val="Arial"/>
        <family val="2"/>
      </rPr>
      <t>n</t>
    </r>
    <r>
      <rPr>
        <sz val="10"/>
        <color rgb="FF413F44"/>
        <rFont val="Arial"/>
        <family val="2"/>
      </rPr>
      <t xml:space="preserve">si ketidakpastian </t>
    </r>
    <r>
      <rPr>
        <sz val="10"/>
        <color rgb="FF313134"/>
        <rFont val="Arial"/>
        <family val="2"/>
      </rPr>
      <t xml:space="preserve">dalam </t>
    </r>
    <r>
      <rPr>
        <sz val="10"/>
        <color rgb="FF413F44"/>
        <rFont val="Arial"/>
        <family val="2"/>
      </rPr>
      <t>jum</t>
    </r>
    <r>
      <rPr>
        <sz val="10"/>
        <color rgb="FF1D1D21"/>
        <rFont val="Arial"/>
        <family val="2"/>
      </rPr>
      <t>l</t>
    </r>
    <r>
      <rPr>
        <sz val="10"/>
        <color rgb="FF413F44"/>
        <rFont val="Arial"/>
        <family val="2"/>
      </rPr>
      <t>ah  dan waktu  dar</t>
    </r>
    <r>
      <rPr>
        <sz val="10"/>
        <color rgb="FF696970"/>
        <rFont val="Arial"/>
        <family val="2"/>
      </rPr>
      <t xml:space="preserve">i </t>
    </r>
    <r>
      <rPr>
        <sz val="10"/>
        <color rgb="FF1D1D21"/>
        <rFont val="Arial"/>
        <family val="2"/>
      </rPr>
      <t xml:space="preserve">arus </t>
    </r>
    <r>
      <rPr>
        <sz val="10"/>
        <color rgb="FF545459"/>
        <rFont val="Arial"/>
        <family val="2"/>
      </rPr>
      <t xml:space="preserve">kas    </t>
    </r>
    <r>
      <rPr>
        <sz val="10"/>
        <color rgb="FF413F44"/>
        <rFont val="Arial"/>
        <family val="2"/>
      </rPr>
      <t>masuk    dan    ke</t>
    </r>
    <r>
      <rPr>
        <sz val="10"/>
        <color rgb="FF1D1D21"/>
        <rFont val="Arial"/>
        <family val="2"/>
      </rPr>
      <t>l</t>
    </r>
    <r>
      <rPr>
        <sz val="10"/>
        <color rgb="FF413F44"/>
        <rFont val="Arial"/>
        <family val="2"/>
      </rPr>
      <t xml:space="preserve">uar    yang    </t>
    </r>
    <r>
      <rPr>
        <sz val="10"/>
        <color rgb="FF313134"/>
        <rFont val="Arial"/>
        <family val="2"/>
      </rPr>
      <t xml:space="preserve">bisa    </t>
    </r>
    <r>
      <rPr>
        <sz val="10"/>
        <color rgb="FF413F44"/>
        <rFont val="Arial"/>
        <family val="2"/>
      </rPr>
      <t>mempe</t>
    </r>
    <r>
      <rPr>
        <sz val="10"/>
        <color rgb="FF1D1D21"/>
        <rFont val="Arial"/>
        <family val="2"/>
      </rPr>
      <t>ng</t>
    </r>
    <r>
      <rPr>
        <sz val="10"/>
        <color rgb="FF413F44"/>
        <rFont val="Arial"/>
        <family val="2"/>
      </rPr>
      <t>ar</t>
    </r>
    <r>
      <rPr>
        <sz val="10"/>
        <color rgb="FF1D1D21"/>
        <rFont val="Arial"/>
        <family val="2"/>
      </rPr>
      <t xml:space="preserve">uhi </t>
    </r>
    <r>
      <rPr>
        <sz val="10"/>
        <color rgb="FF545459"/>
        <rFont val="Arial"/>
        <family val="2"/>
      </rPr>
      <t>kem</t>
    </r>
    <r>
      <rPr>
        <sz val="10"/>
        <color rgb="FF313134"/>
        <rFont val="Arial"/>
        <family val="2"/>
      </rPr>
      <t xml:space="preserve">ampuan    perusahaan    </t>
    </r>
    <r>
      <rPr>
        <sz val="10"/>
        <color rgb="FF1D1D21"/>
        <rFont val="Arial"/>
        <family val="2"/>
      </rPr>
      <t>untu</t>
    </r>
    <r>
      <rPr>
        <sz val="10"/>
        <color rgb="FF413F44"/>
        <rFont val="Arial"/>
        <family val="2"/>
      </rPr>
      <t xml:space="preserve">k   </t>
    </r>
    <r>
      <rPr>
        <sz val="10"/>
        <color rgb="FF313134"/>
        <rFont val="Arial"/>
        <family val="2"/>
      </rPr>
      <t xml:space="preserve">memenuhi    </t>
    </r>
    <r>
      <rPr>
        <sz val="10"/>
        <color rgb="FF413F44"/>
        <rFont val="Arial"/>
        <family val="2"/>
      </rPr>
      <t>kewa</t>
    </r>
    <r>
      <rPr>
        <sz val="10"/>
        <color rgb="FF1D1D21"/>
        <rFont val="Arial"/>
        <family val="2"/>
      </rPr>
      <t>j</t>
    </r>
    <r>
      <rPr>
        <sz val="10"/>
        <color rgb="FF413F44"/>
        <rFont val="Arial"/>
        <family val="2"/>
      </rPr>
      <t>iban
keuangannya ke</t>
    </r>
    <r>
      <rPr>
        <sz val="10"/>
        <color rgb="FF1D1D21"/>
        <rFont val="Arial"/>
        <family val="2"/>
      </rPr>
      <t>t</t>
    </r>
    <r>
      <rPr>
        <sz val="10"/>
        <color rgb="FF545459"/>
        <rFont val="Arial"/>
        <family val="2"/>
      </rPr>
      <t>i</t>
    </r>
    <r>
      <rPr>
        <sz val="10"/>
        <color rgb="FF313134"/>
        <rFont val="Arial"/>
        <family val="2"/>
      </rPr>
      <t xml:space="preserve">ka </t>
    </r>
    <r>
      <rPr>
        <sz val="10"/>
        <color rgb="FF1D1D21"/>
        <rFont val="Arial"/>
        <family val="2"/>
      </rPr>
      <t>jatuh t</t>
    </r>
    <r>
      <rPr>
        <sz val="10"/>
        <color rgb="FF413F44"/>
        <rFont val="Arial"/>
        <family val="2"/>
      </rPr>
      <t>e</t>
    </r>
    <r>
      <rPr>
        <sz val="10"/>
        <color rgb="FF1D1D21"/>
        <rFont val="Arial"/>
        <family val="2"/>
      </rPr>
      <t>mpo</t>
    </r>
    <r>
      <rPr>
        <sz val="10"/>
        <color rgb="FF000000"/>
        <rFont val="Arial"/>
        <family val="2"/>
      </rPr>
      <t>.</t>
    </r>
  </si>
  <si>
    <r>
      <rPr>
        <sz val="10"/>
        <color rgb="FF413F44"/>
        <rFont val="Arial"/>
        <family val="2"/>
      </rPr>
      <t>a</t>
    </r>
    <r>
      <rPr>
        <sz val="10"/>
        <color rgb="FF696970"/>
        <rFont val="Arial"/>
        <family val="2"/>
      </rPr>
      <t xml:space="preserve">.    </t>
    </r>
    <r>
      <rPr>
        <sz val="10"/>
        <color rgb="FF1D1D21"/>
        <rFont val="Arial"/>
        <family val="2"/>
      </rPr>
      <t>Ke</t>
    </r>
    <r>
      <rPr>
        <sz val="10"/>
        <color rgb="FF413F44"/>
        <rFont val="Arial"/>
        <family val="2"/>
      </rPr>
      <t>naikan biaya kepegawa</t>
    </r>
    <r>
      <rPr>
        <sz val="10"/>
        <color rgb="FF1D1D21"/>
        <rFont val="Arial"/>
        <family val="2"/>
      </rPr>
      <t>i</t>
    </r>
    <r>
      <rPr>
        <sz val="10"/>
        <color rgb="FF413F44"/>
        <rFont val="Arial"/>
        <family val="2"/>
      </rPr>
      <t>an
b</t>
    </r>
    <r>
      <rPr>
        <sz val="10"/>
        <color rgb="FF696970"/>
        <rFont val="Arial"/>
        <family val="2"/>
      </rPr>
      <t xml:space="preserve">.    </t>
    </r>
    <r>
      <rPr>
        <sz val="10"/>
        <color rgb="FF313134"/>
        <rFont val="Arial"/>
        <family val="2"/>
      </rPr>
      <t xml:space="preserve">Kenaikan </t>
    </r>
    <r>
      <rPr>
        <sz val="10"/>
        <color rgb="FF413F44"/>
        <rFont val="Arial"/>
        <family val="2"/>
      </rPr>
      <t xml:space="preserve">biaya </t>
    </r>
    <r>
      <rPr>
        <sz val="10"/>
        <color rgb="FF313134"/>
        <rFont val="Arial"/>
        <family val="2"/>
      </rPr>
      <t xml:space="preserve">pokok </t>
    </r>
    <r>
      <rPr>
        <sz val="10"/>
        <color rgb="FF413F44"/>
        <rFont val="Arial"/>
        <family val="2"/>
      </rPr>
      <t>penye</t>
    </r>
    <r>
      <rPr>
        <sz val="10"/>
        <color rgb="FF1D1D21"/>
        <rFont val="Arial"/>
        <family val="2"/>
      </rPr>
      <t>di</t>
    </r>
    <r>
      <rPr>
        <sz val="10"/>
        <color rgb="FF413F44"/>
        <rFont val="Arial"/>
        <family val="2"/>
      </rPr>
      <t>aan (BPP)
C.     (da</t>
    </r>
    <r>
      <rPr>
        <sz val="10"/>
        <color rgb="FF1D1D21"/>
        <rFont val="Arial"/>
        <family val="2"/>
      </rPr>
      <t xml:space="preserve">pat </t>
    </r>
    <r>
      <rPr>
        <sz val="10"/>
        <color rgb="FF313134"/>
        <rFont val="Arial"/>
        <family val="2"/>
      </rPr>
      <t xml:space="preserve">ditambahkan  </t>
    </r>
    <r>
      <rPr>
        <sz val="10"/>
        <color rgb="FF413F44"/>
        <rFont val="Arial"/>
        <family val="2"/>
      </rPr>
      <t xml:space="preserve">sesuai </t>
    </r>
    <r>
      <rPr>
        <sz val="10"/>
        <color rgb="FF313134"/>
        <rFont val="Arial"/>
        <family val="2"/>
      </rPr>
      <t xml:space="preserve">konteks  </t>
    </r>
    <r>
      <rPr>
        <sz val="10"/>
        <color rgb="FF413F44"/>
        <rFont val="Arial"/>
        <family val="2"/>
      </rPr>
      <t>per</t>
    </r>
    <r>
      <rPr>
        <sz val="10"/>
        <color rgb="FF1D1D21"/>
        <rFont val="Arial"/>
        <family val="2"/>
      </rPr>
      <t>i</t>
    </r>
    <r>
      <rPr>
        <sz val="10"/>
        <color rgb="FF413F44"/>
        <rFont val="Arial"/>
        <family val="2"/>
      </rPr>
      <t xml:space="preserve">stiwa </t>
    </r>
    <r>
      <rPr>
        <sz val="10"/>
        <color rgb="FF1D1D21"/>
        <rFont val="Arial"/>
        <family val="2"/>
      </rPr>
      <t>risiko p</t>
    </r>
    <r>
      <rPr>
        <sz val="10"/>
        <color rgb="FF413F44"/>
        <rFont val="Arial"/>
        <family val="2"/>
      </rPr>
      <t>ada  sa</t>
    </r>
    <r>
      <rPr>
        <sz val="10"/>
        <color rgb="FF1D1D21"/>
        <rFont val="Arial"/>
        <family val="2"/>
      </rPr>
      <t>tua</t>
    </r>
    <r>
      <rPr>
        <sz val="10"/>
        <color rgb="FF413F44"/>
        <rFont val="Arial"/>
        <family val="2"/>
      </rPr>
      <t xml:space="preserve">n </t>
    </r>
    <r>
      <rPr>
        <sz val="10"/>
        <color rgb="FF313134"/>
        <rFont val="Arial"/>
        <family val="2"/>
      </rPr>
      <t xml:space="preserve">kerja </t>
    </r>
    <r>
      <rPr>
        <sz val="10"/>
        <color rgb="FF413F44"/>
        <rFont val="Arial"/>
        <family val="2"/>
      </rPr>
      <t>ma</t>
    </r>
    <r>
      <rPr>
        <sz val="10"/>
        <color rgb="FF1D1D21"/>
        <rFont val="Arial"/>
        <family val="2"/>
      </rPr>
      <t>sing-m</t>
    </r>
    <r>
      <rPr>
        <sz val="10"/>
        <color rgb="FF413F44"/>
        <rFont val="Arial"/>
        <family val="2"/>
      </rPr>
      <t>as</t>
    </r>
    <r>
      <rPr>
        <sz val="10"/>
        <color rgb="FF1D1D21"/>
        <rFont val="Arial"/>
        <family val="2"/>
      </rPr>
      <t>in</t>
    </r>
    <r>
      <rPr>
        <sz val="10"/>
        <color rgb="FF413F44"/>
        <rFont val="Arial"/>
        <family val="2"/>
      </rPr>
      <t>g)</t>
    </r>
  </si>
  <si>
    <r>
      <rPr>
        <sz val="10"/>
        <color rgb="FF413F44"/>
        <rFont val="Arial"/>
        <family val="2"/>
      </rPr>
      <t xml:space="preserve">Risiko </t>
    </r>
    <r>
      <rPr>
        <sz val="10"/>
        <color rgb="FF313134"/>
        <rFont val="Arial"/>
        <family val="2"/>
      </rPr>
      <t>piutang</t>
    </r>
  </si>
  <si>
    <r>
      <rPr>
        <sz val="10"/>
        <color rgb="FF413F44"/>
        <rFont val="Arial"/>
        <family val="2"/>
      </rPr>
      <t>Ket</t>
    </r>
    <r>
      <rPr>
        <sz val="10"/>
        <color rgb="FF1D1D21"/>
        <rFont val="Arial"/>
        <family val="2"/>
      </rPr>
      <t>i</t>
    </r>
    <r>
      <rPr>
        <sz val="10"/>
        <color rgb="FF413F44"/>
        <rFont val="Arial"/>
        <family val="2"/>
      </rPr>
      <t>dakpastian  y</t>
    </r>
    <r>
      <rPr>
        <sz val="10"/>
        <color rgb="FF1D1D21"/>
        <rFont val="Arial"/>
        <family val="2"/>
      </rPr>
      <t xml:space="preserve">ang   </t>
    </r>
    <r>
      <rPr>
        <sz val="10"/>
        <color rgb="FF313134"/>
        <rFont val="Arial"/>
        <family val="2"/>
      </rPr>
      <t xml:space="preserve">terkail  </t>
    </r>
    <r>
      <rPr>
        <sz val="10"/>
        <color rgb="FF413F44"/>
        <rFont val="Arial"/>
        <family val="2"/>
      </rPr>
      <t xml:space="preserve">dengan   </t>
    </r>
    <r>
      <rPr>
        <sz val="10"/>
        <color rgb="FF313134"/>
        <rFont val="Arial"/>
        <family val="2"/>
      </rPr>
      <t xml:space="preserve">jumlah  </t>
    </r>
    <r>
      <rPr>
        <sz val="10"/>
        <color rgb="FF413F44"/>
        <rFont val="Arial"/>
        <family val="2"/>
      </rPr>
      <t xml:space="preserve">uang  yang </t>
    </r>
    <r>
      <rPr>
        <sz val="10"/>
        <color rgb="FF545459"/>
        <rFont val="Arial"/>
        <family val="2"/>
      </rPr>
      <t xml:space="preserve">harus </t>
    </r>
    <r>
      <rPr>
        <sz val="10"/>
        <color rgb="FF313134"/>
        <rFont val="Arial"/>
        <family val="2"/>
      </rPr>
      <t>dit</t>
    </r>
    <r>
      <rPr>
        <sz val="10"/>
        <color rgb="FF545459"/>
        <rFont val="Arial"/>
        <family val="2"/>
      </rPr>
      <t xml:space="preserve">erima </t>
    </r>
    <r>
      <rPr>
        <sz val="10"/>
        <color rgb="FF413F44"/>
        <rFont val="Arial"/>
        <family val="2"/>
      </rPr>
      <t>o</t>
    </r>
    <r>
      <rPr>
        <sz val="10"/>
        <color rgb="FF1D1D21"/>
        <rFont val="Arial"/>
        <family val="2"/>
      </rPr>
      <t>l</t>
    </r>
    <r>
      <rPr>
        <sz val="10"/>
        <color rgb="FF413F44"/>
        <rFont val="Arial"/>
        <family val="2"/>
      </rPr>
      <t xml:space="preserve">eh </t>
    </r>
    <r>
      <rPr>
        <sz val="10"/>
        <color rgb="FF313134"/>
        <rFont val="Arial"/>
        <family val="2"/>
      </rPr>
      <t xml:space="preserve">perusahaan </t>
    </r>
    <r>
      <rPr>
        <sz val="10"/>
        <color rgb="FF1D1D21"/>
        <rFont val="Arial"/>
        <family val="2"/>
      </rPr>
      <t>dar</t>
    </r>
    <r>
      <rPr>
        <sz val="10"/>
        <color rgb="FF413F44"/>
        <rFont val="Arial"/>
        <family val="2"/>
      </rPr>
      <t>i pelanggan</t>
    </r>
    <r>
      <rPr>
        <sz val="10"/>
        <color rgb="FF696970"/>
        <rFont val="Arial"/>
        <family val="2"/>
      </rPr>
      <t>.</t>
    </r>
  </si>
  <si>
    <r>
      <rPr>
        <sz val="10"/>
        <color rgb="FF413F44"/>
        <rFont val="Arial"/>
        <family val="2"/>
      </rPr>
      <t>a</t>
    </r>
    <r>
      <rPr>
        <sz val="10"/>
        <color rgb="FF696970"/>
        <rFont val="Arial"/>
        <family val="2"/>
      </rPr>
      <t xml:space="preserve">.    </t>
    </r>
    <r>
      <rPr>
        <sz val="10"/>
        <color rgb="FF313134"/>
        <rFont val="Arial"/>
        <family val="2"/>
      </rPr>
      <t>Tunggaka</t>
    </r>
    <r>
      <rPr>
        <sz val="10"/>
        <color rgb="FF545459"/>
        <rFont val="Arial"/>
        <family val="2"/>
      </rPr>
      <t xml:space="preserve">n </t>
    </r>
    <r>
      <rPr>
        <sz val="10"/>
        <color rgb="FF313134"/>
        <rFont val="Arial"/>
        <family val="2"/>
      </rPr>
      <t xml:space="preserve">pelanggan </t>
    </r>
    <r>
      <rPr>
        <sz val="10"/>
        <color rgb="FF1D1D21"/>
        <rFont val="Arial"/>
        <family val="2"/>
      </rPr>
      <t>ind</t>
    </r>
    <r>
      <rPr>
        <sz val="10"/>
        <color rgb="FF413F44"/>
        <rFont val="Arial"/>
        <family val="2"/>
      </rPr>
      <t xml:space="preserve">ustri
</t>
    </r>
    <r>
      <rPr>
        <sz val="10"/>
        <color rgb="FF545459"/>
        <rFont val="Arial"/>
        <family val="2"/>
      </rPr>
      <t>b</t>
    </r>
    <r>
      <rPr>
        <sz val="10"/>
        <color rgb="FF808085"/>
        <rFont val="Arial"/>
        <family val="2"/>
      </rPr>
      <t xml:space="preserve">.    </t>
    </r>
    <r>
      <rPr>
        <sz val="10"/>
        <color rgb="FF413F44"/>
        <rFont val="Arial"/>
        <family val="2"/>
      </rPr>
      <t xml:space="preserve">Tunggakan </t>
    </r>
    <r>
      <rPr>
        <sz val="10"/>
        <color rgb="FF313134"/>
        <rFont val="Arial"/>
        <family val="2"/>
      </rPr>
      <t>pelanggan instans</t>
    </r>
    <r>
      <rPr>
        <sz val="10"/>
        <color rgb="FF545459"/>
        <rFont val="Arial"/>
        <family val="2"/>
      </rPr>
      <t xml:space="preserve">i </t>
    </r>
    <r>
      <rPr>
        <sz val="10"/>
        <color rgb="FF313134"/>
        <rFont val="Arial"/>
        <family val="2"/>
      </rPr>
      <t xml:space="preserve">Pemerintah
</t>
    </r>
    <r>
      <rPr>
        <sz val="10"/>
        <color rgb="FF413F44"/>
        <rFont val="Arial"/>
        <family val="2"/>
      </rPr>
      <t>C</t>
    </r>
    <r>
      <rPr>
        <sz val="10"/>
        <color rgb="FF1D1D21"/>
        <rFont val="Arial"/>
        <family val="2"/>
      </rPr>
      <t xml:space="preserve">.      </t>
    </r>
    <r>
      <rPr>
        <sz val="10"/>
        <color rgb="FF413F44"/>
        <rFont val="Arial"/>
        <family val="2"/>
      </rPr>
      <t>(d a</t>
    </r>
    <r>
      <rPr>
        <sz val="10"/>
        <color rgb="FF1D1D21"/>
        <rFont val="Arial"/>
        <family val="2"/>
      </rPr>
      <t>pa</t>
    </r>
    <r>
      <rPr>
        <sz val="10"/>
        <color rgb="FF413F44"/>
        <rFont val="Arial"/>
        <family val="2"/>
      </rPr>
      <t xml:space="preserve">t </t>
    </r>
    <r>
      <rPr>
        <sz val="10"/>
        <color rgb="FF313134"/>
        <rFont val="Arial"/>
        <family val="2"/>
      </rPr>
      <t xml:space="preserve">ditambahkan  </t>
    </r>
    <r>
      <rPr>
        <sz val="10"/>
        <color rgb="FF413F44"/>
        <rFont val="Arial"/>
        <family val="2"/>
      </rPr>
      <t xml:space="preserve">sesuai </t>
    </r>
    <r>
      <rPr>
        <sz val="10"/>
        <color rgb="FF313134"/>
        <rFont val="Arial"/>
        <family val="2"/>
      </rPr>
      <t xml:space="preserve">konteks  peristiwa </t>
    </r>
    <r>
      <rPr>
        <sz val="10"/>
        <color rgb="FF1D1D21"/>
        <rFont val="Arial"/>
        <family val="2"/>
      </rPr>
      <t xml:space="preserve">risiko </t>
    </r>
    <r>
      <rPr>
        <sz val="10"/>
        <color rgb="FF313134"/>
        <rFont val="Arial"/>
        <family val="2"/>
      </rPr>
      <t xml:space="preserve">pada </t>
    </r>
    <r>
      <rPr>
        <sz val="10"/>
        <color rgb="FF413F44"/>
        <rFont val="Arial"/>
        <family val="2"/>
      </rPr>
      <t>sa</t>
    </r>
    <r>
      <rPr>
        <sz val="10"/>
        <color rgb="FF1D1D21"/>
        <rFont val="Arial"/>
        <family val="2"/>
      </rPr>
      <t>tuan k</t>
    </r>
    <r>
      <rPr>
        <sz val="10"/>
        <color rgb="FF413F44"/>
        <rFont val="Arial"/>
        <family val="2"/>
      </rPr>
      <t>e</t>
    </r>
    <r>
      <rPr>
        <sz val="10"/>
        <color rgb="FF1D1D21"/>
        <rFont val="Arial"/>
        <family val="2"/>
      </rPr>
      <t xml:space="preserve">ria </t>
    </r>
    <r>
      <rPr>
        <sz val="10"/>
        <color rgb="FF413F44"/>
        <rFont val="Arial"/>
        <family val="2"/>
      </rPr>
      <t>mas</t>
    </r>
    <r>
      <rPr>
        <sz val="10"/>
        <color rgb="FF1D1D21"/>
        <rFont val="Arial"/>
        <family val="2"/>
      </rPr>
      <t xml:space="preserve">inq-m </t>
    </r>
    <r>
      <rPr>
        <sz val="10"/>
        <color rgb="FF413F44"/>
        <rFont val="Arial"/>
        <family val="2"/>
      </rPr>
      <t>as</t>
    </r>
    <r>
      <rPr>
        <sz val="10"/>
        <color rgb="FF1D1D21"/>
        <rFont val="Arial"/>
        <family val="2"/>
      </rPr>
      <t>inq)</t>
    </r>
  </si>
  <si>
    <r>
      <rPr>
        <sz val="10"/>
        <color rgb="FF49494D"/>
        <rFont val="Arial"/>
        <family val="2"/>
      </rPr>
      <t xml:space="preserve">Risiko integritas </t>
    </r>
    <r>
      <rPr>
        <sz val="10"/>
        <color rgb="FF38363B"/>
        <rFont val="Arial"/>
        <family val="2"/>
      </rPr>
      <t>penyusunan laporan keuanga</t>
    </r>
    <r>
      <rPr>
        <sz val="10"/>
        <color rgb="FF1D1D21"/>
        <rFont val="Arial"/>
        <family val="2"/>
      </rPr>
      <t>n</t>
    </r>
  </si>
  <si>
    <r>
      <rPr>
        <vertAlign val="superscript"/>
        <sz val="10"/>
        <color rgb="FF1D1D21"/>
        <rFont val="Arial"/>
        <family val="2"/>
      </rPr>
      <t>P</t>
    </r>
    <r>
      <rPr>
        <vertAlign val="superscript"/>
        <sz val="10"/>
        <color rgb="FF49494D"/>
        <rFont val="Arial"/>
        <family val="2"/>
      </rPr>
      <t xml:space="preserve">otensi  </t>
    </r>
    <r>
      <rPr>
        <vertAlign val="superscript"/>
        <sz val="10"/>
        <color rgb="FF38363B"/>
        <rFont val="Arial"/>
        <family val="2"/>
      </rPr>
      <t>kesala</t>
    </r>
    <r>
      <rPr>
        <vertAlign val="superscript"/>
        <sz val="10"/>
        <color rgb="FF1D1D21"/>
        <rFont val="Arial"/>
        <family val="2"/>
      </rPr>
      <t>h</t>
    </r>
    <r>
      <rPr>
        <vertAlign val="superscript"/>
        <sz val="10"/>
        <color rgb="FF38363B"/>
        <rFont val="Arial"/>
        <family val="2"/>
      </rPr>
      <t>an</t>
    </r>
    <r>
      <rPr>
        <vertAlign val="superscript"/>
        <sz val="10"/>
        <color rgb="FF6B6B72"/>
        <rFont val="Arial"/>
        <family val="2"/>
      </rPr>
      <t xml:space="preserve">,  </t>
    </r>
    <r>
      <rPr>
        <vertAlign val="superscript"/>
        <sz val="10"/>
        <color rgb="FF49494D"/>
        <rFont val="Arial"/>
        <family val="2"/>
      </rPr>
      <t>ket</t>
    </r>
    <r>
      <rPr>
        <vertAlign val="superscript"/>
        <sz val="10"/>
        <color rgb="FF1D1D21"/>
        <rFont val="Arial"/>
        <family val="2"/>
      </rPr>
      <t>i</t>
    </r>
    <r>
      <rPr>
        <vertAlign val="superscript"/>
        <sz val="10"/>
        <color rgb="FF49494D"/>
        <rFont val="Arial"/>
        <family val="2"/>
      </rPr>
      <t>dakaku</t>
    </r>
    <r>
      <rPr>
        <vertAlign val="superscript"/>
        <sz val="10"/>
        <color rgb="FF1D1D21"/>
        <rFont val="Arial"/>
        <family val="2"/>
      </rPr>
      <t>r</t>
    </r>
    <r>
      <rPr>
        <vertAlign val="superscript"/>
        <sz val="10"/>
        <color rgb="FF49494D"/>
        <rFont val="Arial"/>
        <family val="2"/>
      </rPr>
      <t>atan</t>
    </r>
    <r>
      <rPr>
        <vertAlign val="superscript"/>
        <sz val="10"/>
        <color rgb="FF6B6B72"/>
        <rFont val="Arial"/>
        <family val="2"/>
      </rPr>
      <t xml:space="preserve">,  </t>
    </r>
    <r>
      <rPr>
        <sz val="10"/>
        <color rgb="FF49494D"/>
        <rFont val="Arial"/>
        <family val="2"/>
      </rPr>
      <t xml:space="preserve">atau  </t>
    </r>
    <r>
      <rPr>
        <sz val="10"/>
        <color rgb="FF38363B"/>
        <rFont val="Arial"/>
        <family val="2"/>
      </rPr>
      <t>pengelabuan da</t>
    </r>
    <r>
      <rPr>
        <sz val="10"/>
        <color rgb="FF1D1D21"/>
        <rFont val="Arial"/>
        <family val="2"/>
      </rPr>
      <t>l</t>
    </r>
    <r>
      <rPr>
        <sz val="10"/>
        <color rgb="FF49494D"/>
        <rFont val="Arial"/>
        <family val="2"/>
      </rPr>
      <t>am     pencata</t>
    </r>
    <r>
      <rPr>
        <sz val="10"/>
        <color rgb="FF1D1D21"/>
        <rFont val="Arial"/>
        <family val="2"/>
      </rPr>
      <t>t</t>
    </r>
    <r>
      <rPr>
        <sz val="10"/>
        <color rgb="FF49494D"/>
        <rFont val="Arial"/>
        <family val="2"/>
      </rPr>
      <t>an,     pengak</t>
    </r>
    <r>
      <rPr>
        <sz val="10"/>
        <color rgb="FF1D1D21"/>
        <rFont val="Arial"/>
        <family val="2"/>
      </rPr>
      <t>u</t>
    </r>
    <r>
      <rPr>
        <sz val="10"/>
        <color rgb="FF38363B"/>
        <rFont val="Arial"/>
        <family val="2"/>
      </rPr>
      <t>an,    peng</t>
    </r>
    <r>
      <rPr>
        <sz val="10"/>
        <color rgb="FF1D1D21"/>
        <rFont val="Arial"/>
        <family val="2"/>
      </rPr>
      <t>u</t>
    </r>
    <r>
      <rPr>
        <sz val="10"/>
        <color rgb="FF38363B"/>
        <rFont val="Arial"/>
        <family val="2"/>
      </rPr>
      <t>ku</t>
    </r>
    <r>
      <rPr>
        <sz val="10"/>
        <color rgb="FF1D1D21"/>
        <rFont val="Arial"/>
        <family val="2"/>
      </rPr>
      <t>r</t>
    </r>
    <r>
      <rPr>
        <sz val="10"/>
        <color rgb="FF38363B"/>
        <rFont val="Arial"/>
        <family val="2"/>
      </rPr>
      <t>an,     dan pe</t>
    </r>
    <r>
      <rPr>
        <sz val="10"/>
        <color rgb="FF1D1D21"/>
        <rFont val="Arial"/>
        <family val="2"/>
      </rPr>
      <t>l</t>
    </r>
    <r>
      <rPr>
        <sz val="10"/>
        <color rgb="FF38363B"/>
        <rFont val="Arial"/>
        <family val="2"/>
      </rPr>
      <t>apo</t>
    </r>
    <r>
      <rPr>
        <sz val="10"/>
        <color rgb="FF1D1D21"/>
        <rFont val="Arial"/>
        <family val="2"/>
      </rPr>
      <t>r</t>
    </r>
    <r>
      <rPr>
        <sz val="10"/>
        <color rgb="FF38363B"/>
        <rFont val="Arial"/>
        <family val="2"/>
      </rPr>
      <t xml:space="preserve">an  </t>
    </r>
    <r>
      <rPr>
        <sz val="10"/>
        <color rgb="FF1D1D21"/>
        <rFont val="Arial"/>
        <family val="2"/>
      </rPr>
      <t>in</t>
    </r>
    <r>
      <rPr>
        <sz val="10"/>
        <color rgb="FF38363B"/>
        <rFont val="Arial"/>
        <family val="2"/>
      </rPr>
      <t>fo</t>
    </r>
    <r>
      <rPr>
        <sz val="10"/>
        <color rgb="FF1D1D21"/>
        <rFont val="Arial"/>
        <family val="2"/>
      </rPr>
      <t>rm</t>
    </r>
    <r>
      <rPr>
        <sz val="10"/>
        <color rgb="FF38363B"/>
        <rFont val="Arial"/>
        <family val="2"/>
      </rPr>
      <t>as</t>
    </r>
    <r>
      <rPr>
        <sz val="10"/>
        <color rgb="FF1D1D21"/>
        <rFont val="Arial"/>
        <family val="2"/>
      </rPr>
      <t xml:space="preserve">i  </t>
    </r>
    <r>
      <rPr>
        <sz val="10"/>
        <color rgb="FF38363B"/>
        <rFont val="Arial"/>
        <family val="2"/>
      </rPr>
      <t>keuangan  da</t>
    </r>
    <r>
      <rPr>
        <sz val="10"/>
        <color rgb="FF1D1D21"/>
        <rFont val="Arial"/>
        <family val="2"/>
      </rPr>
      <t>l</t>
    </r>
    <r>
      <rPr>
        <sz val="10"/>
        <color rgb="FF38363B"/>
        <rFont val="Arial"/>
        <family val="2"/>
      </rPr>
      <t xml:space="preserve">am </t>
    </r>
    <r>
      <rPr>
        <sz val="10"/>
        <color theme="1"/>
        <rFont val="Arial"/>
        <family val="2"/>
      </rPr>
      <t>l</t>
    </r>
    <r>
      <rPr>
        <sz val="10"/>
        <color rgb="FF38363B"/>
        <rFont val="Arial"/>
        <family val="2"/>
      </rPr>
      <t>apora</t>
    </r>
    <r>
      <rPr>
        <sz val="10"/>
        <color rgb="FF1D1D21"/>
        <rFont val="Arial"/>
        <family val="2"/>
      </rPr>
      <t xml:space="preserve">n  </t>
    </r>
    <r>
      <rPr>
        <sz val="10"/>
        <color rgb="FF38363B"/>
        <rFont val="Arial"/>
        <family val="2"/>
      </rPr>
      <t>keua</t>
    </r>
    <r>
      <rPr>
        <sz val="10"/>
        <color rgb="FF1D1D21"/>
        <rFont val="Arial"/>
        <family val="2"/>
      </rPr>
      <t>n</t>
    </r>
    <r>
      <rPr>
        <sz val="10"/>
        <color rgb="FF38363B"/>
        <rFont val="Arial"/>
        <family val="2"/>
      </rPr>
      <t>ga</t>
    </r>
    <r>
      <rPr>
        <sz val="10"/>
        <color rgb="FF1D1D21"/>
        <rFont val="Arial"/>
        <family val="2"/>
      </rPr>
      <t xml:space="preserve">n </t>
    </r>
    <r>
      <rPr>
        <sz val="10"/>
        <color rgb="FF38363B"/>
        <rFont val="Arial"/>
        <family val="2"/>
      </rPr>
      <t>yang diterbitkan o</t>
    </r>
    <r>
      <rPr>
        <sz val="10"/>
        <color rgb="FF1D1D21"/>
        <rFont val="Arial"/>
        <family val="2"/>
      </rPr>
      <t>l</t>
    </r>
    <r>
      <rPr>
        <sz val="10"/>
        <color rgb="FF49494D"/>
        <rFont val="Arial"/>
        <family val="2"/>
      </rPr>
      <t xml:space="preserve">eh </t>
    </r>
    <r>
      <rPr>
        <sz val="10"/>
        <color rgb="FF38363B"/>
        <rFont val="Arial"/>
        <family val="2"/>
      </rPr>
      <t>perusahaan.</t>
    </r>
  </si>
  <si>
    <r>
      <rPr>
        <sz val="10"/>
        <color rgb="FF49494D"/>
        <rFont val="Arial"/>
        <family val="2"/>
      </rPr>
      <t xml:space="preserve">a.   </t>
    </r>
    <r>
      <rPr>
        <vertAlign val="superscript"/>
        <sz val="10"/>
        <color rgb="FF49494D"/>
        <rFont val="Arial"/>
        <family val="2"/>
      </rPr>
      <t xml:space="preserve">Manipulasi </t>
    </r>
    <r>
      <rPr>
        <vertAlign val="superscript"/>
        <sz val="10"/>
        <color rgb="FF000000"/>
        <rFont val="Arial"/>
        <family val="2"/>
      </rPr>
      <t>l</t>
    </r>
    <r>
      <rPr>
        <vertAlign val="superscript"/>
        <sz val="10"/>
        <color rgb="FF49494D"/>
        <rFont val="Arial"/>
        <family val="2"/>
      </rPr>
      <t>aporan keua</t>
    </r>
    <r>
      <rPr>
        <vertAlign val="superscript"/>
        <sz val="10"/>
        <color rgb="FF1D1D21"/>
        <rFont val="Arial"/>
        <family val="2"/>
      </rPr>
      <t>n</t>
    </r>
    <r>
      <rPr>
        <vertAlign val="superscript"/>
        <sz val="10"/>
        <color rgb="FF49494D"/>
        <rFont val="Arial"/>
        <family val="2"/>
      </rPr>
      <t xml:space="preserve">gan
</t>
    </r>
    <r>
      <rPr>
        <sz val="10"/>
        <color rgb="FF1D1D21"/>
        <rFont val="Arial"/>
        <family val="2"/>
      </rPr>
      <t>b</t>
    </r>
    <r>
      <rPr>
        <sz val="10"/>
        <color rgb="FF49494D"/>
        <rFont val="Arial"/>
        <family val="2"/>
      </rPr>
      <t xml:space="preserve">.   </t>
    </r>
    <r>
      <rPr>
        <sz val="10"/>
        <color rgb="FF38363B"/>
        <rFont val="Arial"/>
        <family val="2"/>
      </rPr>
      <t>Ketidakaku</t>
    </r>
    <r>
      <rPr>
        <sz val="10"/>
        <color rgb="FF1D1D21"/>
        <rFont val="Arial"/>
        <family val="2"/>
      </rPr>
      <t>r</t>
    </r>
    <r>
      <rPr>
        <sz val="10"/>
        <color rgb="FF38363B"/>
        <rFont val="Arial"/>
        <family val="2"/>
      </rPr>
      <t xml:space="preserve">atan  pelaporan  </t>
    </r>
    <r>
      <rPr>
        <i/>
        <sz val="10"/>
        <color rgb="FF49494D"/>
        <rFont val="Arial"/>
        <family val="2"/>
      </rPr>
      <t xml:space="preserve">Internal   </t>
    </r>
    <r>
      <rPr>
        <i/>
        <sz val="10"/>
        <color rgb="FF38363B"/>
        <rFont val="Arial"/>
        <family val="2"/>
      </rPr>
      <t xml:space="preserve">Control Over Financial Report </t>
    </r>
    <r>
      <rPr>
        <sz val="10"/>
        <color rgb="FF38363B"/>
        <rFont val="Arial"/>
        <family val="2"/>
      </rPr>
      <t>(</t>
    </r>
    <r>
      <rPr>
        <sz val="10"/>
        <color rgb="FF1D1D21"/>
        <rFont val="Arial"/>
        <family val="2"/>
      </rPr>
      <t>I</t>
    </r>
    <r>
      <rPr>
        <sz val="10"/>
        <color rgb="FF38363B"/>
        <rFont val="Arial"/>
        <family val="2"/>
      </rPr>
      <t>COFR)
C.     (dapa</t>
    </r>
    <r>
      <rPr>
        <sz val="10"/>
        <color rgb="FF1D1D21"/>
        <rFont val="Arial"/>
        <family val="2"/>
      </rPr>
      <t xml:space="preserve">t </t>
    </r>
    <r>
      <rPr>
        <sz val="10"/>
        <color rgb="FF38363B"/>
        <rFont val="Arial"/>
        <family val="2"/>
      </rPr>
      <t>d</t>
    </r>
    <r>
      <rPr>
        <sz val="10"/>
        <color rgb="FF1D1D21"/>
        <rFont val="Arial"/>
        <family val="2"/>
      </rPr>
      <t>i</t>
    </r>
    <r>
      <rPr>
        <sz val="10"/>
        <color rgb="FF38363B"/>
        <rFont val="Arial"/>
        <family val="2"/>
      </rPr>
      <t>ta</t>
    </r>
    <r>
      <rPr>
        <sz val="10"/>
        <color rgb="FF1D1D21"/>
        <rFont val="Arial"/>
        <family val="2"/>
      </rPr>
      <t>m</t>
    </r>
    <r>
      <rPr>
        <sz val="10"/>
        <color rgb="FF38363B"/>
        <rFont val="Arial"/>
        <family val="2"/>
      </rPr>
      <t xml:space="preserve">bahkan sesuai </t>
    </r>
    <r>
      <rPr>
        <sz val="10"/>
        <color rgb="FF1D1D21"/>
        <rFont val="Arial"/>
        <family val="2"/>
      </rPr>
      <t>k</t>
    </r>
    <r>
      <rPr>
        <sz val="10"/>
        <color rgb="FF49494D"/>
        <rFont val="Arial"/>
        <family val="2"/>
      </rPr>
      <t>onteks</t>
    </r>
    <r>
      <rPr>
        <sz val="10"/>
        <color rgb="FF38363B"/>
        <rFont val="Arial"/>
        <family val="2"/>
      </rPr>
      <t>peris</t>
    </r>
    <r>
      <rPr>
        <sz val="10"/>
        <color rgb="FF1D1D21"/>
        <rFont val="Arial"/>
        <family val="2"/>
      </rPr>
      <t>ti</t>
    </r>
    <r>
      <rPr>
        <sz val="10"/>
        <color rgb="FF38363B"/>
        <rFont val="Arial"/>
        <family val="2"/>
      </rPr>
      <t xml:space="preserve">wa risiko </t>
    </r>
    <r>
      <rPr>
        <sz val="10"/>
        <color rgb="FF49494D"/>
        <rFont val="Arial"/>
        <family val="2"/>
      </rPr>
      <t xml:space="preserve">pada satuan </t>
    </r>
    <r>
      <rPr>
        <sz val="10"/>
        <color rgb="FF38363B"/>
        <rFont val="Arial"/>
        <family val="2"/>
      </rPr>
      <t>kerja masing-masing)</t>
    </r>
  </si>
  <si>
    <r>
      <rPr>
        <sz val="10"/>
        <color rgb="FF49494D"/>
        <rFont val="Arial"/>
        <family val="2"/>
      </rPr>
      <t xml:space="preserve">Risiko </t>
    </r>
    <r>
      <rPr>
        <sz val="10"/>
        <color rgb="FF38363B"/>
        <rFont val="Arial"/>
        <family val="2"/>
      </rPr>
      <t>reputasi</t>
    </r>
  </si>
  <si>
    <r>
      <rPr>
        <sz val="10"/>
        <color rgb="FF38363B"/>
        <rFont val="Arial"/>
        <family val="2"/>
      </rPr>
      <t>Ris</t>
    </r>
    <r>
      <rPr>
        <sz val="10"/>
        <color rgb="FF6B6B72"/>
        <rFont val="Arial"/>
        <family val="2"/>
      </rPr>
      <t>i</t>
    </r>
    <r>
      <rPr>
        <sz val="10"/>
        <color rgb="FF38363B"/>
        <rFont val="Arial"/>
        <family val="2"/>
      </rPr>
      <t xml:space="preserve">ko </t>
    </r>
    <r>
      <rPr>
        <sz val="10"/>
        <color rgb="FF49494D"/>
        <rFont val="Arial"/>
        <family val="2"/>
      </rPr>
      <t xml:space="preserve">bisnis </t>
    </r>
    <r>
      <rPr>
        <sz val="10"/>
        <color rgb="FF38363B"/>
        <rFont val="Arial"/>
        <family val="2"/>
      </rPr>
      <t xml:space="preserve">mengalami </t>
    </r>
    <r>
      <rPr>
        <sz val="10"/>
        <color rgb="FF49494D"/>
        <rFont val="Arial"/>
        <family val="2"/>
      </rPr>
      <t>kerusakan reputasi sebagai ak</t>
    </r>
    <r>
      <rPr>
        <sz val="10"/>
        <color rgb="FF6B6B72"/>
        <rFont val="Arial"/>
        <family val="2"/>
      </rPr>
      <t>i</t>
    </r>
    <r>
      <rPr>
        <sz val="10"/>
        <color rgb="FF49494D"/>
        <rFont val="Arial"/>
        <family val="2"/>
      </rPr>
      <t xml:space="preserve">bat </t>
    </r>
    <r>
      <rPr>
        <sz val="10"/>
        <color rgb="FF38363B"/>
        <rFont val="Arial"/>
        <family val="2"/>
      </rPr>
      <t xml:space="preserve">dari, </t>
    </r>
    <r>
      <rPr>
        <sz val="10"/>
        <color rgb="FF49494D"/>
        <rFont val="Arial"/>
        <family val="2"/>
      </rPr>
      <t xml:space="preserve">antara </t>
    </r>
    <r>
      <rPr>
        <sz val="10"/>
        <color rgb="FF38363B"/>
        <rFont val="Arial"/>
        <family val="2"/>
      </rPr>
      <t>lain, lapo</t>
    </r>
    <r>
      <rPr>
        <sz val="10"/>
        <color rgb="FF1D1D21"/>
        <rFont val="Arial"/>
        <family val="2"/>
      </rPr>
      <t>r</t>
    </r>
    <r>
      <rPr>
        <sz val="10"/>
        <color rgb="FF49494D"/>
        <rFont val="Arial"/>
        <family val="2"/>
      </rPr>
      <t xml:space="preserve">an </t>
    </r>
    <r>
      <rPr>
        <sz val="10"/>
        <color rgb="FF38363B"/>
        <rFont val="Arial"/>
        <family val="2"/>
      </rPr>
      <t xml:space="preserve">berita negatif </t>
    </r>
    <r>
      <rPr>
        <sz val="10"/>
        <color rgb="FF49494D"/>
        <rFont val="Arial"/>
        <family val="2"/>
      </rPr>
      <t xml:space="preserve">dan </t>
    </r>
    <r>
      <rPr>
        <sz val="10"/>
        <color rgb="FF38363B"/>
        <rFont val="Arial"/>
        <family val="2"/>
      </rPr>
      <t>lip</t>
    </r>
    <r>
      <rPr>
        <sz val="10"/>
        <color rgb="FF1D1D21"/>
        <rFont val="Arial"/>
        <family val="2"/>
      </rPr>
      <t>u</t>
    </r>
    <r>
      <rPr>
        <sz val="10"/>
        <color rgb="FF38363B"/>
        <rFont val="Arial"/>
        <family val="2"/>
      </rPr>
      <t xml:space="preserve">tan </t>
    </r>
    <r>
      <rPr>
        <sz val="10"/>
        <color rgb="FF49494D"/>
        <rFont val="Arial"/>
        <family val="2"/>
      </rPr>
      <t xml:space="preserve">media </t>
    </r>
    <r>
      <rPr>
        <sz val="10"/>
        <color rgb="FF38363B"/>
        <rFont val="Arial"/>
        <family val="2"/>
      </rPr>
      <t>ya</t>
    </r>
    <r>
      <rPr>
        <sz val="10"/>
        <color rgb="FF1D1D21"/>
        <rFont val="Arial"/>
        <family val="2"/>
      </rPr>
      <t>n</t>
    </r>
    <r>
      <rPr>
        <sz val="10"/>
        <color rgb="FF38363B"/>
        <rFont val="Arial"/>
        <family val="2"/>
      </rPr>
      <t>g nega</t>
    </r>
    <r>
      <rPr>
        <sz val="10"/>
        <color rgb="FF1D1D21"/>
        <rFont val="Arial"/>
        <family val="2"/>
      </rPr>
      <t>t</t>
    </r>
    <r>
      <rPr>
        <sz val="10"/>
        <color rgb="FF38363B"/>
        <rFont val="Arial"/>
        <family val="2"/>
      </rPr>
      <t>if da</t>
    </r>
    <r>
      <rPr>
        <sz val="10"/>
        <color rgb="FF1D1D21"/>
        <rFont val="Arial"/>
        <family val="2"/>
      </rPr>
      <t>n</t>
    </r>
    <r>
      <rPr>
        <sz val="10"/>
        <color rgb="FF49494D"/>
        <rFont val="Arial"/>
        <family val="2"/>
      </rPr>
      <t xml:space="preserve">/atau </t>
    </r>
    <r>
      <rPr>
        <sz val="10"/>
        <color rgb="FF38363B"/>
        <rFont val="Arial"/>
        <family val="2"/>
      </rPr>
      <t>r</t>
    </r>
    <r>
      <rPr>
        <sz val="10"/>
        <color rgb="FF1D1D21"/>
        <rFont val="Arial"/>
        <family val="2"/>
      </rPr>
      <t>um</t>
    </r>
    <r>
      <rPr>
        <sz val="10"/>
        <color rgb="FF38363B"/>
        <rFont val="Arial"/>
        <family val="2"/>
      </rPr>
      <t xml:space="preserve">or </t>
    </r>
    <r>
      <rPr>
        <sz val="10"/>
        <color rgb="FF1D1D21"/>
        <rFont val="Arial"/>
        <family val="2"/>
      </rPr>
      <t>t</t>
    </r>
    <r>
      <rPr>
        <sz val="10"/>
        <color rgb="FF38363B"/>
        <rFont val="Arial"/>
        <family val="2"/>
      </rPr>
      <t>e</t>
    </r>
    <r>
      <rPr>
        <sz val="10"/>
        <color rgb="FF1D1D21"/>
        <rFont val="Arial"/>
        <family val="2"/>
      </rPr>
      <t>n</t>
    </r>
    <r>
      <rPr>
        <sz val="10"/>
        <color rgb="FF38363B"/>
        <rFont val="Arial"/>
        <family val="2"/>
      </rPr>
      <t>ta</t>
    </r>
    <r>
      <rPr>
        <sz val="10"/>
        <color rgb="FF1D1D21"/>
        <rFont val="Arial"/>
        <family val="2"/>
      </rPr>
      <t>n</t>
    </r>
    <r>
      <rPr>
        <sz val="10"/>
        <color rgb="FF38363B"/>
        <rFont val="Arial"/>
        <family val="2"/>
      </rPr>
      <t>g pe</t>
    </r>
    <r>
      <rPr>
        <sz val="10"/>
        <color rgb="FF1D1D21"/>
        <rFont val="Arial"/>
        <family val="2"/>
      </rPr>
      <t>r</t>
    </r>
    <r>
      <rPr>
        <sz val="10"/>
        <color rgb="FF38363B"/>
        <rFont val="Arial"/>
        <family val="2"/>
      </rPr>
      <t>usahaan. R</t>
    </r>
    <r>
      <rPr>
        <sz val="10"/>
        <color rgb="FF1D1D21"/>
        <rFont val="Arial"/>
        <family val="2"/>
      </rPr>
      <t>i</t>
    </r>
    <r>
      <rPr>
        <sz val="10"/>
        <color rgb="FF49494D"/>
        <rFont val="Arial"/>
        <family val="2"/>
      </rPr>
      <t>s</t>
    </r>
    <r>
      <rPr>
        <sz val="10"/>
        <color rgb="FF1D1D21"/>
        <rFont val="Arial"/>
        <family val="2"/>
      </rPr>
      <t>i</t>
    </r>
    <r>
      <rPr>
        <sz val="10"/>
        <color rgb="FF38363B"/>
        <rFont val="Arial"/>
        <family val="2"/>
      </rPr>
      <t>ko rep</t>
    </r>
    <r>
      <rPr>
        <sz val="10"/>
        <color rgb="FF1D1D21"/>
        <rFont val="Arial"/>
        <family val="2"/>
      </rPr>
      <t>u</t>
    </r>
    <r>
      <rPr>
        <sz val="10"/>
        <color rgb="FF38363B"/>
        <rFont val="Arial"/>
        <family val="2"/>
      </rPr>
      <t>tasi dapat  seca</t>
    </r>
    <r>
      <rPr>
        <sz val="10"/>
        <color rgb="FF1D1D21"/>
        <rFont val="Arial"/>
        <family val="2"/>
      </rPr>
      <t>r</t>
    </r>
    <r>
      <rPr>
        <sz val="10"/>
        <color rgb="FF38363B"/>
        <rFont val="Arial"/>
        <family val="2"/>
      </rPr>
      <t xml:space="preserve">a  </t>
    </r>
    <r>
      <rPr>
        <sz val="10"/>
        <color rgb="FF1D1D21"/>
        <rFont val="Arial"/>
        <family val="2"/>
      </rPr>
      <t>l</t>
    </r>
    <r>
      <rPr>
        <sz val="10"/>
        <color rgb="FF49494D"/>
        <rFont val="Arial"/>
        <family val="2"/>
      </rPr>
      <t xml:space="preserve">angsung </t>
    </r>
    <r>
      <rPr>
        <sz val="10"/>
        <color rgb="FF38363B"/>
        <rFont val="Arial"/>
        <family val="2"/>
      </rPr>
      <t>mempenga</t>
    </r>
    <r>
      <rPr>
        <sz val="10"/>
        <color rgb="FF1D1D21"/>
        <rFont val="Arial"/>
        <family val="2"/>
      </rPr>
      <t>r</t>
    </r>
    <r>
      <rPr>
        <sz val="10"/>
        <color rgb="FF38363B"/>
        <rFont val="Arial"/>
        <family val="2"/>
      </rPr>
      <t xml:space="preserve">uhi kegiatan
</t>
    </r>
    <r>
      <rPr>
        <sz val="10"/>
        <color rgb="FF1D1D21"/>
        <rFont val="Arial"/>
        <family val="2"/>
      </rPr>
      <t>bi</t>
    </r>
    <r>
      <rPr>
        <sz val="10"/>
        <color rgb="FF38363B"/>
        <rFont val="Arial"/>
        <family val="2"/>
      </rPr>
      <t>snis</t>
    </r>
    <r>
      <rPr>
        <sz val="10"/>
        <color rgb="FF49494D"/>
        <rFont val="Arial"/>
        <family val="2"/>
      </rPr>
      <t>perusahaan.</t>
    </r>
  </si>
  <si>
    <r>
      <rPr>
        <sz val="10"/>
        <color rgb="FF38363B"/>
        <rFont val="Arial"/>
        <family val="2"/>
      </rPr>
      <t xml:space="preserve">a.   </t>
    </r>
    <r>
      <rPr>
        <vertAlign val="superscript"/>
        <sz val="10"/>
        <color rgb="FF38363B"/>
        <rFont val="Arial"/>
        <family val="2"/>
      </rPr>
      <t>Demons</t>
    </r>
    <r>
      <rPr>
        <vertAlign val="superscript"/>
        <sz val="10"/>
        <color rgb="FF1D1D21"/>
        <rFont val="Arial"/>
        <family val="2"/>
      </rPr>
      <t>t</t>
    </r>
    <r>
      <rPr>
        <vertAlign val="superscript"/>
        <sz val="10"/>
        <color rgb="FF38363B"/>
        <rFont val="Arial"/>
        <family val="2"/>
      </rPr>
      <t xml:space="preserve">rasi </t>
    </r>
    <r>
      <rPr>
        <vertAlign val="superscript"/>
        <sz val="10"/>
        <color rgb="FF49494D"/>
        <rFont val="Arial"/>
        <family val="2"/>
      </rPr>
      <t xml:space="preserve">atau </t>
    </r>
    <r>
      <rPr>
        <i/>
        <vertAlign val="superscript"/>
        <sz val="10"/>
        <color rgb="FF49494D"/>
        <rFont val="Arial"/>
        <family val="2"/>
      </rPr>
      <t xml:space="preserve">class </t>
    </r>
    <r>
      <rPr>
        <i/>
        <vertAlign val="superscript"/>
        <sz val="10"/>
        <color rgb="FF38363B"/>
        <rFont val="Arial"/>
        <family val="2"/>
      </rPr>
      <t xml:space="preserve">action
</t>
    </r>
    <r>
      <rPr>
        <sz val="10"/>
        <color rgb="FF38363B"/>
        <rFont val="Arial"/>
        <family val="2"/>
      </rPr>
      <t xml:space="preserve">b.   Reputasi  </t>
    </r>
    <r>
      <rPr>
        <sz val="10"/>
        <color rgb="FF49494D"/>
        <rFont val="Arial"/>
        <family val="2"/>
      </rPr>
      <t xml:space="preserve">perusahaan  </t>
    </r>
    <r>
      <rPr>
        <sz val="10"/>
        <color rgb="FF38363B"/>
        <rFont val="Arial"/>
        <family val="2"/>
      </rPr>
      <t xml:space="preserve">dalam  </t>
    </r>
    <r>
      <rPr>
        <sz val="10"/>
        <color rgb="FF49494D"/>
        <rFont val="Arial"/>
        <family val="2"/>
      </rPr>
      <t xml:space="preserve">mencapai  </t>
    </r>
    <r>
      <rPr>
        <i/>
        <sz val="10"/>
        <color rgb="FF38363B"/>
        <rFont val="Arial"/>
        <family val="2"/>
      </rPr>
      <t>ze</t>
    </r>
    <r>
      <rPr>
        <i/>
        <sz val="10"/>
        <color rgb="FF6B6B72"/>
        <rFont val="Arial"/>
        <family val="2"/>
      </rPr>
      <t xml:space="preserve">ro </t>
    </r>
    <r>
      <rPr>
        <i/>
        <sz val="10"/>
        <color rgb="FF49494D"/>
        <rFont val="Arial"/>
        <family val="2"/>
      </rPr>
      <t xml:space="preserve">accident
</t>
    </r>
    <r>
      <rPr>
        <sz val="10"/>
        <color rgb="FF49494D"/>
        <rFont val="Arial"/>
        <family val="2"/>
      </rPr>
      <t xml:space="preserve">C.     (dapat </t>
    </r>
    <r>
      <rPr>
        <sz val="10"/>
        <color rgb="FF38363B"/>
        <rFont val="Arial"/>
        <family val="2"/>
      </rPr>
      <t>d</t>
    </r>
    <r>
      <rPr>
        <sz val="10"/>
        <color rgb="FF1D1D21"/>
        <rFont val="Arial"/>
        <family val="2"/>
      </rPr>
      <t>i</t>
    </r>
    <r>
      <rPr>
        <sz val="10"/>
        <color rgb="FF49494D"/>
        <rFont val="Arial"/>
        <family val="2"/>
      </rPr>
      <t>ta</t>
    </r>
    <r>
      <rPr>
        <sz val="10"/>
        <color rgb="FF1D1D21"/>
        <rFont val="Arial"/>
        <family val="2"/>
      </rPr>
      <t>m</t>
    </r>
    <r>
      <rPr>
        <sz val="10"/>
        <color rgb="FF38363B"/>
        <rFont val="Arial"/>
        <family val="2"/>
      </rPr>
      <t xml:space="preserve">bahkan sesuai </t>
    </r>
    <r>
      <rPr>
        <sz val="10"/>
        <color rgb="FF1D1D21"/>
        <rFont val="Arial"/>
        <family val="2"/>
      </rPr>
      <t>k</t>
    </r>
    <r>
      <rPr>
        <sz val="10"/>
        <color rgb="FF49494D"/>
        <rFont val="Arial"/>
        <family val="2"/>
      </rPr>
      <t>on</t>
    </r>
    <r>
      <rPr>
        <sz val="10"/>
        <color rgb="FF1D1D21"/>
        <rFont val="Arial"/>
        <family val="2"/>
      </rPr>
      <t>t</t>
    </r>
    <r>
      <rPr>
        <sz val="10"/>
        <color rgb="FF49494D"/>
        <rFont val="Arial"/>
        <family val="2"/>
      </rPr>
      <t xml:space="preserve">eks </t>
    </r>
    <r>
      <rPr>
        <sz val="10"/>
        <color rgb="FF38363B"/>
        <rFont val="Arial"/>
        <family val="2"/>
      </rPr>
      <t>peris</t>
    </r>
    <r>
      <rPr>
        <sz val="10"/>
        <color rgb="FF1D1D21"/>
        <rFont val="Arial"/>
        <family val="2"/>
      </rPr>
      <t>t</t>
    </r>
    <r>
      <rPr>
        <sz val="10"/>
        <color rgb="FF38363B"/>
        <rFont val="Arial"/>
        <family val="2"/>
      </rPr>
      <t xml:space="preserve">iwa </t>
    </r>
    <r>
      <rPr>
        <sz val="10"/>
        <color rgb="FF1D1D21"/>
        <rFont val="Arial"/>
        <family val="2"/>
      </rPr>
      <t>r</t>
    </r>
    <r>
      <rPr>
        <sz val="10"/>
        <color rgb="FF49494D"/>
        <rFont val="Arial"/>
        <family val="2"/>
      </rPr>
      <t xml:space="preserve">isiko </t>
    </r>
    <r>
      <rPr>
        <sz val="10"/>
        <color rgb="FF38363B"/>
        <rFont val="Arial"/>
        <family val="2"/>
      </rPr>
      <t xml:space="preserve">pada </t>
    </r>
    <r>
      <rPr>
        <sz val="10"/>
        <color rgb="FF49494D"/>
        <rFont val="Arial"/>
        <family val="2"/>
      </rPr>
      <t xml:space="preserve">satuan </t>
    </r>
    <r>
      <rPr>
        <sz val="10"/>
        <color rgb="FF38363B"/>
        <rFont val="Arial"/>
        <family val="2"/>
      </rPr>
      <t>ke</t>
    </r>
    <r>
      <rPr>
        <sz val="10"/>
        <color rgb="FF1D1D21"/>
        <rFont val="Arial"/>
        <family val="2"/>
      </rPr>
      <t>r</t>
    </r>
    <r>
      <rPr>
        <sz val="10"/>
        <color rgb="FF38363B"/>
        <rFont val="Arial"/>
        <family val="2"/>
      </rPr>
      <t>ja mas</t>
    </r>
    <r>
      <rPr>
        <sz val="10"/>
        <color rgb="FF1D1D21"/>
        <rFont val="Arial"/>
        <family val="2"/>
      </rPr>
      <t>i</t>
    </r>
    <r>
      <rPr>
        <sz val="10"/>
        <color rgb="FF38363B"/>
        <rFont val="Arial"/>
        <family val="2"/>
      </rPr>
      <t>ng-masing)</t>
    </r>
  </si>
  <si>
    <r>
      <rPr>
        <sz val="10"/>
        <color rgb="FF49494D"/>
        <rFont val="Arial"/>
        <family val="2"/>
      </rPr>
      <t>Ris</t>
    </r>
    <r>
      <rPr>
        <sz val="10"/>
        <color rgb="FF1D1D21"/>
        <rFont val="Arial"/>
        <family val="2"/>
      </rPr>
      <t>i</t>
    </r>
    <r>
      <rPr>
        <sz val="10"/>
        <color rgb="FF49494D"/>
        <rFont val="Arial"/>
        <family val="2"/>
      </rPr>
      <t xml:space="preserve">ko kepatuhan </t>
    </r>
    <r>
      <rPr>
        <sz val="10"/>
        <color rgb="FF38363B"/>
        <rFont val="Arial"/>
        <family val="2"/>
      </rPr>
      <t>terhadap peratu</t>
    </r>
    <r>
      <rPr>
        <sz val="10"/>
        <color rgb="FF1D1D21"/>
        <rFont val="Arial"/>
        <family val="2"/>
      </rPr>
      <t>r</t>
    </r>
    <r>
      <rPr>
        <sz val="10"/>
        <color rgb="FF49494D"/>
        <rFont val="Arial"/>
        <family val="2"/>
      </rPr>
      <t xml:space="preserve">an </t>
    </r>
    <r>
      <rPr>
        <sz val="10"/>
        <color rgb="FF1D1D21"/>
        <rFont val="Arial"/>
        <family val="2"/>
      </rPr>
      <t>d</t>
    </r>
    <r>
      <rPr>
        <sz val="10"/>
        <color rgb="FF49494D"/>
        <rFont val="Arial"/>
        <family val="2"/>
      </rPr>
      <t xml:space="preserve">an </t>
    </r>
    <r>
      <rPr>
        <sz val="10"/>
        <color rgb="FF38363B"/>
        <rFont val="Arial"/>
        <family val="2"/>
      </rPr>
      <t>keb</t>
    </r>
    <r>
      <rPr>
        <sz val="10"/>
        <color rgb="FF1D1D21"/>
        <rFont val="Arial"/>
        <family val="2"/>
      </rPr>
      <t>ij</t>
    </r>
    <r>
      <rPr>
        <sz val="10"/>
        <color rgb="FF38363B"/>
        <rFont val="Arial"/>
        <family val="2"/>
      </rPr>
      <t>aka</t>
    </r>
    <r>
      <rPr>
        <sz val="10"/>
        <color rgb="FF1D1D21"/>
        <rFont val="Arial"/>
        <family val="2"/>
      </rPr>
      <t>n</t>
    </r>
  </si>
  <si>
    <r>
      <rPr>
        <sz val="10"/>
        <color rgb="FF38363B"/>
        <rFont val="Arial"/>
        <family val="2"/>
      </rPr>
      <t xml:space="preserve">Risiko  </t>
    </r>
    <r>
      <rPr>
        <sz val="10"/>
        <color rgb="FF49494D"/>
        <rFont val="Arial"/>
        <family val="2"/>
      </rPr>
      <t xml:space="preserve">yang  </t>
    </r>
    <r>
      <rPr>
        <sz val="10"/>
        <color rgb="FF38363B"/>
        <rFont val="Arial"/>
        <family val="2"/>
      </rPr>
      <t xml:space="preserve">timbul  </t>
    </r>
    <r>
      <rPr>
        <sz val="10"/>
        <color rgb="FF49494D"/>
        <rFont val="Arial"/>
        <family val="2"/>
      </rPr>
      <t xml:space="preserve">sebagai  </t>
    </r>
    <r>
      <rPr>
        <sz val="10"/>
        <color rgb="FF38363B"/>
        <rFont val="Arial"/>
        <family val="2"/>
      </rPr>
      <t xml:space="preserve">akibat  dari  ketidakpatuhan </t>
    </r>
    <r>
      <rPr>
        <sz val="10"/>
        <color rgb="FF49494D"/>
        <rFont val="Arial"/>
        <family val="2"/>
      </rPr>
      <t xml:space="preserve">terhadap  </t>
    </r>
    <r>
      <rPr>
        <sz val="10"/>
        <color rgb="FF38363B"/>
        <rFont val="Arial"/>
        <family val="2"/>
      </rPr>
      <t>pe</t>
    </r>
    <r>
      <rPr>
        <sz val="10"/>
        <color rgb="FF1D1D21"/>
        <rFont val="Arial"/>
        <family val="2"/>
      </rPr>
      <t>r</t>
    </r>
    <r>
      <rPr>
        <sz val="10"/>
        <color rgb="FF38363B"/>
        <rFont val="Arial"/>
        <family val="2"/>
      </rPr>
      <t>aturan perundang-  unda</t>
    </r>
    <r>
      <rPr>
        <sz val="10"/>
        <color rgb="FF1D1D21"/>
        <rFont val="Arial"/>
        <family val="2"/>
      </rPr>
      <t>n</t>
    </r>
    <r>
      <rPr>
        <sz val="10"/>
        <color rgb="FF38363B"/>
        <rFont val="Arial"/>
        <family val="2"/>
      </rPr>
      <t>gan  atau  regulasi ya</t>
    </r>
    <r>
      <rPr>
        <sz val="10"/>
        <color rgb="FF1D1D21"/>
        <rFont val="Arial"/>
        <family val="2"/>
      </rPr>
      <t>n</t>
    </r>
    <r>
      <rPr>
        <sz val="10"/>
        <color rgb="FF38363B"/>
        <rFont val="Arial"/>
        <family val="2"/>
      </rPr>
      <t>g berlaku,  bai</t>
    </r>
    <r>
      <rPr>
        <sz val="10"/>
        <color rgb="FF1D1D21"/>
        <rFont val="Arial"/>
        <family val="2"/>
      </rPr>
      <t>k  r</t>
    </r>
    <r>
      <rPr>
        <sz val="10"/>
        <color rgb="FF49494D"/>
        <rFont val="Arial"/>
        <family val="2"/>
      </rPr>
      <t>eg</t>
    </r>
    <r>
      <rPr>
        <sz val="10"/>
        <color rgb="FF1D1D21"/>
        <rFont val="Arial"/>
        <family val="2"/>
      </rPr>
      <t>u</t>
    </r>
    <r>
      <rPr>
        <sz val="10"/>
        <color rgb="FF38363B"/>
        <rFont val="Arial"/>
        <family val="2"/>
      </rPr>
      <t>las</t>
    </r>
    <r>
      <rPr>
        <sz val="10"/>
        <color rgb="FF1D1D21"/>
        <rFont val="Arial"/>
        <family val="2"/>
      </rPr>
      <t>i  e</t>
    </r>
    <r>
      <rPr>
        <sz val="10"/>
        <color rgb="FF38363B"/>
        <rFont val="Arial"/>
        <family val="2"/>
      </rPr>
      <t>ksterna</t>
    </r>
    <r>
      <rPr>
        <sz val="10"/>
        <color rgb="FF1D1D21"/>
        <rFont val="Arial"/>
        <family val="2"/>
      </rPr>
      <t xml:space="preserve">l  </t>
    </r>
    <r>
      <rPr>
        <sz val="10"/>
        <color rgb="FF38363B"/>
        <rFont val="Arial"/>
        <family val="2"/>
      </rPr>
      <t>maup</t>
    </r>
    <r>
      <rPr>
        <sz val="10"/>
        <color rgb="FF1D1D21"/>
        <rFont val="Arial"/>
        <family val="2"/>
      </rPr>
      <t>u</t>
    </r>
    <r>
      <rPr>
        <sz val="10"/>
        <color rgb="FF38363B"/>
        <rFont val="Arial"/>
        <family val="2"/>
      </rPr>
      <t xml:space="preserve">n  </t>
    </r>
    <r>
      <rPr>
        <sz val="10"/>
        <color rgb="FF49494D"/>
        <rFont val="Arial"/>
        <family val="2"/>
      </rPr>
      <t>eks</t>
    </r>
    <r>
      <rPr>
        <sz val="10"/>
        <color rgb="FF1D1D21"/>
        <rFont val="Arial"/>
        <family val="2"/>
      </rPr>
      <t>t</t>
    </r>
    <r>
      <rPr>
        <sz val="10"/>
        <color rgb="FF38363B"/>
        <rFont val="Arial"/>
        <family val="2"/>
      </rPr>
      <t>e</t>
    </r>
    <r>
      <rPr>
        <sz val="10"/>
        <color rgb="FF1D1D21"/>
        <rFont val="Arial"/>
        <family val="2"/>
      </rPr>
      <t>rn</t>
    </r>
    <r>
      <rPr>
        <sz val="10"/>
        <color rgb="FF38363B"/>
        <rFont val="Arial"/>
        <family val="2"/>
      </rPr>
      <t>a</t>
    </r>
    <r>
      <rPr>
        <sz val="10"/>
        <color rgb="FF000000"/>
        <rFont val="Arial"/>
        <family val="2"/>
      </rPr>
      <t>l</t>
    </r>
    <r>
      <rPr>
        <sz val="10"/>
        <color rgb="FF49494D"/>
        <rFont val="Arial"/>
        <family val="2"/>
      </rPr>
      <t xml:space="preserve">, </t>
    </r>
    <r>
      <rPr>
        <vertAlign val="superscript"/>
        <sz val="10"/>
        <color rgb="FF49494D"/>
        <rFont val="Arial"/>
        <family val="2"/>
      </rPr>
      <t>pengenda</t>
    </r>
    <r>
      <rPr>
        <vertAlign val="superscript"/>
        <sz val="10"/>
        <color rgb="FF1D1D21"/>
        <rFont val="Arial"/>
        <family val="2"/>
      </rPr>
      <t>l</t>
    </r>
    <r>
      <rPr>
        <vertAlign val="superscript"/>
        <sz val="10"/>
        <color rgb="FF49494D"/>
        <rFont val="Arial"/>
        <family val="2"/>
      </rPr>
      <t xml:space="preserve">ian    </t>
    </r>
    <r>
      <rPr>
        <sz val="10"/>
        <color rgb="FF38363B"/>
        <rFont val="Arial"/>
        <family val="2"/>
      </rPr>
      <t>i</t>
    </r>
    <r>
      <rPr>
        <sz val="10"/>
        <color rgb="FF1D1D21"/>
        <rFont val="Arial"/>
        <family val="2"/>
      </rPr>
      <t>n</t>
    </r>
    <r>
      <rPr>
        <sz val="10"/>
        <color rgb="FF38363B"/>
        <rFont val="Arial"/>
        <family val="2"/>
      </rPr>
      <t>ternal</t>
    </r>
    <r>
      <rPr>
        <sz val="10"/>
        <color rgb="FF6B6B72"/>
        <rFont val="Arial"/>
        <family val="2"/>
      </rPr>
      <t xml:space="preserve">,    </t>
    </r>
    <r>
      <rPr>
        <sz val="10"/>
        <color rgb="FF38363B"/>
        <rFont val="Arial"/>
        <family val="2"/>
      </rPr>
      <t>pe</t>
    </r>
    <r>
      <rPr>
        <sz val="10"/>
        <color rgb="FF1D1D21"/>
        <rFont val="Arial"/>
        <family val="2"/>
      </rPr>
      <t>l</t>
    </r>
    <r>
      <rPr>
        <sz val="10"/>
        <color rgb="FF38363B"/>
        <rFont val="Arial"/>
        <family val="2"/>
      </rPr>
      <t>aporan</t>
    </r>
    <r>
      <rPr>
        <sz val="10"/>
        <color rgb="FF6B6B72"/>
        <rFont val="Arial"/>
        <family val="2"/>
      </rPr>
      <t xml:space="preserve">,    </t>
    </r>
    <r>
      <rPr>
        <sz val="10"/>
        <color rgb="FF49494D"/>
        <rFont val="Arial"/>
        <family val="2"/>
      </rPr>
      <t>aud</t>
    </r>
    <r>
      <rPr>
        <sz val="10"/>
        <color rgb="FF1D1D21"/>
        <rFont val="Arial"/>
        <family val="2"/>
      </rPr>
      <t>i</t>
    </r>
    <r>
      <rPr>
        <sz val="10"/>
        <color rgb="FF38363B"/>
        <rFont val="Arial"/>
        <family val="2"/>
      </rPr>
      <t xml:space="preserve">t,    </t>
    </r>
    <r>
      <rPr>
        <sz val="10"/>
        <color rgb="FF49494D"/>
        <rFont val="Arial"/>
        <family val="2"/>
      </rPr>
      <t>keb</t>
    </r>
    <r>
      <rPr>
        <sz val="10"/>
        <color rgb="FF1D1D21"/>
        <rFont val="Arial"/>
        <family val="2"/>
      </rPr>
      <t>i</t>
    </r>
    <r>
      <rPr>
        <sz val="10"/>
        <color rgb="FF38363B"/>
        <rFont val="Arial"/>
        <family val="2"/>
      </rPr>
      <t>jakan</t>
    </r>
    <r>
      <rPr>
        <sz val="10"/>
        <color rgb="FF6B6B72"/>
        <rFont val="Arial"/>
        <family val="2"/>
      </rPr>
      <t xml:space="preserve">, </t>
    </r>
    <r>
      <rPr>
        <sz val="10"/>
        <color rgb="FF38363B"/>
        <rFont val="Arial"/>
        <family val="2"/>
      </rPr>
      <t xml:space="preserve">standardisasi      dan     </t>
    </r>
    <r>
      <rPr>
        <sz val="10"/>
        <color rgb="FF49494D"/>
        <rFont val="Arial"/>
        <family val="2"/>
      </rPr>
      <t xml:space="preserve">aspek      </t>
    </r>
    <r>
      <rPr>
        <sz val="10"/>
        <color rgb="FF38363B"/>
        <rFont val="Arial"/>
        <family val="2"/>
      </rPr>
      <t>la</t>
    </r>
    <r>
      <rPr>
        <sz val="10"/>
        <color rgb="FF1D1D21"/>
        <rFont val="Arial"/>
        <family val="2"/>
      </rPr>
      <t>i</t>
    </r>
    <r>
      <rPr>
        <sz val="10"/>
        <color rgb="FF49494D"/>
        <rFont val="Arial"/>
        <family val="2"/>
      </rPr>
      <t>nnya     ya</t>
    </r>
    <r>
      <rPr>
        <sz val="10"/>
        <color rgb="FF1D1D21"/>
        <rFont val="Arial"/>
        <family val="2"/>
      </rPr>
      <t>n</t>
    </r>
    <r>
      <rPr>
        <sz val="10"/>
        <color rgb="FF38363B"/>
        <rFont val="Arial"/>
        <family val="2"/>
      </rPr>
      <t>g     dapat
mempengaruh</t>
    </r>
    <r>
      <rPr>
        <sz val="10"/>
        <color rgb="FF1D1D21"/>
        <rFont val="Arial"/>
        <family val="2"/>
      </rPr>
      <t xml:space="preserve">i </t>
    </r>
    <r>
      <rPr>
        <sz val="10"/>
        <color rgb="FF38363B"/>
        <rFont val="Arial"/>
        <family val="2"/>
      </rPr>
      <t>P</t>
    </r>
    <r>
      <rPr>
        <sz val="10"/>
        <color rgb="FF1D1D21"/>
        <rFont val="Arial"/>
        <family val="2"/>
      </rPr>
      <t>L</t>
    </r>
    <r>
      <rPr>
        <sz val="10"/>
        <color rgb="FF38363B"/>
        <rFont val="Arial"/>
        <family val="2"/>
      </rPr>
      <t>N.</t>
    </r>
  </si>
  <si>
    <r>
      <rPr>
        <sz val="10"/>
        <color rgb="FF38363B"/>
        <rFont val="Arial"/>
        <family val="2"/>
      </rPr>
      <t>a.   Te</t>
    </r>
    <r>
      <rPr>
        <sz val="10"/>
        <color rgb="FF1D1D21"/>
        <rFont val="Arial"/>
        <family val="2"/>
      </rPr>
      <t>r</t>
    </r>
    <r>
      <rPr>
        <sz val="10"/>
        <color rgb="FF49494D"/>
        <rFont val="Arial"/>
        <family val="2"/>
      </rPr>
      <t xml:space="preserve">dapat   temuan   ketidaksesuaian   dalam </t>
    </r>
    <r>
      <rPr>
        <sz val="10"/>
        <color rgb="FF38363B"/>
        <rFont val="Arial"/>
        <family val="2"/>
      </rPr>
      <t>pengenda</t>
    </r>
    <r>
      <rPr>
        <sz val="10"/>
        <color rgb="FF1D1D21"/>
        <rFont val="Arial"/>
        <family val="2"/>
      </rPr>
      <t>l</t>
    </r>
    <r>
      <rPr>
        <sz val="10"/>
        <color rgb="FF38363B"/>
        <rFont val="Arial"/>
        <family val="2"/>
      </rPr>
      <t xml:space="preserve">ian      internal      dan      </t>
    </r>
    <r>
      <rPr>
        <vertAlign val="superscript"/>
        <sz val="10"/>
        <color rgb="FF49494D"/>
        <rFont val="Arial"/>
        <family val="2"/>
      </rPr>
      <t>pe</t>
    </r>
    <r>
      <rPr>
        <vertAlign val="superscript"/>
        <sz val="10"/>
        <color rgb="FF000000"/>
        <rFont val="Arial"/>
        <family val="2"/>
      </rPr>
      <t>l</t>
    </r>
    <r>
      <rPr>
        <vertAlign val="superscript"/>
        <sz val="10"/>
        <color rgb="FF38363B"/>
        <rFont val="Arial"/>
        <family val="2"/>
      </rPr>
      <t>apora</t>
    </r>
    <r>
      <rPr>
        <vertAlign val="superscript"/>
        <sz val="10"/>
        <color rgb="FF1D1D21"/>
        <rFont val="Arial"/>
        <family val="2"/>
      </rPr>
      <t xml:space="preserve">n </t>
    </r>
    <r>
      <rPr>
        <sz val="10"/>
        <color rgb="FF38363B"/>
        <rFont val="Arial"/>
        <family val="2"/>
      </rPr>
      <t>ke</t>
    </r>
    <r>
      <rPr>
        <sz val="10"/>
        <color rgb="FF1D1D21"/>
        <rFont val="Arial"/>
        <family val="2"/>
      </rPr>
      <t>u</t>
    </r>
    <r>
      <rPr>
        <sz val="10"/>
        <color rgb="FF38363B"/>
        <rFont val="Arial"/>
        <family val="2"/>
      </rPr>
      <t>anga</t>
    </r>
    <r>
      <rPr>
        <sz val="10"/>
        <color rgb="FF1D1D21"/>
        <rFont val="Arial"/>
        <family val="2"/>
      </rPr>
      <t>n
b</t>
    </r>
    <r>
      <rPr>
        <sz val="10"/>
        <color rgb="FF49494D"/>
        <rFont val="Arial"/>
        <family val="2"/>
      </rPr>
      <t xml:space="preserve">.   </t>
    </r>
    <r>
      <rPr>
        <sz val="10"/>
        <color rgb="FF38363B"/>
        <rFont val="Arial"/>
        <family val="2"/>
      </rPr>
      <t>Ketidakpa</t>
    </r>
    <r>
      <rPr>
        <sz val="10"/>
        <color rgb="FF1D1D21"/>
        <rFont val="Arial"/>
        <family val="2"/>
      </rPr>
      <t>u</t>
    </r>
    <r>
      <rPr>
        <sz val="10"/>
        <color rgb="FF38363B"/>
        <rFont val="Arial"/>
        <family val="2"/>
      </rPr>
      <t xml:space="preserve">t </t>
    </r>
    <r>
      <rPr>
        <sz val="10"/>
        <color rgb="FF1D1D21"/>
        <rFont val="Arial"/>
        <family val="2"/>
      </rPr>
      <t>h</t>
    </r>
    <r>
      <rPr>
        <sz val="10"/>
        <color rgb="FF49494D"/>
        <rFont val="Arial"/>
        <family val="2"/>
      </rPr>
      <t xml:space="preserve">an  terhadap  </t>
    </r>
    <r>
      <rPr>
        <vertAlign val="superscript"/>
        <sz val="10"/>
        <color rgb="FF38363B"/>
        <rFont val="Arial"/>
        <family val="2"/>
      </rPr>
      <t>peratura</t>
    </r>
    <r>
      <rPr>
        <vertAlign val="superscript"/>
        <sz val="10"/>
        <color rgb="FF1D1D21"/>
        <rFont val="Arial"/>
        <family val="2"/>
      </rPr>
      <t>n  t</t>
    </r>
    <r>
      <rPr>
        <vertAlign val="superscript"/>
        <sz val="10"/>
        <color rgb="FF38363B"/>
        <rFont val="Arial"/>
        <family val="2"/>
      </rPr>
      <t xml:space="preserve">enaga </t>
    </r>
    <r>
      <rPr>
        <sz val="10"/>
        <color rgb="FF49494D"/>
        <rFont val="Arial"/>
        <family val="2"/>
      </rPr>
      <t>ker</t>
    </r>
    <r>
      <rPr>
        <sz val="10"/>
        <color rgb="FF1D1D21"/>
        <rFont val="Arial"/>
        <family val="2"/>
      </rPr>
      <t>j</t>
    </r>
    <r>
      <rPr>
        <sz val="10"/>
        <color rgb="FF38363B"/>
        <rFont val="Arial"/>
        <family val="2"/>
      </rPr>
      <t xml:space="preserve">a
</t>
    </r>
    <r>
      <rPr>
        <i/>
        <sz val="10"/>
        <color rgb="FF49494D"/>
        <rFont val="Arial"/>
        <family val="2"/>
      </rPr>
      <t xml:space="preserve">C.      </t>
    </r>
    <r>
      <rPr>
        <vertAlign val="superscript"/>
        <sz val="10"/>
        <color rgb="FF49494D"/>
        <rFont val="Arial"/>
        <family val="2"/>
      </rPr>
      <t xml:space="preserve">(dapat </t>
    </r>
    <r>
      <rPr>
        <vertAlign val="superscript"/>
        <sz val="10"/>
        <color rgb="FF38363B"/>
        <rFont val="Arial"/>
        <family val="2"/>
      </rPr>
      <t xml:space="preserve">ditambahkan sesuai konteks peristiwa </t>
    </r>
    <r>
      <rPr>
        <sz val="10"/>
        <color rgb="FF38363B"/>
        <rFont val="Arial"/>
        <family val="2"/>
      </rPr>
      <t xml:space="preserve">risiko pada satuan </t>
    </r>
    <r>
      <rPr>
        <sz val="10"/>
        <color rgb="FF49494D"/>
        <rFont val="Arial"/>
        <family val="2"/>
      </rPr>
      <t xml:space="preserve">kerja </t>
    </r>
    <r>
      <rPr>
        <sz val="10"/>
        <color rgb="FF38363B"/>
        <rFont val="Arial"/>
        <family val="2"/>
      </rPr>
      <t>masing</t>
    </r>
    <r>
      <rPr>
        <sz val="10"/>
        <color rgb="FF1D1D21"/>
        <rFont val="Arial"/>
        <family val="2"/>
      </rPr>
      <t>-</t>
    </r>
    <r>
      <rPr>
        <sz val="10"/>
        <color rgb="FF49494D"/>
        <rFont val="Arial"/>
        <family val="2"/>
      </rPr>
      <t>masi</t>
    </r>
    <r>
      <rPr>
        <sz val="10"/>
        <color rgb="FF1D1D21"/>
        <rFont val="Arial"/>
        <family val="2"/>
      </rPr>
      <t>n</t>
    </r>
    <r>
      <rPr>
        <sz val="10"/>
        <color rgb="FF49494D"/>
        <rFont val="Arial"/>
        <family val="2"/>
      </rPr>
      <t>g)</t>
    </r>
  </si>
  <si>
    <r>
      <rPr>
        <sz val="10"/>
        <color rgb="FF38363B"/>
        <rFont val="Arial"/>
        <family val="2"/>
      </rPr>
      <t xml:space="preserve">Risiko </t>
    </r>
    <r>
      <rPr>
        <sz val="10"/>
        <color theme="1"/>
        <rFont val="Arial"/>
        <family val="2"/>
      </rPr>
      <t>l</t>
    </r>
    <r>
      <rPr>
        <sz val="10"/>
        <color rgb="FF38363B"/>
        <rFont val="Arial"/>
        <family val="2"/>
      </rPr>
      <t>itigasi/h</t>
    </r>
    <r>
      <rPr>
        <sz val="10"/>
        <color rgb="FF1D1D21"/>
        <rFont val="Arial"/>
        <family val="2"/>
      </rPr>
      <t>u</t>
    </r>
    <r>
      <rPr>
        <sz val="10"/>
        <color rgb="FF49494D"/>
        <rFont val="Arial"/>
        <family val="2"/>
      </rPr>
      <t>kum</t>
    </r>
  </si>
  <si>
    <r>
      <rPr>
        <vertAlign val="superscript"/>
        <sz val="10"/>
        <color rgb="FF1D1D21"/>
        <rFont val="Arial"/>
        <family val="2"/>
      </rPr>
      <t>Ri</t>
    </r>
    <r>
      <rPr>
        <vertAlign val="superscript"/>
        <sz val="10"/>
        <color rgb="FF38363B"/>
        <rFont val="Arial"/>
        <family val="2"/>
      </rPr>
      <t xml:space="preserve">siko  </t>
    </r>
    <r>
      <rPr>
        <vertAlign val="superscript"/>
        <sz val="10"/>
        <color rgb="FF49494D"/>
        <rFont val="Arial"/>
        <family val="2"/>
      </rPr>
      <t>o</t>
    </r>
    <r>
      <rPr>
        <vertAlign val="superscript"/>
        <sz val="10"/>
        <color rgb="FF1D1D21"/>
        <rFont val="Arial"/>
        <family val="2"/>
      </rPr>
      <t>r</t>
    </r>
    <r>
      <rPr>
        <vertAlign val="superscript"/>
        <sz val="10"/>
        <color rgb="FF38363B"/>
        <rFont val="Arial"/>
        <family val="2"/>
      </rPr>
      <t>ganisas</t>
    </r>
    <r>
      <rPr>
        <vertAlign val="superscript"/>
        <sz val="10"/>
        <color rgb="FF1D1D21"/>
        <rFont val="Arial"/>
        <family val="2"/>
      </rPr>
      <t xml:space="preserve">i   </t>
    </r>
    <r>
      <rPr>
        <vertAlign val="superscript"/>
        <sz val="10"/>
        <color rgb="FF38363B"/>
        <rFont val="Arial"/>
        <family val="2"/>
      </rPr>
      <t>me</t>
    </r>
    <r>
      <rPr>
        <vertAlign val="superscript"/>
        <sz val="10"/>
        <color rgb="FF1D1D21"/>
        <rFont val="Arial"/>
        <family val="2"/>
      </rPr>
      <t>l</t>
    </r>
    <r>
      <rPr>
        <vertAlign val="superscript"/>
        <sz val="10"/>
        <color rgb="FF38363B"/>
        <rFont val="Arial"/>
        <family val="2"/>
      </rPr>
      <t xml:space="preserve">anggar  </t>
    </r>
    <r>
      <rPr>
        <sz val="10"/>
        <color rgb="FF38363B"/>
        <rFont val="Arial"/>
        <family val="2"/>
      </rPr>
      <t>persyaratan   hukum   dan peratu</t>
    </r>
    <r>
      <rPr>
        <sz val="10"/>
        <color rgb="FF1D1D21"/>
        <rFont val="Arial"/>
        <family val="2"/>
      </rPr>
      <t>r</t>
    </r>
    <r>
      <rPr>
        <sz val="10"/>
        <color rgb="FF49494D"/>
        <rFont val="Arial"/>
        <family val="2"/>
      </rPr>
      <t>a</t>
    </r>
    <r>
      <rPr>
        <sz val="10"/>
        <color rgb="FF1D1D21"/>
        <rFont val="Arial"/>
        <family val="2"/>
      </rPr>
      <t>n</t>
    </r>
    <r>
      <rPr>
        <sz val="10"/>
        <color rgb="FF49494D"/>
        <rFont val="Arial"/>
        <family val="2"/>
      </rPr>
      <t xml:space="preserve">,  </t>
    </r>
    <r>
      <rPr>
        <sz val="10"/>
        <color rgb="FF38363B"/>
        <rFont val="Arial"/>
        <family val="2"/>
      </rPr>
      <t>termasuk  namu</t>
    </r>
    <r>
      <rPr>
        <sz val="10"/>
        <color rgb="FF1D1D21"/>
        <rFont val="Arial"/>
        <family val="2"/>
      </rPr>
      <t xml:space="preserve">n  </t>
    </r>
    <r>
      <rPr>
        <sz val="10"/>
        <color rgb="FF38363B"/>
        <rFont val="Arial"/>
        <family val="2"/>
      </rPr>
      <t>tidak  terbatas  pada,  R</t>
    </r>
    <r>
      <rPr>
        <sz val="10"/>
        <color rgb="FF1D1D21"/>
        <rFont val="Arial"/>
        <family val="2"/>
      </rPr>
      <t>i</t>
    </r>
    <r>
      <rPr>
        <sz val="10"/>
        <color rgb="FF38363B"/>
        <rFont val="Arial"/>
        <family val="2"/>
      </rPr>
      <t>siko pela</t>
    </r>
    <r>
      <rPr>
        <sz val="10"/>
        <color rgb="FF1D1D21"/>
        <rFont val="Arial"/>
        <family val="2"/>
      </rPr>
      <t>n</t>
    </r>
    <r>
      <rPr>
        <sz val="10"/>
        <color rgb="FF49494D"/>
        <rFont val="Arial"/>
        <family val="2"/>
      </rPr>
      <t xml:space="preserve">ggaran kewajiban  </t>
    </r>
    <r>
      <rPr>
        <sz val="10"/>
        <color rgb="FF38363B"/>
        <rFont val="Arial"/>
        <family val="2"/>
      </rPr>
      <t>pelayanan  pub</t>
    </r>
    <r>
      <rPr>
        <sz val="10"/>
        <color rgb="FF1D1D21"/>
        <rFont val="Arial"/>
        <family val="2"/>
      </rPr>
      <t>l</t>
    </r>
    <r>
      <rPr>
        <sz val="10"/>
        <color rgb="FF38363B"/>
        <rFont val="Arial"/>
        <family val="2"/>
      </rPr>
      <t xml:space="preserve">ik  </t>
    </r>
    <r>
      <rPr>
        <sz val="10"/>
        <color rgb="FF49494D"/>
        <rFont val="Arial"/>
        <family val="2"/>
      </rPr>
      <t xml:space="preserve">juga </t>
    </r>
    <r>
      <rPr>
        <sz val="10"/>
        <color rgb="FF38363B"/>
        <rFont val="Arial"/>
        <family val="2"/>
      </rPr>
      <t>mencakup
Risi</t>
    </r>
    <r>
      <rPr>
        <sz val="10"/>
        <color rgb="FF1D1D21"/>
        <rFont val="Arial"/>
        <family val="2"/>
      </rPr>
      <t>k</t>
    </r>
    <r>
      <rPr>
        <sz val="10"/>
        <color rgb="FF49494D"/>
        <rFont val="Arial"/>
        <family val="2"/>
      </rPr>
      <t xml:space="preserve">o yang timbul </t>
    </r>
    <r>
      <rPr>
        <sz val="10"/>
        <color rgb="FF38363B"/>
        <rFont val="Arial"/>
        <family val="2"/>
      </rPr>
      <t xml:space="preserve">dari litigasi dan </t>
    </r>
    <r>
      <rPr>
        <sz val="10"/>
        <color rgb="FF49494D"/>
        <rFont val="Arial"/>
        <family val="2"/>
      </rPr>
      <t xml:space="preserve">sengketa </t>
    </r>
    <r>
      <rPr>
        <sz val="10"/>
        <color rgb="FF38363B"/>
        <rFont val="Arial"/>
        <family val="2"/>
      </rPr>
      <t>hukum.</t>
    </r>
  </si>
  <si>
    <r>
      <rPr>
        <sz val="10"/>
        <color rgb="FF38363B"/>
        <rFont val="Arial"/>
        <family val="2"/>
      </rPr>
      <t>a</t>
    </r>
    <r>
      <rPr>
        <sz val="10"/>
        <color rgb="FF6B6B72"/>
        <rFont val="Arial"/>
        <family val="2"/>
      </rPr>
      <t xml:space="preserve">.   </t>
    </r>
    <r>
      <rPr>
        <sz val="10"/>
        <color rgb="FF38363B"/>
        <rFont val="Arial"/>
        <family val="2"/>
      </rPr>
      <t>Timbu</t>
    </r>
    <r>
      <rPr>
        <sz val="10"/>
        <color rgb="FF1D1D21"/>
        <rFont val="Arial"/>
        <family val="2"/>
      </rPr>
      <t>l</t>
    </r>
    <r>
      <rPr>
        <sz val="10"/>
        <color rgb="FF49494D"/>
        <rFont val="Arial"/>
        <family val="2"/>
      </rPr>
      <t xml:space="preserve">nya </t>
    </r>
    <r>
      <rPr>
        <sz val="10"/>
        <color rgb="FF38363B"/>
        <rFont val="Arial"/>
        <family val="2"/>
      </rPr>
      <t xml:space="preserve">biaya </t>
    </r>
    <r>
      <rPr>
        <sz val="10"/>
        <color rgb="FF49494D"/>
        <rFont val="Arial"/>
        <family val="2"/>
      </rPr>
      <t>sengke</t>
    </r>
    <r>
      <rPr>
        <sz val="10"/>
        <color rgb="FF1D1D21"/>
        <rFont val="Arial"/>
        <family val="2"/>
      </rPr>
      <t>t</t>
    </r>
    <r>
      <rPr>
        <sz val="10"/>
        <color rgb="FF38363B"/>
        <rFont val="Arial"/>
        <family val="2"/>
      </rPr>
      <t>a hukum
b.   Pe</t>
    </r>
    <r>
      <rPr>
        <sz val="10"/>
        <color rgb="FF1D1D21"/>
        <rFont val="Arial"/>
        <family val="2"/>
      </rPr>
      <t>n</t>
    </r>
    <r>
      <rPr>
        <sz val="10"/>
        <color rgb="FF38363B"/>
        <rFont val="Arial"/>
        <family val="2"/>
      </rPr>
      <t>gge</t>
    </r>
    <r>
      <rPr>
        <sz val="10"/>
        <color rgb="FF1D1D21"/>
        <rFont val="Arial"/>
        <family val="2"/>
      </rPr>
      <t>l</t>
    </r>
    <r>
      <rPr>
        <sz val="10"/>
        <color rgb="FF38363B"/>
        <rFont val="Arial"/>
        <family val="2"/>
      </rPr>
      <t xml:space="preserve">apan aset
</t>
    </r>
    <r>
      <rPr>
        <sz val="10"/>
        <color rgb="FF49494D"/>
        <rFont val="Arial"/>
        <family val="2"/>
      </rPr>
      <t xml:space="preserve">C.     (dapat </t>
    </r>
    <r>
      <rPr>
        <sz val="10"/>
        <color rgb="FF38363B"/>
        <rFont val="Arial"/>
        <family val="2"/>
      </rPr>
      <t>d</t>
    </r>
    <r>
      <rPr>
        <sz val="10"/>
        <color rgb="FF1D1D21"/>
        <rFont val="Arial"/>
        <family val="2"/>
      </rPr>
      <t>i</t>
    </r>
    <r>
      <rPr>
        <sz val="10"/>
        <color rgb="FF38363B"/>
        <rFont val="Arial"/>
        <family val="2"/>
      </rPr>
      <t xml:space="preserve">tambahkan </t>
    </r>
    <r>
      <rPr>
        <sz val="10"/>
        <color rgb="FF49494D"/>
        <rFont val="Arial"/>
        <family val="2"/>
      </rPr>
      <t xml:space="preserve">sesuai </t>
    </r>
    <r>
      <rPr>
        <sz val="10"/>
        <color rgb="FF38363B"/>
        <rFont val="Arial"/>
        <family val="2"/>
      </rPr>
      <t>kon</t>
    </r>
    <r>
      <rPr>
        <sz val="10"/>
        <color rgb="FF1D1D21"/>
        <rFont val="Arial"/>
        <family val="2"/>
      </rPr>
      <t>t</t>
    </r>
    <r>
      <rPr>
        <sz val="10"/>
        <color rgb="FF49494D"/>
        <rFont val="Arial"/>
        <family val="2"/>
      </rPr>
      <t xml:space="preserve">eks </t>
    </r>
    <r>
      <rPr>
        <sz val="10"/>
        <color rgb="FF38363B"/>
        <rFont val="Arial"/>
        <family val="2"/>
      </rPr>
      <t>perist</t>
    </r>
    <r>
      <rPr>
        <sz val="10"/>
        <color rgb="FF1D1D21"/>
        <rFont val="Arial"/>
        <family val="2"/>
      </rPr>
      <t>i</t>
    </r>
    <r>
      <rPr>
        <sz val="10"/>
        <color rgb="FF38363B"/>
        <rFont val="Arial"/>
        <family val="2"/>
      </rPr>
      <t xml:space="preserve">wa risiko pada </t>
    </r>
    <r>
      <rPr>
        <sz val="10"/>
        <color rgb="FF49494D"/>
        <rFont val="Arial"/>
        <family val="2"/>
      </rPr>
      <t>satuan kerja masing</t>
    </r>
    <r>
      <rPr>
        <sz val="10"/>
        <color rgb="FF1D1D21"/>
        <rFont val="Arial"/>
        <family val="2"/>
      </rPr>
      <t>-</t>
    </r>
    <r>
      <rPr>
        <sz val="10"/>
        <color rgb="FF49494D"/>
        <rFont val="Arial"/>
        <family val="2"/>
      </rPr>
      <t>masing)</t>
    </r>
  </si>
  <si>
    <r>
      <rPr>
        <sz val="10"/>
        <color rgb="FF38363B"/>
        <rFont val="Arial"/>
        <family val="2"/>
      </rPr>
      <t xml:space="preserve">Risiko </t>
    </r>
    <r>
      <rPr>
        <i/>
        <sz val="10"/>
        <color rgb="FF38363B"/>
        <rFont val="Arial"/>
        <family val="2"/>
      </rPr>
      <t>fraud</t>
    </r>
  </si>
  <si>
    <r>
      <rPr>
        <sz val="10"/>
        <color rgb="FF38363B"/>
        <rFont val="Arial"/>
        <family val="2"/>
      </rPr>
      <t xml:space="preserve">Risiko </t>
    </r>
    <r>
      <rPr>
        <sz val="10"/>
        <color rgb="FF49494D"/>
        <rFont val="Arial"/>
        <family val="2"/>
      </rPr>
      <t xml:space="preserve">yang </t>
    </r>
    <r>
      <rPr>
        <sz val="10"/>
        <color rgb="FF38363B"/>
        <rFont val="Arial"/>
        <family val="2"/>
      </rPr>
      <t>ditimbu</t>
    </r>
    <r>
      <rPr>
        <sz val="10"/>
        <color rgb="FF000000"/>
        <rFont val="Arial"/>
        <family val="2"/>
      </rPr>
      <t>l</t>
    </r>
    <r>
      <rPr>
        <sz val="10"/>
        <color rgb="FF38363B"/>
        <rFont val="Arial"/>
        <family val="2"/>
      </rPr>
      <t>ka</t>
    </r>
    <r>
      <rPr>
        <sz val="10"/>
        <color rgb="FF1D1D21"/>
        <rFont val="Arial"/>
        <family val="2"/>
      </rPr>
      <t xml:space="preserve">n </t>
    </r>
    <r>
      <rPr>
        <sz val="10"/>
        <color rgb="FF49494D"/>
        <rFont val="Arial"/>
        <family val="2"/>
      </rPr>
      <t xml:space="preserve">oleh segala </t>
    </r>
    <r>
      <rPr>
        <sz val="10"/>
        <color rgb="FF38363B"/>
        <rFont val="Arial"/>
        <family val="2"/>
      </rPr>
      <t>t</t>
    </r>
    <r>
      <rPr>
        <sz val="10"/>
        <color rgb="FF6B6B72"/>
        <rFont val="Arial"/>
        <family val="2"/>
      </rPr>
      <t>i</t>
    </r>
    <r>
      <rPr>
        <sz val="10"/>
        <color rgb="FF38363B"/>
        <rFont val="Arial"/>
        <family val="2"/>
      </rPr>
      <t>ndakan kecu</t>
    </r>
    <r>
      <rPr>
        <sz val="10"/>
        <color rgb="FF1D1D21"/>
        <rFont val="Arial"/>
        <family val="2"/>
      </rPr>
      <t>r</t>
    </r>
    <r>
      <rPr>
        <sz val="10"/>
        <color rgb="FF38363B"/>
        <rFont val="Arial"/>
        <family val="2"/>
      </rPr>
      <t>angan (da</t>
    </r>
    <r>
      <rPr>
        <sz val="10"/>
        <color rgb="FF000000"/>
        <rFont val="Arial"/>
        <family val="2"/>
      </rPr>
      <t>l</t>
    </r>
    <r>
      <rPr>
        <sz val="10"/>
        <color rgb="FF38363B"/>
        <rFont val="Arial"/>
        <family val="2"/>
      </rPr>
      <t xml:space="preserve">am konteks </t>
    </r>
    <r>
      <rPr>
        <sz val="10"/>
        <color rgb="FF1D1D21"/>
        <rFont val="Arial"/>
        <family val="2"/>
      </rPr>
      <t xml:space="preserve">ini </t>
    </r>
    <r>
      <rPr>
        <sz val="10"/>
        <color rgb="FF38363B"/>
        <rFont val="Arial"/>
        <family val="2"/>
      </rPr>
      <t>ter</t>
    </r>
    <r>
      <rPr>
        <sz val="10"/>
        <color rgb="FF1D1D21"/>
        <rFont val="Arial"/>
        <family val="2"/>
      </rPr>
      <t>m</t>
    </r>
    <r>
      <rPr>
        <sz val="10"/>
        <color rgb="FF38363B"/>
        <rFont val="Arial"/>
        <family val="2"/>
      </rPr>
      <t>asuk ko</t>
    </r>
    <r>
      <rPr>
        <sz val="10"/>
        <color rgb="FF1D1D21"/>
        <rFont val="Arial"/>
        <family val="2"/>
      </rPr>
      <t>ru</t>
    </r>
    <r>
      <rPr>
        <sz val="10"/>
        <color rgb="FF38363B"/>
        <rFont val="Arial"/>
        <family val="2"/>
      </rPr>
      <t>ps</t>
    </r>
    <r>
      <rPr>
        <sz val="10"/>
        <color rgb="FF1D1D21"/>
        <rFont val="Arial"/>
        <family val="2"/>
      </rPr>
      <t>i</t>
    </r>
    <r>
      <rPr>
        <sz val="10"/>
        <color rgb="FF49494D"/>
        <rFont val="Arial"/>
        <family val="2"/>
      </rPr>
      <t xml:space="preserve">, </t>
    </r>
    <r>
      <rPr>
        <sz val="10"/>
        <color rgb="FF38363B"/>
        <rFont val="Arial"/>
        <family val="2"/>
      </rPr>
      <t xml:space="preserve">kolusi, nepotisme dan </t>
    </r>
    <r>
      <rPr>
        <sz val="10"/>
        <color rgb="FF000000"/>
        <rFont val="Arial"/>
        <family val="2"/>
      </rPr>
      <t>l</t>
    </r>
    <r>
      <rPr>
        <sz val="10"/>
        <color rgb="FF38363B"/>
        <rFont val="Arial"/>
        <family val="2"/>
      </rPr>
      <t>a</t>
    </r>
    <r>
      <rPr>
        <sz val="10"/>
        <color rgb="FF1D1D21"/>
        <rFont val="Arial"/>
        <family val="2"/>
      </rPr>
      <t>in-l</t>
    </r>
    <r>
      <rPr>
        <sz val="10"/>
        <color rgb="FF49494D"/>
        <rFont val="Arial"/>
        <family val="2"/>
      </rPr>
      <t>a</t>
    </r>
    <r>
      <rPr>
        <sz val="10"/>
        <color rgb="FF1D1D21"/>
        <rFont val="Arial"/>
        <family val="2"/>
      </rPr>
      <t>i</t>
    </r>
    <r>
      <rPr>
        <sz val="10"/>
        <color rgb="FF38363B"/>
        <rFont val="Arial"/>
        <family val="2"/>
      </rPr>
      <t>n)  yang  d</t>
    </r>
    <r>
      <rPr>
        <sz val="10"/>
        <color rgb="FF1D1D21"/>
        <rFont val="Arial"/>
        <family val="2"/>
      </rPr>
      <t>il</t>
    </r>
    <r>
      <rPr>
        <sz val="10"/>
        <color rgb="FF38363B"/>
        <rFont val="Arial"/>
        <family val="2"/>
      </rPr>
      <t xml:space="preserve">akukan  </t>
    </r>
    <r>
      <rPr>
        <sz val="10"/>
        <color rgb="FF49494D"/>
        <rFont val="Arial"/>
        <family val="2"/>
      </rPr>
      <t>ba</t>
    </r>
    <r>
      <rPr>
        <sz val="10"/>
        <color rgb="FF1D1D21"/>
        <rFont val="Arial"/>
        <family val="2"/>
      </rPr>
      <t>i</t>
    </r>
    <r>
      <rPr>
        <sz val="10"/>
        <color rgb="FF38363B"/>
        <rFont val="Arial"/>
        <family val="2"/>
      </rPr>
      <t xml:space="preserve">k  secara  </t>
    </r>
    <r>
      <rPr>
        <sz val="10"/>
        <color rgb="FF1D1D21"/>
        <rFont val="Arial"/>
        <family val="2"/>
      </rPr>
      <t>int</t>
    </r>
    <r>
      <rPr>
        <sz val="10"/>
        <color rgb="FF38363B"/>
        <rFont val="Arial"/>
        <family val="2"/>
      </rPr>
      <t>e</t>
    </r>
    <r>
      <rPr>
        <sz val="10"/>
        <color rgb="FF1D1D21"/>
        <rFont val="Arial"/>
        <family val="2"/>
      </rPr>
      <t>rn</t>
    </r>
    <r>
      <rPr>
        <sz val="10"/>
        <color rgb="FF38363B"/>
        <rFont val="Arial"/>
        <family val="2"/>
      </rPr>
      <t>a</t>
    </r>
    <r>
      <rPr>
        <sz val="10"/>
        <color rgb="FF1D1D21"/>
        <rFont val="Arial"/>
        <family val="2"/>
      </rPr>
      <t>l  m</t>
    </r>
    <r>
      <rPr>
        <sz val="10"/>
        <color rgb="FF38363B"/>
        <rFont val="Arial"/>
        <family val="2"/>
      </rPr>
      <t>a</t>
    </r>
    <r>
      <rPr>
        <sz val="10"/>
        <color rgb="FF1D1D21"/>
        <rFont val="Arial"/>
        <family val="2"/>
      </rPr>
      <t>up</t>
    </r>
    <r>
      <rPr>
        <sz val="10"/>
        <color rgb="FF38363B"/>
        <rFont val="Arial"/>
        <family val="2"/>
      </rPr>
      <t>un eksterna</t>
    </r>
    <r>
      <rPr>
        <sz val="10"/>
        <color rgb="FF1D1D21"/>
        <rFont val="Arial"/>
        <family val="2"/>
      </rPr>
      <t xml:space="preserve">l  </t>
    </r>
    <r>
      <rPr>
        <sz val="10"/>
        <color rgb="FF49494D"/>
        <rFont val="Arial"/>
        <family val="2"/>
      </rPr>
      <t xml:space="preserve">yang  </t>
    </r>
    <r>
      <rPr>
        <sz val="10"/>
        <color rgb="FF38363B"/>
        <rFont val="Arial"/>
        <family val="2"/>
      </rPr>
      <t xml:space="preserve">dapat  </t>
    </r>
    <r>
      <rPr>
        <sz val="10"/>
        <color rgb="FF49494D"/>
        <rFont val="Arial"/>
        <family val="2"/>
      </rPr>
      <t>mer</t>
    </r>
    <r>
      <rPr>
        <sz val="10"/>
        <color rgb="FF1D1D21"/>
        <rFont val="Arial"/>
        <family val="2"/>
      </rPr>
      <t>u</t>
    </r>
    <r>
      <rPr>
        <sz val="10"/>
        <color rgb="FF38363B"/>
        <rFont val="Arial"/>
        <family val="2"/>
      </rPr>
      <t>g</t>
    </r>
    <r>
      <rPr>
        <sz val="10"/>
        <color rgb="FF1D1D21"/>
        <rFont val="Arial"/>
        <family val="2"/>
      </rPr>
      <t>i</t>
    </r>
    <r>
      <rPr>
        <sz val="10"/>
        <color rgb="FF38363B"/>
        <rFont val="Arial"/>
        <family val="2"/>
      </rPr>
      <t>kan  Perusahaa</t>
    </r>
    <r>
      <rPr>
        <sz val="10"/>
        <color rgb="FF1D1D21"/>
        <rFont val="Arial"/>
        <family val="2"/>
      </rPr>
      <t xml:space="preserve">n  </t>
    </r>
    <r>
      <rPr>
        <sz val="10"/>
        <color rgb="FF38363B"/>
        <rFont val="Arial"/>
        <family val="2"/>
      </rPr>
      <t xml:space="preserve">dan/atau
</t>
    </r>
    <r>
      <rPr>
        <sz val="10"/>
        <color rgb="FF49494D"/>
        <rFont val="Arial"/>
        <family val="2"/>
      </rPr>
      <t xml:space="preserve">pihak lain </t>
    </r>
    <r>
      <rPr>
        <sz val="10"/>
        <color rgb="FF38363B"/>
        <rFont val="Arial"/>
        <family val="2"/>
      </rPr>
      <t>di l</t>
    </r>
    <r>
      <rPr>
        <sz val="10"/>
        <color rgb="FF1D1D21"/>
        <rFont val="Arial"/>
        <family val="2"/>
      </rPr>
      <t>i</t>
    </r>
    <r>
      <rPr>
        <sz val="10"/>
        <color rgb="FF49494D"/>
        <rFont val="Arial"/>
        <family val="2"/>
      </rPr>
      <t>ngk</t>
    </r>
    <r>
      <rPr>
        <sz val="10"/>
        <color rgb="FF1D1D21"/>
        <rFont val="Arial"/>
        <family val="2"/>
      </rPr>
      <t>u</t>
    </r>
    <r>
      <rPr>
        <sz val="10"/>
        <color rgb="FF38363B"/>
        <rFont val="Arial"/>
        <family val="2"/>
      </rPr>
      <t>nga</t>
    </r>
    <r>
      <rPr>
        <sz val="10"/>
        <color rgb="FF1D1D21"/>
        <rFont val="Arial"/>
        <family val="2"/>
      </rPr>
      <t xml:space="preserve">n </t>
    </r>
    <r>
      <rPr>
        <sz val="10"/>
        <color rgb="FF38363B"/>
        <rFont val="Arial"/>
        <family val="2"/>
      </rPr>
      <t>PLN.</t>
    </r>
  </si>
  <si>
    <r>
      <rPr>
        <sz val="10"/>
        <color rgb="FF49494D"/>
        <rFont val="Arial"/>
        <family val="2"/>
      </rPr>
      <t>a.   Pene</t>
    </r>
    <r>
      <rPr>
        <sz val="10"/>
        <color rgb="FF1D1D21"/>
        <rFont val="Arial"/>
        <family val="2"/>
      </rPr>
      <t>ri</t>
    </r>
    <r>
      <rPr>
        <sz val="10"/>
        <color rgb="FF49494D"/>
        <rFont val="Arial"/>
        <family val="2"/>
      </rPr>
      <t xml:space="preserve">maan </t>
    </r>
    <r>
      <rPr>
        <sz val="10"/>
        <color rgb="FF1D1D21"/>
        <rFont val="Arial"/>
        <family val="2"/>
      </rPr>
      <t>i</t>
    </r>
    <r>
      <rPr>
        <sz val="10"/>
        <color rgb="FF38363B"/>
        <rFont val="Arial"/>
        <family val="2"/>
      </rPr>
      <t>mba</t>
    </r>
    <r>
      <rPr>
        <sz val="10"/>
        <color rgb="FF1D1D21"/>
        <rFont val="Arial"/>
        <family val="2"/>
      </rPr>
      <t>l</t>
    </r>
    <r>
      <rPr>
        <sz val="10"/>
        <color rgb="FF38363B"/>
        <rFont val="Arial"/>
        <family val="2"/>
      </rPr>
      <t>an a</t>
    </r>
    <r>
      <rPr>
        <sz val="10"/>
        <color rgb="FF1D1D21"/>
        <rFont val="Arial"/>
        <family val="2"/>
      </rPr>
      <t>l</t>
    </r>
    <r>
      <rPr>
        <sz val="10"/>
        <color rgb="FF38363B"/>
        <rFont val="Arial"/>
        <family val="2"/>
      </rPr>
      <t>as pelayanan PLN
b.   Kehila</t>
    </r>
    <r>
      <rPr>
        <sz val="10"/>
        <color rgb="FF1D1D21"/>
        <rFont val="Arial"/>
        <family val="2"/>
      </rPr>
      <t>n</t>
    </r>
    <r>
      <rPr>
        <sz val="10"/>
        <color rgb="FF38363B"/>
        <rFont val="Arial"/>
        <family val="2"/>
      </rPr>
      <t xml:space="preserve">gan aset dan </t>
    </r>
    <r>
      <rPr>
        <sz val="10"/>
        <color rgb="FF49494D"/>
        <rFont val="Arial"/>
        <family val="2"/>
      </rPr>
      <t>su</t>
    </r>
    <r>
      <rPr>
        <sz val="10"/>
        <color rgb="FF1D1D21"/>
        <rFont val="Arial"/>
        <family val="2"/>
      </rPr>
      <t>m</t>
    </r>
    <r>
      <rPr>
        <sz val="10"/>
        <color rgb="FF38363B"/>
        <rFont val="Arial"/>
        <family val="2"/>
      </rPr>
      <t>be</t>
    </r>
    <r>
      <rPr>
        <sz val="10"/>
        <color rgb="FF1D1D21"/>
        <rFont val="Arial"/>
        <family val="2"/>
      </rPr>
      <t xml:space="preserve">r </t>
    </r>
    <r>
      <rPr>
        <sz val="10"/>
        <color rgb="FF38363B"/>
        <rFont val="Arial"/>
        <family val="2"/>
      </rPr>
      <t>daya
C</t>
    </r>
    <r>
      <rPr>
        <sz val="10"/>
        <color rgb="FF1D1D21"/>
        <rFont val="Arial"/>
        <family val="2"/>
      </rPr>
      <t xml:space="preserve">.     </t>
    </r>
    <r>
      <rPr>
        <vertAlign val="superscript"/>
        <sz val="10"/>
        <color rgb="FF38363B"/>
        <rFont val="Arial"/>
        <family val="2"/>
      </rPr>
      <t>(dapa</t>
    </r>
    <r>
      <rPr>
        <vertAlign val="superscript"/>
        <sz val="10"/>
        <color rgb="FF1D1D21"/>
        <rFont val="Arial"/>
        <family val="2"/>
      </rPr>
      <t xml:space="preserve">t </t>
    </r>
    <r>
      <rPr>
        <vertAlign val="superscript"/>
        <sz val="10"/>
        <color rgb="FF38363B"/>
        <rFont val="Arial"/>
        <family val="2"/>
      </rPr>
      <t>d</t>
    </r>
    <r>
      <rPr>
        <vertAlign val="superscript"/>
        <sz val="10"/>
        <color rgb="FF1D1D21"/>
        <rFont val="Arial"/>
        <family val="2"/>
      </rPr>
      <t>i</t>
    </r>
    <r>
      <rPr>
        <vertAlign val="superscript"/>
        <sz val="10"/>
        <color rgb="FF38363B"/>
        <rFont val="Arial"/>
        <family val="2"/>
      </rPr>
      <t>ta</t>
    </r>
    <r>
      <rPr>
        <vertAlign val="superscript"/>
        <sz val="10"/>
        <color rgb="FF1D1D21"/>
        <rFont val="Arial"/>
        <family val="2"/>
      </rPr>
      <t>m</t>
    </r>
    <r>
      <rPr>
        <vertAlign val="superscript"/>
        <sz val="10"/>
        <color rgb="FF38363B"/>
        <rFont val="Arial"/>
        <family val="2"/>
      </rPr>
      <t>ba</t>
    </r>
    <r>
      <rPr>
        <vertAlign val="superscript"/>
        <sz val="10"/>
        <color rgb="FF1D1D21"/>
        <rFont val="Arial"/>
        <family val="2"/>
      </rPr>
      <t>hk</t>
    </r>
    <r>
      <rPr>
        <vertAlign val="superscript"/>
        <sz val="10"/>
        <color rgb="FF38363B"/>
        <rFont val="Arial"/>
        <family val="2"/>
      </rPr>
      <t>an sesuai ko</t>
    </r>
    <r>
      <rPr>
        <vertAlign val="superscript"/>
        <sz val="10"/>
        <color rgb="FF1D1D21"/>
        <rFont val="Arial"/>
        <family val="2"/>
      </rPr>
      <t>n</t>
    </r>
    <r>
      <rPr>
        <vertAlign val="superscript"/>
        <sz val="10"/>
        <color rgb="FF38363B"/>
        <rFont val="Arial"/>
        <family val="2"/>
      </rPr>
      <t>teks per</t>
    </r>
    <r>
      <rPr>
        <vertAlign val="superscript"/>
        <sz val="10"/>
        <color rgb="FF1D1D21"/>
        <rFont val="Arial"/>
        <family val="2"/>
      </rPr>
      <t>i</t>
    </r>
    <r>
      <rPr>
        <vertAlign val="superscript"/>
        <sz val="10"/>
        <color rgb="FF38363B"/>
        <rFont val="Arial"/>
        <family val="2"/>
      </rPr>
      <t>st</t>
    </r>
    <r>
      <rPr>
        <vertAlign val="superscript"/>
        <sz val="10"/>
        <color rgb="FF1D1D21"/>
        <rFont val="Arial"/>
        <family val="2"/>
      </rPr>
      <t>i</t>
    </r>
    <r>
      <rPr>
        <vertAlign val="superscript"/>
        <sz val="10"/>
        <color rgb="FF38363B"/>
        <rFont val="Arial"/>
        <family val="2"/>
      </rPr>
      <t xml:space="preserve">wa </t>
    </r>
    <r>
      <rPr>
        <sz val="10"/>
        <color rgb="FF1D1D21"/>
        <rFont val="Arial"/>
        <family val="2"/>
      </rPr>
      <t>r</t>
    </r>
    <r>
      <rPr>
        <sz val="10"/>
        <color rgb="FF38363B"/>
        <rFont val="Arial"/>
        <family val="2"/>
      </rPr>
      <t xml:space="preserve">isiko </t>
    </r>
    <r>
      <rPr>
        <sz val="10"/>
        <color rgb="FF49494D"/>
        <rFont val="Arial"/>
        <family val="2"/>
      </rPr>
      <t xml:space="preserve">pada </t>
    </r>
    <r>
      <rPr>
        <sz val="10"/>
        <color rgb="FF38363B"/>
        <rFont val="Arial"/>
        <family val="2"/>
      </rPr>
      <t>sat</t>
    </r>
    <r>
      <rPr>
        <sz val="10"/>
        <color rgb="FF1D1D21"/>
        <rFont val="Arial"/>
        <family val="2"/>
      </rPr>
      <t>u</t>
    </r>
    <r>
      <rPr>
        <sz val="10"/>
        <color rgb="FF49494D"/>
        <rFont val="Arial"/>
        <family val="2"/>
      </rPr>
      <t xml:space="preserve">an </t>
    </r>
    <r>
      <rPr>
        <sz val="10"/>
        <color rgb="FF38363B"/>
        <rFont val="Arial"/>
        <family val="2"/>
      </rPr>
      <t>ke</t>
    </r>
    <r>
      <rPr>
        <sz val="10"/>
        <color rgb="FF1D1D21"/>
        <rFont val="Arial"/>
        <family val="2"/>
      </rPr>
      <t>r</t>
    </r>
    <r>
      <rPr>
        <sz val="10"/>
        <color rgb="FF38363B"/>
        <rFont val="Arial"/>
        <family val="2"/>
      </rPr>
      <t xml:space="preserve">ja </t>
    </r>
    <r>
      <rPr>
        <sz val="10"/>
        <color rgb="FF49494D"/>
        <rFont val="Arial"/>
        <family val="2"/>
      </rPr>
      <t>masing</t>
    </r>
    <r>
      <rPr>
        <sz val="10"/>
        <color rgb="FF1D1D21"/>
        <rFont val="Arial"/>
        <family val="2"/>
      </rPr>
      <t>-</t>
    </r>
    <r>
      <rPr>
        <sz val="10"/>
        <color rgb="FF38363B"/>
        <rFont val="Arial"/>
        <family val="2"/>
      </rPr>
      <t>mas</t>
    </r>
    <r>
      <rPr>
        <sz val="10"/>
        <color rgb="FF1D1D21"/>
        <rFont val="Arial"/>
        <family val="2"/>
      </rPr>
      <t>i</t>
    </r>
    <r>
      <rPr>
        <sz val="10"/>
        <color rgb="FF38363B"/>
        <rFont val="Arial"/>
        <family val="2"/>
      </rPr>
      <t>ng)</t>
    </r>
  </si>
  <si>
    <r>
      <rPr>
        <sz val="10"/>
        <color rgb="FF38363B"/>
        <rFont val="Arial"/>
        <family val="2"/>
      </rPr>
      <t>Risiko pere</t>
    </r>
    <r>
      <rPr>
        <sz val="10"/>
        <color rgb="FF1D1D21"/>
        <rFont val="Arial"/>
        <family val="2"/>
      </rPr>
      <t>n</t>
    </r>
    <r>
      <rPr>
        <sz val="10"/>
        <color rgb="FF38363B"/>
        <rFont val="Arial"/>
        <family val="2"/>
      </rPr>
      <t>canaa</t>
    </r>
    <r>
      <rPr>
        <sz val="10"/>
        <color rgb="FF1D1D21"/>
        <rFont val="Arial"/>
        <family val="2"/>
      </rPr>
      <t>n
p</t>
    </r>
    <r>
      <rPr>
        <sz val="10"/>
        <color rgb="FF38363B"/>
        <rFont val="Arial"/>
        <family val="2"/>
      </rPr>
      <t>royek</t>
    </r>
  </si>
  <si>
    <r>
      <rPr>
        <sz val="10"/>
        <color rgb="FF38363B"/>
        <rFont val="Arial"/>
        <family val="2"/>
      </rPr>
      <t xml:space="preserve">Risiko  yang  </t>
    </r>
    <r>
      <rPr>
        <sz val="10"/>
        <color rgb="FF1D1D21"/>
        <rFont val="Arial"/>
        <family val="2"/>
      </rPr>
      <t>t</t>
    </r>
    <r>
      <rPr>
        <sz val="10"/>
        <color rgb="FF38363B"/>
        <rFont val="Arial"/>
        <family val="2"/>
      </rPr>
      <t>erkai</t>
    </r>
    <r>
      <rPr>
        <sz val="10"/>
        <color rgb="FF1D1D21"/>
        <rFont val="Arial"/>
        <family val="2"/>
      </rPr>
      <t xml:space="preserve">t  </t>
    </r>
    <r>
      <rPr>
        <sz val="10"/>
        <color rgb="FF38363B"/>
        <rFont val="Arial"/>
        <family val="2"/>
      </rPr>
      <t xml:space="preserve">dengan  tahap  </t>
    </r>
    <r>
      <rPr>
        <sz val="10"/>
        <color rgb="FF49494D"/>
        <rFont val="Arial"/>
        <family val="2"/>
      </rPr>
      <t>perencanaa</t>
    </r>
    <r>
      <rPr>
        <sz val="10"/>
        <color rgb="FF1D1D21"/>
        <rFont val="Arial"/>
        <family val="2"/>
      </rPr>
      <t xml:space="preserve">n  </t>
    </r>
    <r>
      <rPr>
        <sz val="10"/>
        <color rgb="FF38363B"/>
        <rFont val="Arial"/>
        <family val="2"/>
      </rPr>
      <t>proyek te</t>
    </r>
    <r>
      <rPr>
        <sz val="10"/>
        <color rgb="FF1D1D21"/>
        <rFont val="Arial"/>
        <family val="2"/>
      </rPr>
      <t>r</t>
    </r>
    <r>
      <rPr>
        <sz val="10"/>
        <color rgb="FF38363B"/>
        <rFont val="Arial"/>
        <family val="2"/>
      </rPr>
      <t>mas</t>
    </r>
    <r>
      <rPr>
        <sz val="10"/>
        <color rgb="FF1D1D21"/>
        <rFont val="Arial"/>
        <family val="2"/>
      </rPr>
      <t>u</t>
    </r>
    <r>
      <rPr>
        <sz val="10"/>
        <color rgb="FF38363B"/>
        <rFont val="Arial"/>
        <family val="2"/>
      </rPr>
      <t>k penyus</t>
    </r>
    <r>
      <rPr>
        <sz val="10"/>
        <color rgb="FF1D1D21"/>
        <rFont val="Arial"/>
        <family val="2"/>
      </rPr>
      <t>un</t>
    </r>
    <r>
      <rPr>
        <sz val="10"/>
        <color rgb="FF38363B"/>
        <rFont val="Arial"/>
        <family val="2"/>
      </rPr>
      <t>an do</t>
    </r>
    <r>
      <rPr>
        <sz val="10"/>
        <color rgb="FF1D1D21"/>
        <rFont val="Arial"/>
        <family val="2"/>
      </rPr>
      <t>ku</t>
    </r>
    <r>
      <rPr>
        <sz val="10"/>
        <color rgb="FF38363B"/>
        <rFont val="Arial"/>
        <family val="2"/>
      </rPr>
      <t>me</t>
    </r>
    <r>
      <rPr>
        <sz val="10"/>
        <color rgb="FF1D1D21"/>
        <rFont val="Arial"/>
        <family val="2"/>
      </rPr>
      <t xml:space="preserve">n </t>
    </r>
    <r>
      <rPr>
        <sz val="10"/>
        <color rgb="FF38363B"/>
        <rFont val="Arial"/>
        <family val="2"/>
      </rPr>
      <t>Ka</t>
    </r>
    <r>
      <rPr>
        <sz val="10"/>
        <color rgb="FF1D1D21"/>
        <rFont val="Arial"/>
        <family val="2"/>
      </rPr>
      <t>j</t>
    </r>
    <r>
      <rPr>
        <sz val="10"/>
        <color rgb="FF38363B"/>
        <rFont val="Arial"/>
        <family val="2"/>
      </rPr>
      <t>ian Ke</t>
    </r>
    <r>
      <rPr>
        <sz val="10"/>
        <color rgb="FF000000"/>
        <rFont val="Arial"/>
        <family val="2"/>
      </rPr>
      <t>l</t>
    </r>
    <r>
      <rPr>
        <sz val="10"/>
        <color rgb="FF38363B"/>
        <rFont val="Arial"/>
        <family val="2"/>
      </rPr>
      <t>aya</t>
    </r>
    <r>
      <rPr>
        <sz val="10"/>
        <color rgb="FF1D1D21"/>
        <rFont val="Arial"/>
        <family val="2"/>
      </rPr>
      <t>k</t>
    </r>
    <r>
      <rPr>
        <sz val="10"/>
        <color rgb="FF38363B"/>
        <rFont val="Arial"/>
        <family val="2"/>
      </rPr>
      <t>a</t>
    </r>
    <r>
      <rPr>
        <sz val="10"/>
        <color rgb="FF1D1D21"/>
        <rFont val="Arial"/>
        <family val="2"/>
      </rPr>
      <t xml:space="preserve">n </t>
    </r>
    <r>
      <rPr>
        <sz val="10"/>
        <color rgb="FF38363B"/>
        <rFont val="Arial"/>
        <family val="2"/>
      </rPr>
      <t>Proyek</t>
    </r>
    <r>
      <rPr>
        <sz val="10"/>
        <color rgb="FF6B6B72"/>
        <rFont val="Arial"/>
        <family val="2"/>
      </rPr>
      <t xml:space="preserve">, </t>
    </r>
    <r>
      <rPr>
        <i/>
        <sz val="10"/>
        <color rgb="FF38363B"/>
        <rFont val="Arial"/>
        <family val="2"/>
      </rPr>
      <t>Feasibili</t>
    </r>
    <r>
      <rPr>
        <i/>
        <sz val="10"/>
        <color rgb="FF1D1D21"/>
        <rFont val="Arial"/>
        <family val="2"/>
      </rPr>
      <t>t</t>
    </r>
    <r>
      <rPr>
        <i/>
        <sz val="10"/>
        <color rgb="FF49494D"/>
        <rFont val="Arial"/>
        <family val="2"/>
      </rPr>
      <t xml:space="preserve">y </t>
    </r>
    <r>
      <rPr>
        <i/>
        <sz val="10"/>
        <color rgb="FF38363B"/>
        <rFont val="Arial"/>
        <family val="2"/>
      </rPr>
      <t>Study</t>
    </r>
    <r>
      <rPr>
        <i/>
        <sz val="10"/>
        <color rgb="FF6B6B72"/>
        <rFont val="Arial"/>
        <family val="2"/>
      </rPr>
      <t xml:space="preserve">, </t>
    </r>
    <r>
      <rPr>
        <sz val="10"/>
        <color rgb="FF38363B"/>
        <rFont val="Arial"/>
        <family val="2"/>
      </rPr>
      <t>p</t>
    </r>
    <r>
      <rPr>
        <sz val="10"/>
        <color rgb="FF1D1D21"/>
        <rFont val="Arial"/>
        <family val="2"/>
      </rPr>
      <t>ri</t>
    </r>
    <r>
      <rPr>
        <sz val="10"/>
        <color rgb="FF38363B"/>
        <rFont val="Arial"/>
        <family val="2"/>
      </rPr>
      <t>orit</t>
    </r>
    <r>
      <rPr>
        <sz val="10"/>
        <color rgb="FF000000"/>
        <rFont val="Arial"/>
        <family val="2"/>
      </rPr>
      <t>i</t>
    </r>
    <r>
      <rPr>
        <sz val="10"/>
        <color rgb="FF49494D"/>
        <rFont val="Arial"/>
        <family val="2"/>
      </rPr>
      <t>sas</t>
    </r>
    <r>
      <rPr>
        <sz val="10"/>
        <color rgb="FF1D1D21"/>
        <rFont val="Arial"/>
        <family val="2"/>
      </rPr>
      <t xml:space="preserve">i </t>
    </r>
    <r>
      <rPr>
        <sz val="10"/>
        <color rgb="FF38363B"/>
        <rFont val="Arial"/>
        <family val="2"/>
      </rPr>
      <t>proyek dimana proyek-p</t>
    </r>
    <r>
      <rPr>
        <sz val="10"/>
        <color rgb="FF1D1D21"/>
        <rFont val="Arial"/>
        <family val="2"/>
      </rPr>
      <t>r</t>
    </r>
    <r>
      <rPr>
        <sz val="10"/>
        <color rgb="FF38363B"/>
        <rFont val="Arial"/>
        <family val="2"/>
      </rPr>
      <t>oyek</t>
    </r>
    <r>
      <rPr>
        <sz val="10"/>
        <color rgb="FF000000"/>
        <rFont val="Arial"/>
        <family val="2"/>
      </rPr>
      <t xml:space="preserve"> dinilai  dan  dipilih  berdasarkan  kriteria  tertentu,  termasuk proses     pengadaan/lelang    mulai     dari    perencanaan pengadaan hingga penandatanganan kontrak.</t>
    </r>
  </si>
  <si>
    <r>
      <rPr>
        <sz val="10"/>
        <color rgb="FF38363B"/>
        <rFont val="Arial"/>
        <family val="2"/>
      </rPr>
      <t>a</t>
    </r>
    <r>
      <rPr>
        <sz val="10"/>
        <color rgb="FF1D1D21"/>
        <rFont val="Arial"/>
        <family val="2"/>
      </rPr>
      <t xml:space="preserve">.    </t>
    </r>
    <r>
      <rPr>
        <sz val="10"/>
        <color rgb="FF38363B"/>
        <rFont val="Arial"/>
        <family val="2"/>
      </rPr>
      <t>Ket</t>
    </r>
    <r>
      <rPr>
        <sz val="10"/>
        <color rgb="FF1D1D21"/>
        <rFont val="Arial"/>
        <family val="2"/>
      </rPr>
      <t>i</t>
    </r>
    <r>
      <rPr>
        <sz val="10"/>
        <color rgb="FF38363B"/>
        <rFont val="Arial"/>
        <family val="2"/>
      </rPr>
      <t>dak</t>
    </r>
    <r>
      <rPr>
        <sz val="10"/>
        <color rgb="FF000000"/>
        <rFont val="Arial"/>
        <family val="2"/>
      </rPr>
      <t>l</t>
    </r>
    <r>
      <rPr>
        <sz val="10"/>
        <color rgb="FF49494D"/>
        <rFont val="Arial"/>
        <family val="2"/>
      </rPr>
      <t>e</t>
    </r>
    <r>
      <rPr>
        <sz val="10"/>
        <color rgb="FF1D1D21"/>
        <rFont val="Arial"/>
        <family val="2"/>
      </rPr>
      <t>n</t>
    </r>
    <r>
      <rPr>
        <sz val="10"/>
        <color rgb="FF38363B"/>
        <rFont val="Arial"/>
        <family val="2"/>
      </rPr>
      <t xml:space="preserve">gkapan   atau    </t>
    </r>
    <r>
      <rPr>
        <sz val="10"/>
        <color rgb="FF1D1D21"/>
        <rFont val="Arial"/>
        <family val="2"/>
      </rPr>
      <t>k</t>
    </r>
    <r>
      <rPr>
        <sz val="10"/>
        <color rgb="FF49494D"/>
        <rFont val="Arial"/>
        <family val="2"/>
      </rPr>
      <t xml:space="preserve">etidakmutakhiran </t>
    </r>
    <r>
      <rPr>
        <sz val="10"/>
        <color rgb="FF38363B"/>
        <rFont val="Arial"/>
        <family val="2"/>
      </rPr>
      <t>data pada a</t>
    </r>
    <r>
      <rPr>
        <sz val="10"/>
        <color rgb="FF1D1D21"/>
        <rFont val="Arial"/>
        <family val="2"/>
      </rPr>
      <t>n</t>
    </r>
    <r>
      <rPr>
        <sz val="10"/>
        <color rgb="FF38363B"/>
        <rFont val="Arial"/>
        <family val="2"/>
      </rPr>
      <t>alis</t>
    </r>
    <r>
      <rPr>
        <sz val="10"/>
        <color rgb="FF1D1D21"/>
        <rFont val="Arial"/>
        <family val="2"/>
      </rPr>
      <t>i</t>
    </r>
    <r>
      <rPr>
        <sz val="10"/>
        <color rgb="FF38363B"/>
        <rFont val="Arial"/>
        <family val="2"/>
      </rPr>
      <t>s Ka</t>
    </r>
    <r>
      <rPr>
        <sz val="10"/>
        <color rgb="FF1D1D21"/>
        <rFont val="Arial"/>
        <family val="2"/>
      </rPr>
      <t>ji</t>
    </r>
    <r>
      <rPr>
        <sz val="10"/>
        <color rgb="FF38363B"/>
        <rFont val="Arial"/>
        <family val="2"/>
      </rPr>
      <t>an Ke</t>
    </r>
    <r>
      <rPr>
        <sz val="10"/>
        <color rgb="FF1D1D21"/>
        <rFont val="Arial"/>
        <family val="2"/>
      </rPr>
      <t>l</t>
    </r>
    <r>
      <rPr>
        <sz val="10"/>
        <color rgb="FF49494D"/>
        <rFont val="Arial"/>
        <family val="2"/>
      </rPr>
      <t xml:space="preserve">ayakan
</t>
    </r>
    <r>
      <rPr>
        <sz val="10"/>
        <color rgb="FF1D1D21"/>
        <rFont val="Arial"/>
        <family val="2"/>
      </rPr>
      <t>b</t>
    </r>
    <r>
      <rPr>
        <sz val="10"/>
        <color rgb="FF49494D"/>
        <rFont val="Arial"/>
        <family val="2"/>
      </rPr>
      <t xml:space="preserve">.    </t>
    </r>
    <r>
      <rPr>
        <sz val="10"/>
        <color rgb="FF38363B"/>
        <rFont val="Arial"/>
        <family val="2"/>
      </rPr>
      <t>Ket</t>
    </r>
    <r>
      <rPr>
        <sz val="10"/>
        <color rgb="FF1D1D21"/>
        <rFont val="Arial"/>
        <family val="2"/>
      </rPr>
      <t>i</t>
    </r>
    <r>
      <rPr>
        <sz val="10"/>
        <color rgb="FF38363B"/>
        <rFont val="Arial"/>
        <family val="2"/>
      </rPr>
      <t>da</t>
    </r>
    <r>
      <rPr>
        <sz val="10"/>
        <color rgb="FF1D1D21"/>
        <rFont val="Arial"/>
        <family val="2"/>
      </rPr>
      <t>k</t>
    </r>
    <r>
      <rPr>
        <sz val="10"/>
        <color rgb="FF38363B"/>
        <rFont val="Arial"/>
        <family val="2"/>
      </rPr>
      <t>sesua</t>
    </r>
    <r>
      <rPr>
        <sz val="10"/>
        <color rgb="FF1D1D21"/>
        <rFont val="Arial"/>
        <family val="2"/>
      </rPr>
      <t>i</t>
    </r>
    <r>
      <rPr>
        <sz val="10"/>
        <color rgb="FF49494D"/>
        <rFont val="Arial"/>
        <family val="2"/>
      </rPr>
      <t>a</t>
    </r>
    <r>
      <rPr>
        <sz val="10"/>
        <color rgb="FF1D1D21"/>
        <rFont val="Arial"/>
        <family val="2"/>
      </rPr>
      <t xml:space="preserve">n </t>
    </r>
    <r>
      <rPr>
        <sz val="10"/>
        <color rgb="FF38363B"/>
        <rFont val="Arial"/>
        <family val="2"/>
      </rPr>
      <t>p</t>
    </r>
    <r>
      <rPr>
        <sz val="10"/>
        <color rgb="FF1D1D21"/>
        <rFont val="Arial"/>
        <family val="2"/>
      </rPr>
      <t>r</t>
    </r>
    <r>
      <rPr>
        <sz val="10"/>
        <color rgb="FF38363B"/>
        <rFont val="Arial"/>
        <family val="2"/>
      </rPr>
      <t>iorit</t>
    </r>
    <r>
      <rPr>
        <sz val="10"/>
        <color rgb="FF1D1D21"/>
        <rFont val="Arial"/>
        <family val="2"/>
      </rPr>
      <t>i</t>
    </r>
    <r>
      <rPr>
        <sz val="10"/>
        <color rgb="FF38363B"/>
        <rFont val="Arial"/>
        <family val="2"/>
      </rPr>
      <t>sas</t>
    </r>
    <r>
      <rPr>
        <sz val="10"/>
        <color rgb="FF1D1D21"/>
        <rFont val="Arial"/>
        <family val="2"/>
      </rPr>
      <t xml:space="preserve">i </t>
    </r>
    <r>
      <rPr>
        <sz val="10"/>
        <color rgb="FF38363B"/>
        <rFont val="Arial"/>
        <family val="2"/>
      </rPr>
      <t>p</t>
    </r>
    <r>
      <rPr>
        <sz val="10"/>
        <color rgb="FF1D1D21"/>
        <rFont val="Arial"/>
        <family val="2"/>
      </rPr>
      <t>r</t>
    </r>
    <r>
      <rPr>
        <sz val="10"/>
        <color rgb="FF49494D"/>
        <rFont val="Arial"/>
        <family val="2"/>
      </rPr>
      <t>oyek</t>
    </r>
    <r>
      <rPr>
        <sz val="10"/>
        <color rgb="FF000000"/>
        <rFont val="Arial"/>
        <family val="2"/>
      </rPr>
      <t xml:space="preserve"> 
C.  (dapat ditambahkan sesuai konteks peristiwa risiko pada satuan kerja masing-masing)</t>
    </r>
  </si>
  <si>
    <r>
      <rPr>
        <sz val="10"/>
        <color rgb="FF38383B"/>
        <rFont val="Arial"/>
        <family val="2"/>
      </rPr>
      <t xml:space="preserve">Risiko pemilihan penyedia barang </t>
    </r>
    <r>
      <rPr>
        <sz val="10"/>
        <color rgb="FF49494D"/>
        <rFont val="Arial"/>
        <family val="2"/>
      </rPr>
      <t xml:space="preserve">jasa/mitra/ </t>
    </r>
    <r>
      <rPr>
        <sz val="10"/>
        <color rgb="FF38383B"/>
        <rFont val="Arial"/>
        <family val="2"/>
      </rPr>
      <t>konsors</t>
    </r>
    <r>
      <rPr>
        <sz val="10"/>
        <color rgb="FF1D1D21"/>
        <rFont val="Arial"/>
        <family val="2"/>
      </rPr>
      <t>i</t>
    </r>
    <r>
      <rPr>
        <sz val="10"/>
        <color rgb="FF38383B"/>
        <rFont val="Arial"/>
        <family val="2"/>
      </rPr>
      <t>um</t>
    </r>
  </si>
  <si>
    <r>
      <rPr>
        <sz val="10"/>
        <color rgb="FF1D1D21"/>
        <rFont val="Arial"/>
        <family val="2"/>
      </rPr>
      <t>R</t>
    </r>
    <r>
      <rPr>
        <sz val="10"/>
        <color rgb="FF38383B"/>
        <rFont val="Arial"/>
        <family val="2"/>
      </rPr>
      <t>isiko  yang  terka</t>
    </r>
    <r>
      <rPr>
        <sz val="10"/>
        <color rgb="FF1D1D21"/>
        <rFont val="Arial"/>
        <family val="2"/>
      </rPr>
      <t>i</t>
    </r>
    <r>
      <rPr>
        <sz val="10"/>
        <color rgb="FF49494D"/>
        <rFont val="Arial"/>
        <family val="2"/>
      </rPr>
      <t xml:space="preserve">t  </t>
    </r>
    <r>
      <rPr>
        <sz val="10"/>
        <color rgb="FF38383B"/>
        <rFont val="Arial"/>
        <family val="2"/>
      </rPr>
      <t>dengan  pemil</t>
    </r>
    <r>
      <rPr>
        <sz val="10"/>
        <color rgb="FF1D1D21"/>
        <rFont val="Arial"/>
        <family val="2"/>
      </rPr>
      <t>i</t>
    </r>
    <r>
      <rPr>
        <sz val="10"/>
        <color rgb="FF38383B"/>
        <rFont val="Arial"/>
        <family val="2"/>
      </rPr>
      <t xml:space="preserve">han  </t>
    </r>
    <r>
      <rPr>
        <sz val="10"/>
        <color rgb="FF1D1D21"/>
        <rFont val="Arial"/>
        <family val="2"/>
      </rPr>
      <t>m</t>
    </r>
    <r>
      <rPr>
        <sz val="10"/>
        <color rgb="FF49494D"/>
        <rFont val="Arial"/>
        <family val="2"/>
      </rPr>
      <t>it</t>
    </r>
    <r>
      <rPr>
        <sz val="10"/>
        <color rgb="FF1D1D21"/>
        <rFont val="Arial"/>
        <family val="2"/>
      </rPr>
      <t>r</t>
    </r>
    <r>
      <rPr>
        <sz val="10"/>
        <color rgb="FF38383B"/>
        <rFont val="Arial"/>
        <family val="2"/>
      </rPr>
      <t>a  a</t>
    </r>
    <r>
      <rPr>
        <sz val="10"/>
        <color rgb="FF1D1D21"/>
        <rFont val="Arial"/>
        <family val="2"/>
      </rPr>
      <t>t</t>
    </r>
    <r>
      <rPr>
        <sz val="10"/>
        <color rgb="FF38383B"/>
        <rFont val="Arial"/>
        <family val="2"/>
      </rPr>
      <t>au  ent</t>
    </r>
    <r>
      <rPr>
        <sz val="10"/>
        <color rgb="FF5E5E64"/>
        <rFont val="Arial"/>
        <family val="2"/>
      </rPr>
      <t>i</t>
    </r>
    <r>
      <rPr>
        <sz val="10"/>
        <color rgb="FF38383B"/>
        <rFont val="Arial"/>
        <family val="2"/>
      </rPr>
      <t xml:space="preserve">tas </t>
    </r>
    <r>
      <rPr>
        <sz val="10"/>
        <color rgb="FF49494D"/>
        <rFont val="Arial"/>
        <family val="2"/>
      </rPr>
      <t xml:space="preserve">yang  </t>
    </r>
    <r>
      <rPr>
        <sz val="10"/>
        <color rgb="FF38383B"/>
        <rFont val="Arial"/>
        <family val="2"/>
      </rPr>
      <t>aka</t>
    </r>
    <r>
      <rPr>
        <sz val="10"/>
        <color rgb="FF1D1D21"/>
        <rFont val="Arial"/>
        <family val="2"/>
      </rPr>
      <t xml:space="preserve">n  </t>
    </r>
    <r>
      <rPr>
        <sz val="10"/>
        <color rgb="FF38383B"/>
        <rFont val="Arial"/>
        <family val="2"/>
      </rPr>
      <t>beke</t>
    </r>
    <r>
      <rPr>
        <sz val="10"/>
        <color rgb="FF1D1D21"/>
        <rFont val="Arial"/>
        <family val="2"/>
      </rPr>
      <t>r</t>
    </r>
    <r>
      <rPr>
        <sz val="10"/>
        <color rgb="FF38383B"/>
        <rFont val="Arial"/>
        <family val="2"/>
      </rPr>
      <t>ja  be</t>
    </r>
    <r>
      <rPr>
        <sz val="10"/>
        <color rgb="FF1D1D21"/>
        <rFont val="Arial"/>
        <family val="2"/>
      </rPr>
      <t>r</t>
    </r>
    <r>
      <rPr>
        <sz val="10"/>
        <color rgb="FF38383B"/>
        <rFont val="Arial"/>
        <family val="2"/>
      </rPr>
      <t>sama  dala</t>
    </r>
    <r>
      <rPr>
        <sz val="10"/>
        <color rgb="FF1D1D21"/>
        <rFont val="Arial"/>
        <family val="2"/>
      </rPr>
      <t xml:space="preserve">m  </t>
    </r>
    <r>
      <rPr>
        <sz val="10"/>
        <color rgb="FF38383B"/>
        <rFont val="Arial"/>
        <family val="2"/>
      </rPr>
      <t>sebuah  konsorsium u</t>
    </r>
    <r>
      <rPr>
        <sz val="10"/>
        <color rgb="FF1D1D21"/>
        <rFont val="Arial"/>
        <family val="2"/>
      </rPr>
      <t>n</t>
    </r>
    <r>
      <rPr>
        <sz val="10"/>
        <color rgb="FF38383B"/>
        <rFont val="Arial"/>
        <family val="2"/>
      </rPr>
      <t>t</t>
    </r>
    <r>
      <rPr>
        <sz val="10"/>
        <color rgb="FF1D1D21"/>
        <rFont val="Arial"/>
        <family val="2"/>
      </rPr>
      <t>u</t>
    </r>
    <r>
      <rPr>
        <sz val="10"/>
        <color rgb="FF38383B"/>
        <rFont val="Arial"/>
        <family val="2"/>
      </rPr>
      <t xml:space="preserve">k mengeksekus </t>
    </r>
    <r>
      <rPr>
        <sz val="10"/>
        <color rgb="FF1D1D21"/>
        <rFont val="Arial"/>
        <family val="2"/>
      </rPr>
      <t xml:space="preserve">i </t>
    </r>
    <r>
      <rPr>
        <sz val="10"/>
        <color rgb="FF38383B"/>
        <rFont val="Arial"/>
        <family val="2"/>
      </rPr>
      <t>proyek.</t>
    </r>
  </si>
  <si>
    <r>
      <rPr>
        <sz val="10"/>
        <color rgb="FF49494D"/>
        <rFont val="Arial"/>
        <family val="2"/>
      </rPr>
      <t xml:space="preserve">a.    </t>
    </r>
    <r>
      <rPr>
        <sz val="10"/>
        <color rgb="FF38383B"/>
        <rFont val="Arial"/>
        <family val="2"/>
      </rPr>
      <t>Kurang</t>
    </r>
    <r>
      <rPr>
        <sz val="10"/>
        <color rgb="FF1D1D21"/>
        <rFont val="Arial"/>
        <family val="2"/>
      </rPr>
      <t>n</t>
    </r>
    <r>
      <rPr>
        <sz val="10"/>
        <color rgb="FF49494D"/>
        <rFont val="Arial"/>
        <family val="2"/>
      </rPr>
      <t>ya      kompe</t>
    </r>
    <r>
      <rPr>
        <sz val="10"/>
        <color rgb="FF1D1D21"/>
        <rFont val="Arial"/>
        <family val="2"/>
      </rPr>
      <t>t</t>
    </r>
    <r>
      <rPr>
        <sz val="10"/>
        <color rgb="FF49494D"/>
        <rFont val="Arial"/>
        <family val="2"/>
      </rPr>
      <t xml:space="preserve">ensi      </t>
    </r>
    <r>
      <rPr>
        <sz val="10"/>
        <color rgb="FF38383B"/>
        <rFont val="Arial"/>
        <family val="2"/>
      </rPr>
      <t>dan      kea</t>
    </r>
    <r>
      <rPr>
        <sz val="10"/>
        <color rgb="FF1D1D21"/>
        <rFont val="Arial"/>
        <family val="2"/>
      </rPr>
      <t>h</t>
    </r>
    <r>
      <rPr>
        <sz val="10"/>
        <color rgb="FF38383B"/>
        <rFont val="Arial"/>
        <family val="2"/>
      </rPr>
      <t>l</t>
    </r>
    <r>
      <rPr>
        <sz val="10"/>
        <color rgb="FF5E5E64"/>
        <rFont val="Arial"/>
        <family val="2"/>
      </rPr>
      <t>i</t>
    </r>
    <r>
      <rPr>
        <sz val="10"/>
        <color rgb="FF38383B"/>
        <rFont val="Arial"/>
        <family val="2"/>
      </rPr>
      <t>an penyed</t>
    </r>
    <r>
      <rPr>
        <sz val="10"/>
        <color rgb="FF1D1D21"/>
        <rFont val="Arial"/>
        <family val="2"/>
      </rPr>
      <t>i</t>
    </r>
    <r>
      <rPr>
        <sz val="10"/>
        <color rgb="FF49494D"/>
        <rFont val="Arial"/>
        <family val="2"/>
      </rPr>
      <t xml:space="preserve">a </t>
    </r>
    <r>
      <rPr>
        <sz val="10"/>
        <color rgb="FF38383B"/>
        <rFont val="Arial"/>
        <family val="2"/>
      </rPr>
      <t xml:space="preserve">barang jasa
</t>
    </r>
    <r>
      <rPr>
        <sz val="10"/>
        <color rgb="FF1D1D21"/>
        <rFont val="Arial"/>
        <family val="2"/>
      </rPr>
      <t>b</t>
    </r>
    <r>
      <rPr>
        <sz val="10"/>
        <color rgb="FF49494D"/>
        <rFont val="Arial"/>
        <family val="2"/>
      </rPr>
      <t xml:space="preserve">.    </t>
    </r>
    <r>
      <rPr>
        <sz val="10"/>
        <color rgb="FF38383B"/>
        <rFont val="Arial"/>
        <family val="2"/>
      </rPr>
      <t>Keterba</t>
    </r>
    <r>
      <rPr>
        <sz val="10"/>
        <color rgb="FF1D1D21"/>
        <rFont val="Arial"/>
        <family val="2"/>
      </rPr>
      <t>t</t>
    </r>
    <r>
      <rPr>
        <sz val="10"/>
        <color rgb="FF49494D"/>
        <rFont val="Arial"/>
        <family val="2"/>
      </rPr>
      <t>asa</t>
    </r>
    <r>
      <rPr>
        <sz val="10"/>
        <color rgb="FF1D1D21"/>
        <rFont val="Arial"/>
        <family val="2"/>
      </rPr>
      <t xml:space="preserve">n </t>
    </r>
    <r>
      <rPr>
        <sz val="10"/>
        <color rgb="FF38383B"/>
        <rFont val="Arial"/>
        <family val="2"/>
      </rPr>
      <t>l</t>
    </r>
    <r>
      <rPr>
        <sz val="10"/>
        <color rgb="FF1D1D21"/>
        <rFont val="Arial"/>
        <family val="2"/>
      </rPr>
      <t>i</t>
    </r>
    <r>
      <rPr>
        <sz val="10"/>
        <color rgb="FF49494D"/>
        <rFont val="Arial"/>
        <family val="2"/>
      </rPr>
      <t xml:space="preserve">kuiditas </t>
    </r>
    <r>
      <rPr>
        <sz val="10"/>
        <color rgb="FF38383B"/>
        <rFont val="Arial"/>
        <family val="2"/>
      </rPr>
      <t>mitra</t>
    </r>
    <r>
      <rPr>
        <sz val="10"/>
        <color rgb="FF5E5E64"/>
        <rFont val="Arial"/>
        <family val="2"/>
      </rPr>
      <t>/</t>
    </r>
    <r>
      <rPr>
        <sz val="10"/>
        <color rgb="FF38383B"/>
        <rFont val="Arial"/>
        <family val="2"/>
      </rPr>
      <t>ko</t>
    </r>
    <r>
      <rPr>
        <sz val="10"/>
        <color rgb="FF1D1D21"/>
        <rFont val="Arial"/>
        <family val="2"/>
      </rPr>
      <t>n</t>
    </r>
    <r>
      <rPr>
        <sz val="10"/>
        <color rgb="FF49494D"/>
        <rFont val="Arial"/>
        <family val="2"/>
      </rPr>
      <t xml:space="preserve">sorsium
</t>
    </r>
    <r>
      <rPr>
        <vertAlign val="superscript"/>
        <sz val="10"/>
        <color rgb="FF49494D"/>
        <rFont val="Arial"/>
        <family val="2"/>
      </rPr>
      <t xml:space="preserve">C.  </t>
    </r>
    <r>
      <rPr>
        <sz val="10"/>
        <color rgb="FF38383B"/>
        <rFont val="Arial"/>
        <family val="2"/>
      </rPr>
      <t>(dapat d</t>
    </r>
    <r>
      <rPr>
        <sz val="10"/>
        <color rgb="FF5E5E64"/>
        <rFont val="Arial"/>
        <family val="2"/>
      </rPr>
      <t>it</t>
    </r>
    <r>
      <rPr>
        <sz val="10"/>
        <color rgb="FF38383B"/>
        <rFont val="Arial"/>
        <family val="2"/>
      </rPr>
      <t>amba</t>
    </r>
    <r>
      <rPr>
        <sz val="10"/>
        <color rgb="FF1D1D21"/>
        <rFont val="Arial"/>
        <family val="2"/>
      </rPr>
      <t>h</t>
    </r>
    <r>
      <rPr>
        <sz val="10"/>
        <color rgb="FF49494D"/>
        <rFont val="Arial"/>
        <family val="2"/>
      </rPr>
      <t xml:space="preserve">kan sesuai </t>
    </r>
    <r>
      <rPr>
        <sz val="10"/>
        <color rgb="FF38383B"/>
        <rFont val="Arial"/>
        <family val="2"/>
      </rPr>
      <t xml:space="preserve">konteks peristiwa risiko pada </t>
    </r>
    <r>
      <rPr>
        <sz val="10"/>
        <color rgb="FF49494D"/>
        <rFont val="Arial"/>
        <family val="2"/>
      </rPr>
      <t xml:space="preserve">satuan kerja </t>
    </r>
    <r>
      <rPr>
        <sz val="10"/>
        <color rgb="FF38383B"/>
        <rFont val="Arial"/>
        <family val="2"/>
      </rPr>
      <t>masinq</t>
    </r>
    <r>
      <rPr>
        <sz val="10"/>
        <color rgb="FF1D1D21"/>
        <rFont val="Arial"/>
        <family val="2"/>
      </rPr>
      <t>-</t>
    </r>
    <r>
      <rPr>
        <sz val="10"/>
        <color rgb="FF38383B"/>
        <rFont val="Arial"/>
        <family val="2"/>
      </rPr>
      <t>masina)</t>
    </r>
  </si>
  <si>
    <r>
      <rPr>
        <sz val="10"/>
        <color rgb="FF38383B"/>
        <rFont val="Arial"/>
        <family val="2"/>
      </rPr>
      <t>R</t>
    </r>
    <r>
      <rPr>
        <sz val="10"/>
        <color rgb="FF1D1D21"/>
        <rFont val="Arial"/>
        <family val="2"/>
      </rPr>
      <t>i</t>
    </r>
    <r>
      <rPr>
        <sz val="10"/>
        <color rgb="FF49494D"/>
        <rFont val="Arial"/>
        <family val="2"/>
      </rPr>
      <t xml:space="preserve">siko </t>
    </r>
    <r>
      <rPr>
        <sz val="10"/>
        <color rgb="FF38383B"/>
        <rFont val="Arial"/>
        <family val="2"/>
      </rPr>
      <t>eksek</t>
    </r>
    <r>
      <rPr>
        <sz val="10"/>
        <color rgb="FF1D1D21"/>
        <rFont val="Arial"/>
        <family val="2"/>
      </rPr>
      <t>u</t>
    </r>
    <r>
      <rPr>
        <sz val="10"/>
        <color rgb="FF38383B"/>
        <rFont val="Arial"/>
        <family val="2"/>
      </rPr>
      <t>si proyek</t>
    </r>
  </si>
  <si>
    <r>
      <rPr>
        <sz val="10"/>
        <color rgb="FF1D1D21"/>
        <rFont val="Arial"/>
        <family val="2"/>
      </rPr>
      <t>R</t>
    </r>
    <r>
      <rPr>
        <sz val="10"/>
        <color rgb="FF38383B"/>
        <rFont val="Arial"/>
        <family val="2"/>
      </rPr>
      <t>isiko  terkait  potensi permasalahan  dan ta</t>
    </r>
    <r>
      <rPr>
        <sz val="10"/>
        <color rgb="FF1D1D21"/>
        <rFont val="Arial"/>
        <family val="2"/>
      </rPr>
      <t>n</t>
    </r>
    <r>
      <rPr>
        <sz val="10"/>
        <color rgb="FF38383B"/>
        <rFont val="Arial"/>
        <family val="2"/>
      </rPr>
      <t xml:space="preserve">tangan </t>
    </r>
    <r>
      <rPr>
        <sz val="10"/>
        <color rgb="FF49494D"/>
        <rFont val="Arial"/>
        <family val="2"/>
      </rPr>
      <t xml:space="preserve">yang </t>
    </r>
    <r>
      <rPr>
        <sz val="10"/>
        <color rgb="FF38383B"/>
        <rFont val="Arial"/>
        <family val="2"/>
      </rPr>
      <t>dapat  t</t>
    </r>
    <r>
      <rPr>
        <sz val="10"/>
        <color rgb="FF1D1D21"/>
        <rFont val="Arial"/>
        <family val="2"/>
      </rPr>
      <t>i</t>
    </r>
    <r>
      <rPr>
        <sz val="10"/>
        <color rgb="FF38383B"/>
        <rFont val="Arial"/>
        <family val="2"/>
      </rPr>
      <t>mbu</t>
    </r>
    <r>
      <rPr>
        <sz val="10"/>
        <color rgb="FF1D1D21"/>
        <rFont val="Arial"/>
        <family val="2"/>
      </rPr>
      <t xml:space="preserve">l  </t>
    </r>
    <r>
      <rPr>
        <sz val="10"/>
        <color rgb="FF38383B"/>
        <rFont val="Arial"/>
        <family val="2"/>
      </rPr>
      <t xml:space="preserve">selama  proses  realisasi  </t>
    </r>
    <r>
      <rPr>
        <sz val="10"/>
        <color rgb="FF49494D"/>
        <rFont val="Arial"/>
        <family val="2"/>
      </rPr>
      <t xml:space="preserve">atau  implementasi </t>
    </r>
    <r>
      <rPr>
        <sz val="10"/>
        <color rgb="FF38383B"/>
        <rFont val="Arial"/>
        <family val="2"/>
      </rPr>
      <t>p</t>
    </r>
    <r>
      <rPr>
        <sz val="10"/>
        <color rgb="FF1D1D21"/>
        <rFont val="Arial"/>
        <family val="2"/>
      </rPr>
      <t>r</t>
    </r>
    <r>
      <rPr>
        <sz val="10"/>
        <color rgb="FF38383B"/>
        <rFont val="Arial"/>
        <family val="2"/>
      </rPr>
      <t>oyek.</t>
    </r>
  </si>
  <si>
    <r>
      <rPr>
        <sz val="10"/>
        <color rgb="FF49494D"/>
        <rFont val="Arial"/>
        <family val="2"/>
      </rPr>
      <t xml:space="preserve">a.    </t>
    </r>
    <r>
      <rPr>
        <sz val="10"/>
        <color rgb="FF38383B"/>
        <rFont val="Arial"/>
        <family val="2"/>
      </rPr>
      <t>Kegagalan dalam mencapa</t>
    </r>
    <r>
      <rPr>
        <sz val="10"/>
        <color rgb="FF1D1D21"/>
        <rFont val="Arial"/>
        <family val="2"/>
      </rPr>
      <t xml:space="preserve">i  </t>
    </r>
    <r>
      <rPr>
        <sz val="10"/>
        <color rgb="FF49494D"/>
        <rFont val="Arial"/>
        <family val="2"/>
      </rPr>
      <t xml:space="preserve">standar  kualitas </t>
    </r>
    <r>
      <rPr>
        <sz val="10"/>
        <color rgb="FF38383B"/>
        <rFont val="Arial"/>
        <family val="2"/>
      </rPr>
      <t xml:space="preserve">hasil proyek
</t>
    </r>
    <r>
      <rPr>
        <vertAlign val="superscript"/>
        <sz val="10"/>
        <color rgb="FF38383B"/>
        <rFont val="Arial"/>
        <family val="2"/>
      </rPr>
      <t xml:space="preserve">b.   </t>
    </r>
    <r>
      <rPr>
        <sz val="10"/>
        <color rgb="FF1D1D21"/>
        <rFont val="Arial"/>
        <family val="2"/>
      </rPr>
      <t>P</t>
    </r>
    <r>
      <rPr>
        <sz val="10"/>
        <color rgb="FF38383B"/>
        <rFont val="Arial"/>
        <family val="2"/>
      </rPr>
      <t>eningkatanb</t>
    </r>
    <r>
      <rPr>
        <sz val="10"/>
        <color rgb="FF1D1D21"/>
        <rFont val="Arial"/>
        <family val="2"/>
      </rPr>
      <t>i</t>
    </r>
    <r>
      <rPr>
        <sz val="10"/>
        <color rgb="FF49494D"/>
        <rFont val="Arial"/>
        <family val="2"/>
      </rPr>
      <t xml:space="preserve">ayaproyek
C.  (dapat </t>
    </r>
    <r>
      <rPr>
        <sz val="10"/>
        <color rgb="FF38383B"/>
        <rFont val="Arial"/>
        <family val="2"/>
      </rPr>
      <t>ditamba</t>
    </r>
    <r>
      <rPr>
        <sz val="10"/>
        <color rgb="FF1D1D21"/>
        <rFont val="Arial"/>
        <family val="2"/>
      </rPr>
      <t>h</t>
    </r>
    <r>
      <rPr>
        <sz val="10"/>
        <color rgb="FF49494D"/>
        <rFont val="Arial"/>
        <family val="2"/>
      </rPr>
      <t>kan sesua</t>
    </r>
    <r>
      <rPr>
        <sz val="10"/>
        <color rgb="FF1D1D21"/>
        <rFont val="Arial"/>
        <family val="2"/>
      </rPr>
      <t xml:space="preserve">i </t>
    </r>
    <r>
      <rPr>
        <sz val="10"/>
        <color rgb="FF38383B"/>
        <rFont val="Arial"/>
        <family val="2"/>
      </rPr>
      <t>konteks peris</t>
    </r>
    <r>
      <rPr>
        <sz val="10"/>
        <color rgb="FF1D1D21"/>
        <rFont val="Arial"/>
        <family val="2"/>
      </rPr>
      <t>t</t>
    </r>
    <r>
      <rPr>
        <sz val="10"/>
        <color rgb="FF38383B"/>
        <rFont val="Arial"/>
        <family val="2"/>
      </rPr>
      <t xml:space="preserve">iwa </t>
    </r>
    <r>
      <rPr>
        <sz val="10"/>
        <color rgb="FF1D1D21"/>
        <rFont val="Arial"/>
        <family val="2"/>
      </rPr>
      <t>ri</t>
    </r>
    <r>
      <rPr>
        <sz val="10"/>
        <color rgb="FF49494D"/>
        <rFont val="Arial"/>
        <family val="2"/>
      </rPr>
      <t xml:space="preserve">siko </t>
    </r>
    <r>
      <rPr>
        <sz val="10"/>
        <color rgb="FF38383B"/>
        <rFont val="Arial"/>
        <family val="2"/>
      </rPr>
      <t xml:space="preserve">pada </t>
    </r>
    <r>
      <rPr>
        <sz val="10"/>
        <color rgb="FF49494D"/>
        <rFont val="Arial"/>
        <family val="2"/>
      </rPr>
      <t>satua</t>
    </r>
    <r>
      <rPr>
        <sz val="10"/>
        <color rgb="FF1D1D21"/>
        <rFont val="Arial"/>
        <family val="2"/>
      </rPr>
      <t xml:space="preserve">n </t>
    </r>
    <r>
      <rPr>
        <sz val="10"/>
        <color rgb="FF49494D"/>
        <rFont val="Arial"/>
        <family val="2"/>
      </rPr>
      <t>keria masinq-masinq)</t>
    </r>
  </si>
  <si>
    <r>
      <rPr>
        <sz val="10"/>
        <color rgb="FF38383B"/>
        <rFont val="Arial"/>
        <family val="2"/>
      </rPr>
      <t>Risiko penyelesaian
proyek</t>
    </r>
  </si>
  <si>
    <r>
      <rPr>
        <vertAlign val="superscript"/>
        <sz val="10"/>
        <color rgb="FF38383B"/>
        <rFont val="Arial"/>
        <family val="2"/>
      </rPr>
      <t>Ris</t>
    </r>
    <r>
      <rPr>
        <vertAlign val="superscript"/>
        <sz val="10"/>
        <color rgb="FF1D1D21"/>
        <rFont val="Arial"/>
        <family val="2"/>
      </rPr>
      <t>i</t>
    </r>
    <r>
      <rPr>
        <vertAlign val="superscript"/>
        <sz val="10"/>
        <color rgb="FF38383B"/>
        <rFont val="Arial"/>
        <family val="2"/>
      </rPr>
      <t>ko     kemu</t>
    </r>
    <r>
      <rPr>
        <vertAlign val="superscript"/>
        <sz val="10"/>
        <color rgb="FF1D1D21"/>
        <rFont val="Arial"/>
        <family val="2"/>
      </rPr>
      <t>n</t>
    </r>
    <r>
      <rPr>
        <vertAlign val="superscript"/>
        <sz val="10"/>
        <color rgb="FF38383B"/>
        <rFont val="Arial"/>
        <family val="2"/>
      </rPr>
      <t>gkina</t>
    </r>
    <r>
      <rPr>
        <vertAlign val="superscript"/>
        <sz val="10"/>
        <color rgb="FF1D1D21"/>
        <rFont val="Arial"/>
        <family val="2"/>
      </rPr>
      <t xml:space="preserve">n     </t>
    </r>
    <r>
      <rPr>
        <sz val="10"/>
        <color rgb="FF38383B"/>
        <rFont val="Arial"/>
        <family val="2"/>
      </rPr>
      <t>bahwa     proyek     t</t>
    </r>
    <r>
      <rPr>
        <sz val="10"/>
        <color rgb="FF1D1D21"/>
        <rFont val="Arial"/>
        <family val="2"/>
      </rPr>
      <t>i</t>
    </r>
    <r>
      <rPr>
        <sz val="10"/>
        <color rgb="FF38383B"/>
        <rFont val="Arial"/>
        <family val="2"/>
      </rPr>
      <t xml:space="preserve">dak     dapat
</t>
    </r>
    <r>
      <rPr>
        <vertAlign val="superscript"/>
        <sz val="10"/>
        <color rgb="FF38383B"/>
        <rFont val="Arial"/>
        <family val="2"/>
      </rPr>
      <t>d</t>
    </r>
    <r>
      <rPr>
        <vertAlign val="superscript"/>
        <sz val="10"/>
        <color rgb="FF1D1D21"/>
        <rFont val="Arial"/>
        <family val="2"/>
      </rPr>
      <t>i</t>
    </r>
    <r>
      <rPr>
        <vertAlign val="superscript"/>
        <sz val="10"/>
        <color rgb="FF38383B"/>
        <rFont val="Arial"/>
        <family val="2"/>
      </rPr>
      <t>selesa</t>
    </r>
    <r>
      <rPr>
        <vertAlign val="superscript"/>
        <sz val="10"/>
        <color rgb="FF000000"/>
        <rFont val="Arial"/>
        <family val="2"/>
      </rPr>
      <t>i</t>
    </r>
    <r>
      <rPr>
        <vertAlign val="superscript"/>
        <sz val="10"/>
        <color rgb="FF38383B"/>
        <rFont val="Arial"/>
        <family val="2"/>
      </rPr>
      <t xml:space="preserve">kan  sesuai  dengan  </t>
    </r>
    <r>
      <rPr>
        <vertAlign val="superscript"/>
        <sz val="10"/>
        <color rgb="FF1D1D21"/>
        <rFont val="Arial"/>
        <family val="2"/>
      </rPr>
      <t>r</t>
    </r>
    <r>
      <rPr>
        <vertAlign val="superscript"/>
        <sz val="10"/>
        <color rgb="FF38383B"/>
        <rFont val="Arial"/>
        <family val="2"/>
      </rPr>
      <t xml:space="preserve">encana  atau  </t>
    </r>
    <r>
      <rPr>
        <sz val="10"/>
        <color rgb="FF38383B"/>
        <rFont val="Arial"/>
        <family val="2"/>
      </rPr>
      <t>ko</t>
    </r>
    <r>
      <rPr>
        <sz val="10"/>
        <color rgb="FF1D1D21"/>
        <rFont val="Arial"/>
        <family val="2"/>
      </rPr>
      <t>n</t>
    </r>
    <r>
      <rPr>
        <sz val="10"/>
        <color rgb="FF38383B"/>
        <rFont val="Arial"/>
        <family val="2"/>
      </rPr>
      <t>t</t>
    </r>
    <r>
      <rPr>
        <sz val="10"/>
        <color rgb="FF1D1D21"/>
        <rFont val="Arial"/>
        <family val="2"/>
      </rPr>
      <t>r</t>
    </r>
    <r>
      <rPr>
        <sz val="10"/>
        <color rgb="FF49494D"/>
        <rFont val="Arial"/>
        <family val="2"/>
      </rPr>
      <t xml:space="preserve">ak  </t>
    </r>
    <r>
      <rPr>
        <sz val="10"/>
        <color rgb="FF38383B"/>
        <rFont val="Arial"/>
        <family val="2"/>
      </rPr>
      <t>yang telah disepakati.</t>
    </r>
  </si>
  <si>
    <r>
      <rPr>
        <sz val="10"/>
        <color rgb="FF49494D"/>
        <rFont val="Arial"/>
        <family val="2"/>
      </rPr>
      <t xml:space="preserve">a.    </t>
    </r>
    <r>
      <rPr>
        <sz val="10"/>
        <color rgb="FF38383B"/>
        <rFont val="Arial"/>
        <family val="2"/>
      </rPr>
      <t>Keter</t>
    </r>
    <r>
      <rPr>
        <sz val="10"/>
        <color rgb="FF1D1D21"/>
        <rFont val="Arial"/>
        <family val="2"/>
      </rPr>
      <t>l</t>
    </r>
    <r>
      <rPr>
        <sz val="10"/>
        <color rgb="FF49494D"/>
        <rFont val="Arial"/>
        <family val="2"/>
      </rPr>
      <t xml:space="preserve">ambatan </t>
    </r>
    <r>
      <rPr>
        <sz val="10"/>
        <color rgb="FF38383B"/>
        <rFont val="Arial"/>
        <family val="2"/>
      </rPr>
      <t xml:space="preserve">penyelesaian </t>
    </r>
    <r>
      <rPr>
        <sz val="10"/>
        <color rgb="FF49494D"/>
        <rFont val="Arial"/>
        <family val="2"/>
      </rPr>
      <t xml:space="preserve">proyek
</t>
    </r>
    <r>
      <rPr>
        <vertAlign val="superscript"/>
        <sz val="10"/>
        <color rgb="FF38383B"/>
        <rFont val="Arial"/>
        <family val="2"/>
      </rPr>
      <t xml:space="preserve">b.    </t>
    </r>
    <r>
      <rPr>
        <sz val="10"/>
        <color rgb="FF38383B"/>
        <rFont val="Arial"/>
        <family val="2"/>
      </rPr>
      <t>Wanpres</t>
    </r>
    <r>
      <rPr>
        <sz val="10"/>
        <color rgb="FF1D1D21"/>
        <rFont val="Arial"/>
        <family val="2"/>
      </rPr>
      <t>t</t>
    </r>
    <r>
      <rPr>
        <sz val="10"/>
        <color rgb="FF49494D"/>
        <rFont val="Arial"/>
        <family val="2"/>
      </rPr>
      <t xml:space="preserve">asi </t>
    </r>
    <r>
      <rPr>
        <sz val="10"/>
        <color rgb="FF38383B"/>
        <rFont val="Arial"/>
        <family val="2"/>
      </rPr>
      <t>penyed</t>
    </r>
    <r>
      <rPr>
        <sz val="10"/>
        <color rgb="FF5E5E64"/>
        <rFont val="Arial"/>
        <family val="2"/>
      </rPr>
      <t xml:space="preserve">ia </t>
    </r>
    <r>
      <rPr>
        <sz val="10"/>
        <color rgb="FF49494D"/>
        <rFont val="Arial"/>
        <family val="2"/>
      </rPr>
      <t xml:space="preserve">barang </t>
    </r>
    <r>
      <rPr>
        <sz val="10"/>
        <color rgb="FF38383B"/>
        <rFont val="Arial"/>
        <family val="2"/>
      </rPr>
      <t>jasa
C.  (dapat d</t>
    </r>
    <r>
      <rPr>
        <sz val="10"/>
        <color rgb="FF5E5E64"/>
        <rFont val="Arial"/>
        <family val="2"/>
      </rPr>
      <t>i</t>
    </r>
    <r>
      <rPr>
        <sz val="10"/>
        <color rgb="FF38383B"/>
        <rFont val="Arial"/>
        <family val="2"/>
      </rPr>
      <t xml:space="preserve">tambahkan </t>
    </r>
    <r>
      <rPr>
        <sz val="10"/>
        <color rgb="FF49494D"/>
        <rFont val="Arial"/>
        <family val="2"/>
      </rPr>
      <t xml:space="preserve">sesuai </t>
    </r>
    <r>
      <rPr>
        <sz val="10"/>
        <color rgb="FF38383B"/>
        <rFont val="Arial"/>
        <family val="2"/>
      </rPr>
      <t xml:space="preserve">konteks </t>
    </r>
    <r>
      <rPr>
        <sz val="10"/>
        <color rgb="FF49494D"/>
        <rFont val="Arial"/>
        <family val="2"/>
      </rPr>
      <t>per</t>
    </r>
    <r>
      <rPr>
        <sz val="10"/>
        <color rgb="FF1D1D21"/>
        <rFont val="Arial"/>
        <family val="2"/>
      </rPr>
      <t>i</t>
    </r>
    <r>
      <rPr>
        <sz val="10"/>
        <color rgb="FF38383B"/>
        <rFont val="Arial"/>
        <family val="2"/>
      </rPr>
      <t>s</t>
    </r>
    <r>
      <rPr>
        <sz val="10"/>
        <color rgb="FF1D1D21"/>
        <rFont val="Arial"/>
        <family val="2"/>
      </rPr>
      <t>t</t>
    </r>
    <r>
      <rPr>
        <sz val="10"/>
        <color rgb="FF38383B"/>
        <rFont val="Arial"/>
        <family val="2"/>
      </rPr>
      <t xml:space="preserve">iwa risiko pada </t>
    </r>
    <r>
      <rPr>
        <sz val="10"/>
        <color rgb="FF49494D"/>
        <rFont val="Arial"/>
        <family val="2"/>
      </rPr>
      <t xml:space="preserve">satuan kerja </t>
    </r>
    <r>
      <rPr>
        <sz val="10"/>
        <color rgb="FF38383B"/>
        <rFont val="Arial"/>
        <family val="2"/>
      </rPr>
      <t>masinq-masina)</t>
    </r>
  </si>
  <si>
    <r>
      <rPr>
        <sz val="10"/>
        <color rgb="FF38383B"/>
        <rFont val="Arial"/>
        <family val="2"/>
      </rPr>
      <t>Risiko teknolog</t>
    </r>
    <r>
      <rPr>
        <sz val="10"/>
        <color rgb="FF1D1D21"/>
        <rFont val="Arial"/>
        <family val="2"/>
      </rPr>
      <t xml:space="preserve">i </t>
    </r>
    <r>
      <rPr>
        <sz val="10"/>
        <color rgb="FF38383B"/>
        <rFont val="Arial"/>
        <family val="2"/>
      </rPr>
      <t>informasi</t>
    </r>
  </si>
  <si>
    <r>
      <rPr>
        <vertAlign val="superscript"/>
        <sz val="10"/>
        <color rgb="FF38383B"/>
        <rFont val="Arial"/>
        <family val="2"/>
      </rPr>
      <t>R</t>
    </r>
    <r>
      <rPr>
        <vertAlign val="superscript"/>
        <sz val="10"/>
        <color rgb="FF1D1D21"/>
        <rFont val="Arial"/>
        <family val="2"/>
      </rPr>
      <t>i</t>
    </r>
    <r>
      <rPr>
        <vertAlign val="superscript"/>
        <sz val="10"/>
        <color rgb="FF38383B"/>
        <rFont val="Arial"/>
        <family val="2"/>
      </rPr>
      <t>s</t>
    </r>
    <r>
      <rPr>
        <vertAlign val="superscript"/>
        <sz val="10"/>
        <color rgb="FF1D1D21"/>
        <rFont val="Arial"/>
        <family val="2"/>
      </rPr>
      <t>i</t>
    </r>
    <r>
      <rPr>
        <vertAlign val="superscript"/>
        <sz val="10"/>
        <color rgb="FF38383B"/>
        <rFont val="Arial"/>
        <family val="2"/>
      </rPr>
      <t>ko  terka</t>
    </r>
    <r>
      <rPr>
        <vertAlign val="superscript"/>
        <sz val="10"/>
        <color rgb="FF1D1D21"/>
        <rFont val="Arial"/>
        <family val="2"/>
      </rPr>
      <t>i</t>
    </r>
    <r>
      <rPr>
        <vertAlign val="superscript"/>
        <sz val="10"/>
        <color rgb="FF38383B"/>
        <rFont val="Arial"/>
        <family val="2"/>
      </rPr>
      <t xml:space="preserve">t  dengan  </t>
    </r>
    <r>
      <rPr>
        <sz val="10"/>
        <color rgb="FF38383B"/>
        <rFont val="Arial"/>
        <family val="2"/>
      </rPr>
      <t>penggu</t>
    </r>
    <r>
      <rPr>
        <sz val="10"/>
        <color rgb="FF1D1D21"/>
        <rFont val="Arial"/>
        <family val="2"/>
      </rPr>
      <t>n</t>
    </r>
    <r>
      <rPr>
        <sz val="10"/>
        <color rgb="FF38383B"/>
        <rFont val="Arial"/>
        <family val="2"/>
      </rPr>
      <t>aan  teknolog</t>
    </r>
    <r>
      <rPr>
        <sz val="10"/>
        <color rgb="FF1D1D21"/>
        <rFont val="Arial"/>
        <family val="2"/>
      </rPr>
      <t xml:space="preserve">i  </t>
    </r>
    <r>
      <rPr>
        <sz val="10"/>
        <color rgb="FF38383B"/>
        <rFont val="Arial"/>
        <family val="2"/>
      </rPr>
      <t>dan  sistem info</t>
    </r>
    <r>
      <rPr>
        <sz val="10"/>
        <color rgb="FF1D1D21"/>
        <rFont val="Arial"/>
        <family val="2"/>
      </rPr>
      <t>r</t>
    </r>
    <r>
      <rPr>
        <sz val="10"/>
        <color rgb="FF38383B"/>
        <rFont val="Arial"/>
        <family val="2"/>
      </rPr>
      <t>masi pe</t>
    </r>
    <r>
      <rPr>
        <sz val="10"/>
        <color rgb="FF1D1D21"/>
        <rFont val="Arial"/>
        <family val="2"/>
      </rPr>
      <t>r</t>
    </r>
    <r>
      <rPr>
        <sz val="10"/>
        <color rgb="FF38383B"/>
        <rFont val="Arial"/>
        <family val="2"/>
      </rPr>
      <t>usahaan.</t>
    </r>
  </si>
  <si>
    <r>
      <rPr>
        <sz val="10"/>
        <color rgb="FF49494D"/>
        <rFont val="Arial"/>
        <family val="2"/>
      </rPr>
      <t xml:space="preserve">a.    </t>
    </r>
    <r>
      <rPr>
        <sz val="10"/>
        <color rgb="FF38383B"/>
        <rFont val="Arial"/>
        <family val="2"/>
      </rPr>
      <t>Teknologi info</t>
    </r>
    <r>
      <rPr>
        <sz val="10"/>
        <color rgb="FF1D1D21"/>
        <rFont val="Arial"/>
        <family val="2"/>
      </rPr>
      <t>r</t>
    </r>
    <r>
      <rPr>
        <sz val="10"/>
        <color rgb="FF38383B"/>
        <rFont val="Arial"/>
        <family val="2"/>
      </rPr>
      <t xml:space="preserve">masi obsolete
b.    </t>
    </r>
    <r>
      <rPr>
        <sz val="10"/>
        <color rgb="FF1D1D21"/>
        <rFont val="Arial"/>
        <family val="2"/>
      </rPr>
      <t>Li</t>
    </r>
    <r>
      <rPr>
        <sz val="10"/>
        <color rgb="FF49494D"/>
        <rFont val="Arial"/>
        <family val="2"/>
      </rPr>
      <t xml:space="preserve">sensi </t>
    </r>
    <r>
      <rPr>
        <sz val="10"/>
        <color rgb="FF38383B"/>
        <rFont val="Arial"/>
        <family val="2"/>
      </rPr>
      <t>pe</t>
    </r>
    <r>
      <rPr>
        <sz val="10"/>
        <color rgb="FF1D1D21"/>
        <rFont val="Arial"/>
        <family val="2"/>
      </rPr>
      <t>r</t>
    </r>
    <r>
      <rPr>
        <sz val="10"/>
        <color rgb="FF49494D"/>
        <rFont val="Arial"/>
        <family val="2"/>
      </rPr>
      <t xml:space="preserve">angkat </t>
    </r>
    <r>
      <rPr>
        <sz val="10"/>
        <color rgb="FF38383B"/>
        <rFont val="Arial"/>
        <family val="2"/>
      </rPr>
      <t>lu</t>
    </r>
    <r>
      <rPr>
        <sz val="10"/>
        <color rgb="FF1D1D21"/>
        <rFont val="Arial"/>
        <family val="2"/>
      </rPr>
      <t>n</t>
    </r>
    <r>
      <rPr>
        <sz val="10"/>
        <color rgb="FF49494D"/>
        <rFont val="Arial"/>
        <family val="2"/>
      </rPr>
      <t xml:space="preserve">ak kadaluarsa
C.  (dapat </t>
    </r>
    <r>
      <rPr>
        <sz val="10"/>
        <color rgb="FF38383B"/>
        <rFont val="Arial"/>
        <family val="2"/>
      </rPr>
      <t xml:space="preserve">ditambahkan </t>
    </r>
    <r>
      <rPr>
        <sz val="10"/>
        <color rgb="FF49494D"/>
        <rFont val="Arial"/>
        <family val="2"/>
      </rPr>
      <t xml:space="preserve">sesuai </t>
    </r>
    <r>
      <rPr>
        <sz val="10"/>
        <color rgb="FF38383B"/>
        <rFont val="Arial"/>
        <family val="2"/>
      </rPr>
      <t>konteks pe</t>
    </r>
    <r>
      <rPr>
        <sz val="10"/>
        <color rgb="FF5E5E64"/>
        <rFont val="Arial"/>
        <family val="2"/>
      </rPr>
      <t>r</t>
    </r>
    <r>
      <rPr>
        <sz val="10"/>
        <color rgb="FF38383B"/>
        <rFont val="Arial"/>
        <family val="2"/>
      </rPr>
      <t>is</t>
    </r>
    <r>
      <rPr>
        <sz val="10"/>
        <color rgb="FF1D1D21"/>
        <rFont val="Arial"/>
        <family val="2"/>
      </rPr>
      <t>t</t>
    </r>
    <r>
      <rPr>
        <sz val="10"/>
        <color rgb="FF38383B"/>
        <rFont val="Arial"/>
        <family val="2"/>
      </rPr>
      <t>iwa r</t>
    </r>
    <r>
      <rPr>
        <sz val="10"/>
        <color rgb="FF1D1D21"/>
        <rFont val="Arial"/>
        <family val="2"/>
      </rPr>
      <t>i</t>
    </r>
    <r>
      <rPr>
        <sz val="10"/>
        <color rgb="FF49494D"/>
        <rFont val="Arial"/>
        <family val="2"/>
      </rPr>
      <t>s</t>
    </r>
    <r>
      <rPr>
        <sz val="10"/>
        <color rgb="FF1D1D21"/>
        <rFont val="Arial"/>
        <family val="2"/>
      </rPr>
      <t>i</t>
    </r>
    <r>
      <rPr>
        <sz val="10"/>
        <color rgb="FF38383B"/>
        <rFont val="Arial"/>
        <family val="2"/>
      </rPr>
      <t>ko pada satua</t>
    </r>
    <r>
      <rPr>
        <sz val="10"/>
        <color rgb="FF1D1D21"/>
        <rFont val="Arial"/>
        <family val="2"/>
      </rPr>
      <t xml:space="preserve">n </t>
    </r>
    <r>
      <rPr>
        <sz val="10"/>
        <color rgb="FF5E5E64"/>
        <rFont val="Arial"/>
        <family val="2"/>
      </rPr>
      <t>ker</t>
    </r>
    <r>
      <rPr>
        <sz val="10"/>
        <color rgb="FF1D1D21"/>
        <rFont val="Arial"/>
        <family val="2"/>
      </rPr>
      <t>i</t>
    </r>
    <r>
      <rPr>
        <sz val="10"/>
        <color rgb="FF49494D"/>
        <rFont val="Arial"/>
        <family val="2"/>
      </rPr>
      <t xml:space="preserve">a </t>
    </r>
    <r>
      <rPr>
        <sz val="10"/>
        <color rgb="FF38383B"/>
        <rFont val="Arial"/>
        <family val="2"/>
      </rPr>
      <t>masinq-masina)</t>
    </r>
  </si>
  <si>
    <r>
      <rPr>
        <sz val="10"/>
        <color rgb="FF38383B"/>
        <rFont val="Arial"/>
        <family val="2"/>
      </rPr>
      <t>R</t>
    </r>
    <r>
      <rPr>
        <sz val="10"/>
        <color rgb="FF1D1D21"/>
        <rFont val="Arial"/>
        <family val="2"/>
      </rPr>
      <t>i</t>
    </r>
    <r>
      <rPr>
        <sz val="10"/>
        <color rgb="FF38383B"/>
        <rFont val="Arial"/>
        <family val="2"/>
      </rPr>
      <t>s</t>
    </r>
    <r>
      <rPr>
        <sz val="10"/>
        <color rgb="FF1D1D21"/>
        <rFont val="Arial"/>
        <family val="2"/>
      </rPr>
      <t>ik</t>
    </r>
    <r>
      <rPr>
        <sz val="10"/>
        <color rgb="FF38383B"/>
        <rFont val="Arial"/>
        <family val="2"/>
      </rPr>
      <t>o keamana</t>
    </r>
    <r>
      <rPr>
        <sz val="10"/>
        <color rgb="FF1D1D21"/>
        <rFont val="Arial"/>
        <family val="2"/>
      </rPr>
      <t xml:space="preserve">n </t>
    </r>
    <r>
      <rPr>
        <sz val="10"/>
        <color rgb="FF49494D"/>
        <rFont val="Arial"/>
        <family val="2"/>
      </rPr>
      <t>s</t>
    </r>
    <r>
      <rPr>
        <sz val="10"/>
        <color rgb="FF1D1D21"/>
        <rFont val="Arial"/>
        <family val="2"/>
      </rPr>
      <t>i</t>
    </r>
    <r>
      <rPr>
        <sz val="10"/>
        <color rgb="FF38383B"/>
        <rFont val="Arial"/>
        <family val="2"/>
      </rPr>
      <t>ber</t>
    </r>
  </si>
  <si>
    <r>
      <rPr>
        <sz val="10"/>
        <color rgb="FF38383B"/>
        <rFont val="Arial"/>
        <family val="2"/>
      </rPr>
      <t>Ris</t>
    </r>
    <r>
      <rPr>
        <sz val="10"/>
        <color rgb="FF1D1D21"/>
        <rFont val="Arial"/>
        <family val="2"/>
      </rPr>
      <t>i</t>
    </r>
    <r>
      <rPr>
        <sz val="10"/>
        <color rgb="FF38383B"/>
        <rFont val="Arial"/>
        <family val="2"/>
      </rPr>
      <t>ko te</t>
    </r>
    <r>
      <rPr>
        <sz val="10"/>
        <color rgb="FF1D1D21"/>
        <rFont val="Arial"/>
        <family val="2"/>
      </rPr>
      <t>r</t>
    </r>
    <r>
      <rPr>
        <sz val="10"/>
        <color rgb="FF38383B"/>
        <rFont val="Arial"/>
        <family val="2"/>
      </rPr>
      <t>kai</t>
    </r>
    <r>
      <rPr>
        <sz val="10"/>
        <color rgb="FF1D1D21"/>
        <rFont val="Arial"/>
        <family val="2"/>
      </rPr>
      <t xml:space="preserve">t </t>
    </r>
    <r>
      <rPr>
        <sz val="10"/>
        <color rgb="FF38383B"/>
        <rFont val="Arial"/>
        <family val="2"/>
      </rPr>
      <t>potens</t>
    </r>
    <r>
      <rPr>
        <sz val="10"/>
        <color rgb="FF1D1D21"/>
        <rFont val="Arial"/>
        <family val="2"/>
      </rPr>
      <t xml:space="preserve">i </t>
    </r>
    <r>
      <rPr>
        <sz val="10"/>
        <color rgb="FF38383B"/>
        <rFont val="Arial"/>
        <family val="2"/>
      </rPr>
      <t>ke</t>
    </r>
    <r>
      <rPr>
        <sz val="10"/>
        <color rgb="FF1D1D21"/>
        <rFont val="Arial"/>
        <family val="2"/>
      </rPr>
      <t>r</t>
    </r>
    <r>
      <rPr>
        <sz val="10"/>
        <color rgb="FF38383B"/>
        <rFont val="Arial"/>
        <family val="2"/>
      </rPr>
      <t>ug</t>
    </r>
    <r>
      <rPr>
        <sz val="10"/>
        <color rgb="FF1D1D21"/>
        <rFont val="Arial"/>
        <family val="2"/>
      </rPr>
      <t>i</t>
    </r>
    <r>
      <rPr>
        <sz val="10"/>
        <color rgb="FF38383B"/>
        <rFont val="Arial"/>
        <family val="2"/>
      </rPr>
      <t>an atau ke</t>
    </r>
    <r>
      <rPr>
        <sz val="10"/>
        <color rgb="FF1D1D21"/>
        <rFont val="Arial"/>
        <family val="2"/>
      </rPr>
      <t>r</t>
    </r>
    <r>
      <rPr>
        <sz val="10"/>
        <color rgb="FF38383B"/>
        <rFont val="Arial"/>
        <family val="2"/>
      </rPr>
      <t xml:space="preserve">usakan yang </t>
    </r>
    <r>
      <rPr>
        <sz val="10"/>
        <color rgb="FF1D1D21"/>
        <rFont val="Arial"/>
        <family val="2"/>
      </rPr>
      <t>t</t>
    </r>
    <r>
      <rPr>
        <sz val="10"/>
        <color rgb="FF38383B"/>
        <rFont val="Arial"/>
        <family val="2"/>
      </rPr>
      <t>erjadi ka</t>
    </r>
    <r>
      <rPr>
        <sz val="10"/>
        <color rgb="FF1D1D21"/>
        <rFont val="Arial"/>
        <family val="2"/>
      </rPr>
      <t>r</t>
    </r>
    <r>
      <rPr>
        <sz val="10"/>
        <color rgb="FF38383B"/>
        <rFont val="Arial"/>
        <family val="2"/>
      </rPr>
      <t>e</t>
    </r>
    <r>
      <rPr>
        <sz val="10"/>
        <color rgb="FF1D1D21"/>
        <rFont val="Arial"/>
        <family val="2"/>
      </rPr>
      <t>n</t>
    </r>
    <r>
      <rPr>
        <sz val="10"/>
        <color rgb="FF38383B"/>
        <rFont val="Arial"/>
        <family val="2"/>
      </rPr>
      <t>a  se</t>
    </r>
    <r>
      <rPr>
        <sz val="10"/>
        <color rgb="FF1D1D21"/>
        <rFont val="Arial"/>
        <family val="2"/>
      </rPr>
      <t>r</t>
    </r>
    <r>
      <rPr>
        <sz val="10"/>
        <color rgb="FF38383B"/>
        <rFont val="Arial"/>
        <family val="2"/>
      </rPr>
      <t>a</t>
    </r>
    <r>
      <rPr>
        <sz val="10"/>
        <color rgb="FF1D1D21"/>
        <rFont val="Arial"/>
        <family val="2"/>
      </rPr>
      <t>n</t>
    </r>
    <r>
      <rPr>
        <sz val="10"/>
        <color rgb="FF38383B"/>
        <rFont val="Arial"/>
        <family val="2"/>
      </rPr>
      <t>ga</t>
    </r>
    <r>
      <rPr>
        <sz val="10"/>
        <color rgb="FF1D1D21"/>
        <rFont val="Arial"/>
        <family val="2"/>
      </rPr>
      <t xml:space="preserve">n  </t>
    </r>
    <r>
      <rPr>
        <sz val="10"/>
        <color rgb="FF38383B"/>
        <rFont val="Arial"/>
        <family val="2"/>
      </rPr>
      <t>siber</t>
    </r>
    <r>
      <rPr>
        <sz val="10"/>
        <color rgb="FF5E5E64"/>
        <rFont val="Arial"/>
        <family val="2"/>
      </rPr>
      <t xml:space="preserve">,  </t>
    </r>
    <r>
      <rPr>
        <sz val="10"/>
        <color rgb="FF1D1D21"/>
        <rFont val="Arial"/>
        <family val="2"/>
      </rPr>
      <t>p</t>
    </r>
    <r>
      <rPr>
        <sz val="10"/>
        <color rgb="FF38383B"/>
        <rFont val="Arial"/>
        <family val="2"/>
      </rPr>
      <t>elangga</t>
    </r>
    <r>
      <rPr>
        <sz val="10"/>
        <color rgb="FF1D1D21"/>
        <rFont val="Arial"/>
        <family val="2"/>
      </rPr>
      <t>r</t>
    </r>
    <r>
      <rPr>
        <sz val="10"/>
        <color rgb="FF38383B"/>
        <rFont val="Arial"/>
        <family val="2"/>
      </rPr>
      <t>an  data</t>
    </r>
    <r>
      <rPr>
        <sz val="10"/>
        <color rgb="FF5E5E64"/>
        <rFont val="Arial"/>
        <family val="2"/>
      </rPr>
      <t xml:space="preserve">,  </t>
    </r>
    <r>
      <rPr>
        <sz val="10"/>
        <color rgb="FF38383B"/>
        <rFont val="Arial"/>
        <family val="2"/>
      </rPr>
      <t>ata</t>
    </r>
    <r>
      <rPr>
        <sz val="10"/>
        <color rgb="FF1D1D21"/>
        <rFont val="Arial"/>
        <family val="2"/>
      </rPr>
      <t xml:space="preserve">u  </t>
    </r>
    <r>
      <rPr>
        <sz val="10"/>
        <color rgb="FF38383B"/>
        <rFont val="Arial"/>
        <family val="2"/>
      </rPr>
      <t>kejad</t>
    </r>
    <r>
      <rPr>
        <sz val="10"/>
        <color rgb="FF1D1D21"/>
        <rFont val="Arial"/>
        <family val="2"/>
      </rPr>
      <t>i</t>
    </r>
    <r>
      <rPr>
        <sz val="10"/>
        <color rgb="FF38383B"/>
        <rFont val="Arial"/>
        <family val="2"/>
      </rPr>
      <t>an kea</t>
    </r>
    <r>
      <rPr>
        <sz val="10"/>
        <color rgb="FF1D1D21"/>
        <rFont val="Arial"/>
        <family val="2"/>
      </rPr>
      <t>m</t>
    </r>
    <r>
      <rPr>
        <sz val="10"/>
        <color rgb="FF38383B"/>
        <rFont val="Arial"/>
        <family val="2"/>
      </rPr>
      <t>ana</t>
    </r>
    <r>
      <rPr>
        <sz val="10"/>
        <color rgb="FF1D1D21"/>
        <rFont val="Arial"/>
        <family val="2"/>
      </rPr>
      <t>n i</t>
    </r>
    <r>
      <rPr>
        <sz val="10"/>
        <color rgb="FF38383B"/>
        <rFont val="Arial"/>
        <family val="2"/>
      </rPr>
      <t xml:space="preserve">nformasi </t>
    </r>
    <r>
      <rPr>
        <sz val="10"/>
        <color rgb="FF1D1D21"/>
        <rFont val="Arial"/>
        <family val="2"/>
      </rPr>
      <t>l</t>
    </r>
    <r>
      <rPr>
        <sz val="10"/>
        <color rgb="FF38383B"/>
        <rFont val="Arial"/>
        <family val="2"/>
      </rPr>
      <t>ai</t>
    </r>
    <r>
      <rPr>
        <sz val="10"/>
        <color rgb="FF1D1D21"/>
        <rFont val="Arial"/>
        <family val="2"/>
      </rPr>
      <t>n</t>
    </r>
    <r>
      <rPr>
        <sz val="10"/>
        <color rgb="FF38383B"/>
        <rFont val="Arial"/>
        <family val="2"/>
      </rPr>
      <t>nya.</t>
    </r>
  </si>
  <si>
    <r>
      <rPr>
        <sz val="10"/>
        <color rgb="FF49494D"/>
        <rFont val="Arial"/>
        <family val="2"/>
      </rPr>
      <t xml:space="preserve">a.    </t>
    </r>
    <r>
      <rPr>
        <i/>
        <sz val="10"/>
        <color rgb="FF38383B"/>
        <rFont val="Arial"/>
        <family val="2"/>
      </rPr>
      <t xml:space="preserve">Data breach </t>
    </r>
    <r>
      <rPr>
        <sz val="10"/>
        <color rgb="FF38383B"/>
        <rFont val="Arial"/>
        <family val="2"/>
      </rPr>
      <t>pe</t>
    </r>
    <r>
      <rPr>
        <sz val="10"/>
        <color rgb="FF1D1D21"/>
        <rFont val="Arial"/>
        <family val="2"/>
      </rPr>
      <t>l</t>
    </r>
    <r>
      <rPr>
        <sz val="10"/>
        <color rgb="FF49494D"/>
        <rFont val="Arial"/>
        <family val="2"/>
      </rPr>
      <t>a</t>
    </r>
    <r>
      <rPr>
        <sz val="10"/>
        <color rgb="FF1D1D21"/>
        <rFont val="Arial"/>
        <family val="2"/>
      </rPr>
      <t>n</t>
    </r>
    <r>
      <rPr>
        <sz val="10"/>
        <color rgb="FF38383B"/>
        <rFont val="Arial"/>
        <family val="2"/>
      </rPr>
      <t xml:space="preserve">ggan
b.   </t>
    </r>
    <r>
      <rPr>
        <sz val="10"/>
        <color rgb="FF1D1D21"/>
        <rFont val="Arial"/>
        <family val="2"/>
      </rPr>
      <t>T</t>
    </r>
    <r>
      <rPr>
        <sz val="10"/>
        <color rgb="FF38383B"/>
        <rFont val="Arial"/>
        <family val="2"/>
      </rPr>
      <t xml:space="preserve">erjadinyaserangan </t>
    </r>
    <r>
      <rPr>
        <i/>
        <sz val="10"/>
        <color rgb="FF38383B"/>
        <rFont val="Arial"/>
        <family val="2"/>
      </rPr>
      <t xml:space="preserve">ransomware
</t>
    </r>
    <r>
      <rPr>
        <sz val="10"/>
        <color rgb="FF38383B"/>
        <rFont val="Arial"/>
        <family val="2"/>
      </rPr>
      <t>C</t>
    </r>
    <r>
      <rPr>
        <sz val="10"/>
        <color rgb="FF1D1D21"/>
        <rFont val="Arial"/>
        <family val="2"/>
      </rPr>
      <t xml:space="preserve">. </t>
    </r>
    <r>
      <rPr>
        <sz val="10"/>
        <color rgb="FF38383B"/>
        <rFont val="Arial"/>
        <family val="2"/>
      </rPr>
      <t>(dapat di</t>
    </r>
    <r>
      <rPr>
        <sz val="10"/>
        <color rgb="FF1D1D21"/>
        <rFont val="Arial"/>
        <family val="2"/>
      </rPr>
      <t>t</t>
    </r>
    <r>
      <rPr>
        <sz val="10"/>
        <color rgb="FF49494D"/>
        <rFont val="Arial"/>
        <family val="2"/>
      </rPr>
      <t xml:space="preserve">ambahkan </t>
    </r>
    <r>
      <rPr>
        <sz val="10"/>
        <color rgb="FF38383B"/>
        <rFont val="Arial"/>
        <family val="2"/>
      </rPr>
      <t>sesua</t>
    </r>
    <r>
      <rPr>
        <sz val="10"/>
        <color rgb="FF1D1D21"/>
        <rFont val="Arial"/>
        <family val="2"/>
      </rPr>
      <t xml:space="preserve">i </t>
    </r>
    <r>
      <rPr>
        <sz val="10"/>
        <color rgb="FF38383B"/>
        <rFont val="Arial"/>
        <family val="2"/>
      </rPr>
      <t>ko</t>
    </r>
    <r>
      <rPr>
        <sz val="10"/>
        <color rgb="FF1D1D21"/>
        <rFont val="Arial"/>
        <family val="2"/>
      </rPr>
      <t>nt</t>
    </r>
    <r>
      <rPr>
        <sz val="10"/>
        <color rgb="FF38383B"/>
        <rFont val="Arial"/>
        <family val="2"/>
      </rPr>
      <t>eks per</t>
    </r>
    <r>
      <rPr>
        <sz val="10"/>
        <color rgb="FF1D1D21"/>
        <rFont val="Arial"/>
        <family val="2"/>
      </rPr>
      <t>i</t>
    </r>
    <r>
      <rPr>
        <sz val="10"/>
        <color rgb="FF38383B"/>
        <rFont val="Arial"/>
        <family val="2"/>
      </rPr>
      <t>s</t>
    </r>
    <r>
      <rPr>
        <sz val="10"/>
        <color rgb="FF1D1D21"/>
        <rFont val="Arial"/>
        <family val="2"/>
      </rPr>
      <t>t</t>
    </r>
    <r>
      <rPr>
        <sz val="10"/>
        <color rgb="FF38383B"/>
        <rFont val="Arial"/>
        <family val="2"/>
      </rPr>
      <t>iwa r</t>
    </r>
    <r>
      <rPr>
        <sz val="10"/>
        <color rgb="FF1D1D21"/>
        <rFont val="Arial"/>
        <family val="2"/>
      </rPr>
      <t>i</t>
    </r>
    <r>
      <rPr>
        <sz val="10"/>
        <color rgb="FF49494D"/>
        <rFont val="Arial"/>
        <family val="2"/>
      </rPr>
      <t>s</t>
    </r>
    <r>
      <rPr>
        <sz val="10"/>
        <color rgb="FF1D1D21"/>
        <rFont val="Arial"/>
        <family val="2"/>
      </rPr>
      <t>ik</t>
    </r>
    <r>
      <rPr>
        <sz val="10"/>
        <color rgb="FF38383B"/>
        <rFont val="Arial"/>
        <family val="2"/>
      </rPr>
      <t xml:space="preserve">o pada </t>
    </r>
    <r>
      <rPr>
        <sz val="10"/>
        <color rgb="FF49494D"/>
        <rFont val="Arial"/>
        <family val="2"/>
      </rPr>
      <t>sa</t>
    </r>
    <r>
      <rPr>
        <sz val="10"/>
        <color rgb="FF1D1D21"/>
        <rFont val="Arial"/>
        <family val="2"/>
      </rPr>
      <t>t</t>
    </r>
    <r>
      <rPr>
        <sz val="10"/>
        <color rgb="FF38383B"/>
        <rFont val="Arial"/>
        <family val="2"/>
      </rPr>
      <t>ua</t>
    </r>
    <r>
      <rPr>
        <sz val="10"/>
        <color rgb="FF1D1D21"/>
        <rFont val="Arial"/>
        <family val="2"/>
      </rPr>
      <t xml:space="preserve">n </t>
    </r>
    <r>
      <rPr>
        <sz val="10"/>
        <color rgb="FF49494D"/>
        <rFont val="Arial"/>
        <family val="2"/>
      </rPr>
      <t>ker</t>
    </r>
    <r>
      <rPr>
        <sz val="10"/>
        <color rgb="FF1D1D21"/>
        <rFont val="Arial"/>
        <family val="2"/>
      </rPr>
      <t>j</t>
    </r>
    <r>
      <rPr>
        <sz val="10"/>
        <color rgb="FF49494D"/>
        <rFont val="Arial"/>
        <family val="2"/>
      </rPr>
      <t xml:space="preserve">a </t>
    </r>
    <r>
      <rPr>
        <sz val="10"/>
        <color rgb="FF1D1D21"/>
        <rFont val="Arial"/>
        <family val="2"/>
      </rPr>
      <t>m</t>
    </r>
    <r>
      <rPr>
        <sz val="10"/>
        <color rgb="FF49494D"/>
        <rFont val="Arial"/>
        <family val="2"/>
      </rPr>
      <t>as</t>
    </r>
    <r>
      <rPr>
        <sz val="10"/>
        <color rgb="FF1D1D21"/>
        <rFont val="Arial"/>
        <family val="2"/>
      </rPr>
      <t>i</t>
    </r>
    <r>
      <rPr>
        <sz val="10"/>
        <color rgb="FF38383B"/>
        <rFont val="Arial"/>
        <family val="2"/>
      </rPr>
      <t>nq-masi</t>
    </r>
    <r>
      <rPr>
        <sz val="10"/>
        <color rgb="FF1D1D21"/>
        <rFont val="Arial"/>
        <family val="2"/>
      </rPr>
      <t>n</t>
    </r>
    <r>
      <rPr>
        <sz val="10"/>
        <color rgb="FF38383B"/>
        <rFont val="Arial"/>
        <family val="2"/>
      </rPr>
      <t>a)</t>
    </r>
  </si>
  <si>
    <r>
      <rPr>
        <sz val="10"/>
        <color rgb="FF38383B"/>
        <rFont val="Arial"/>
        <family val="2"/>
      </rPr>
      <t>R</t>
    </r>
    <r>
      <rPr>
        <sz val="10"/>
        <color rgb="FF1D1D21"/>
        <rFont val="Arial"/>
        <family val="2"/>
      </rPr>
      <t>i</t>
    </r>
    <r>
      <rPr>
        <sz val="10"/>
        <color rgb="FF49494D"/>
        <rFont val="Arial"/>
        <family val="2"/>
      </rPr>
      <t>s</t>
    </r>
    <r>
      <rPr>
        <sz val="10"/>
        <color rgb="FF1D1D21"/>
        <rFont val="Arial"/>
        <family val="2"/>
      </rPr>
      <t>i</t>
    </r>
    <r>
      <rPr>
        <sz val="10"/>
        <color rgb="FF38383B"/>
        <rFont val="Arial"/>
        <family val="2"/>
      </rPr>
      <t>ko sos</t>
    </r>
    <r>
      <rPr>
        <sz val="10"/>
        <color rgb="FF1D1D21"/>
        <rFont val="Arial"/>
        <family val="2"/>
      </rPr>
      <t>i</t>
    </r>
    <r>
      <rPr>
        <sz val="10"/>
        <color rgb="FF38383B"/>
        <rFont val="Arial"/>
        <family val="2"/>
      </rPr>
      <t>a</t>
    </r>
    <r>
      <rPr>
        <sz val="10"/>
        <color rgb="FF1D1D21"/>
        <rFont val="Arial"/>
        <family val="2"/>
      </rPr>
      <t>l</t>
    </r>
  </si>
  <si>
    <r>
      <rPr>
        <sz val="10"/>
        <color rgb="FF1D1D21"/>
        <rFont val="Arial"/>
        <family val="2"/>
      </rPr>
      <t>P</t>
    </r>
    <r>
      <rPr>
        <sz val="10"/>
        <color rgb="FF38383B"/>
        <rFont val="Arial"/>
        <family val="2"/>
      </rPr>
      <t>o</t>
    </r>
    <r>
      <rPr>
        <sz val="10"/>
        <color rgb="FF1D1D21"/>
        <rFont val="Arial"/>
        <family val="2"/>
      </rPr>
      <t>t</t>
    </r>
    <r>
      <rPr>
        <sz val="10"/>
        <color rgb="FF38383B"/>
        <rFont val="Arial"/>
        <family val="2"/>
      </rPr>
      <t>ensi ekspos</t>
    </r>
    <r>
      <rPr>
        <sz val="10"/>
        <color rgb="FF1D1D21"/>
        <rFont val="Arial"/>
        <family val="2"/>
      </rPr>
      <t>u</t>
    </r>
    <r>
      <rPr>
        <sz val="10"/>
        <color rgb="FF38383B"/>
        <rFont val="Arial"/>
        <family val="2"/>
      </rPr>
      <t>r yang t</t>
    </r>
    <r>
      <rPr>
        <sz val="10"/>
        <color rgb="FF1D1D21"/>
        <rFont val="Arial"/>
        <family val="2"/>
      </rPr>
      <t>i</t>
    </r>
    <r>
      <rPr>
        <sz val="10"/>
        <color rgb="FF38383B"/>
        <rFont val="Arial"/>
        <family val="2"/>
      </rPr>
      <t>m</t>
    </r>
    <r>
      <rPr>
        <sz val="10"/>
        <color rgb="FF1D1D21"/>
        <rFont val="Arial"/>
        <family val="2"/>
      </rPr>
      <t>bu</t>
    </r>
    <r>
      <rPr>
        <sz val="10"/>
        <color theme="1"/>
        <rFont val="Arial"/>
        <family val="2"/>
      </rPr>
      <t xml:space="preserve">l </t>
    </r>
    <r>
      <rPr>
        <sz val="10"/>
        <color rgb="FF38383B"/>
        <rFont val="Arial"/>
        <family val="2"/>
      </rPr>
      <t>dari h</t>
    </r>
    <r>
      <rPr>
        <sz val="10"/>
        <color rgb="FF1D1D21"/>
        <rFont val="Arial"/>
        <family val="2"/>
      </rPr>
      <t>u</t>
    </r>
    <r>
      <rPr>
        <sz val="10"/>
        <color rgb="FF38383B"/>
        <rFont val="Arial"/>
        <family val="2"/>
      </rPr>
      <t>b</t>
    </r>
    <r>
      <rPr>
        <sz val="10"/>
        <color rgb="FF1D1D21"/>
        <rFont val="Arial"/>
        <family val="2"/>
      </rPr>
      <t>u</t>
    </r>
    <r>
      <rPr>
        <sz val="10"/>
        <color rgb="FF38383B"/>
        <rFont val="Arial"/>
        <family val="2"/>
      </rPr>
      <t>nga</t>
    </r>
    <r>
      <rPr>
        <sz val="10"/>
        <color rgb="FF1D1D21"/>
        <rFont val="Arial"/>
        <family val="2"/>
      </rPr>
      <t xml:space="preserve">n </t>
    </r>
    <r>
      <rPr>
        <sz val="10"/>
        <color rgb="FF38383B"/>
        <rFont val="Arial"/>
        <family val="2"/>
      </rPr>
      <t>masyarakat</t>
    </r>
    <r>
      <rPr>
        <sz val="10"/>
        <color rgb="FF5E5E64"/>
        <rFont val="Arial"/>
        <family val="2"/>
      </rPr>
      <t xml:space="preserve">, </t>
    </r>
    <r>
      <rPr>
        <sz val="10"/>
        <color rgb="FF38383B"/>
        <rFont val="Arial"/>
        <family val="2"/>
      </rPr>
      <t>kese</t>
    </r>
    <r>
      <rPr>
        <sz val="10"/>
        <color rgb="FF1D1D21"/>
        <rFont val="Arial"/>
        <family val="2"/>
      </rPr>
      <t>nj</t>
    </r>
    <r>
      <rPr>
        <sz val="10"/>
        <color rgb="FF38383B"/>
        <rFont val="Arial"/>
        <family val="2"/>
      </rPr>
      <t>a</t>
    </r>
    <r>
      <rPr>
        <sz val="10"/>
        <color rgb="FF1D1D21"/>
        <rFont val="Arial"/>
        <family val="2"/>
      </rPr>
      <t>n</t>
    </r>
    <r>
      <rPr>
        <sz val="10"/>
        <color rgb="FF38383B"/>
        <rFont val="Arial"/>
        <family val="2"/>
      </rPr>
      <t>ga</t>
    </r>
    <r>
      <rPr>
        <sz val="10"/>
        <color rgb="FF1D1D21"/>
        <rFont val="Arial"/>
        <family val="2"/>
      </rPr>
      <t xml:space="preserve">n  </t>
    </r>
    <r>
      <rPr>
        <sz val="10"/>
        <color rgb="FF38383B"/>
        <rFont val="Arial"/>
        <family val="2"/>
      </rPr>
      <t>ge</t>
    </r>
    <r>
      <rPr>
        <sz val="10"/>
        <color rgb="FF1D1D21"/>
        <rFont val="Arial"/>
        <family val="2"/>
      </rPr>
      <t>nd</t>
    </r>
    <r>
      <rPr>
        <sz val="10"/>
        <color rgb="FF38383B"/>
        <rFont val="Arial"/>
        <family val="2"/>
      </rPr>
      <t>er</t>
    </r>
    <r>
      <rPr>
        <sz val="10"/>
        <color rgb="FF5E5E64"/>
        <rFont val="Arial"/>
        <family val="2"/>
      </rPr>
      <t xml:space="preserve">,  </t>
    </r>
    <r>
      <rPr>
        <sz val="10"/>
        <color rgb="FF1D1D21"/>
        <rFont val="Arial"/>
        <family val="2"/>
      </rPr>
      <t>d</t>
    </r>
    <r>
      <rPr>
        <sz val="10"/>
        <color rgb="FF38383B"/>
        <rFont val="Arial"/>
        <family val="2"/>
      </rPr>
      <t>a</t>
    </r>
    <r>
      <rPr>
        <sz val="10"/>
        <color rgb="FF1D1D21"/>
        <rFont val="Arial"/>
        <family val="2"/>
      </rPr>
      <t xml:space="preserve">n  </t>
    </r>
    <r>
      <rPr>
        <sz val="10"/>
        <color rgb="FF38383B"/>
        <rFont val="Arial"/>
        <family val="2"/>
      </rPr>
      <t>ke</t>
    </r>
    <r>
      <rPr>
        <sz val="10"/>
        <color rgb="FF1D1D21"/>
        <rFont val="Arial"/>
        <family val="2"/>
      </rPr>
      <t>t</t>
    </r>
    <r>
      <rPr>
        <sz val="10"/>
        <color rgb="FF38383B"/>
        <rFont val="Arial"/>
        <family val="2"/>
      </rPr>
      <t>e</t>
    </r>
    <r>
      <rPr>
        <sz val="10"/>
        <color rgb="FF1D1D21"/>
        <rFont val="Arial"/>
        <family val="2"/>
      </rPr>
      <t>rli</t>
    </r>
    <r>
      <rPr>
        <sz val="10"/>
        <color rgb="FF38383B"/>
        <rFont val="Arial"/>
        <family val="2"/>
      </rPr>
      <t>ba</t>
    </r>
    <r>
      <rPr>
        <sz val="10"/>
        <color rgb="FF1D1D21"/>
        <rFont val="Arial"/>
        <family val="2"/>
      </rPr>
      <t>t</t>
    </r>
    <r>
      <rPr>
        <sz val="10"/>
        <color rgb="FF38383B"/>
        <rFont val="Arial"/>
        <family val="2"/>
      </rPr>
      <t>a</t>
    </r>
    <r>
      <rPr>
        <sz val="10"/>
        <color rgb="FF1D1D21"/>
        <rFont val="Arial"/>
        <family val="2"/>
      </rPr>
      <t xml:space="preserve">n  </t>
    </r>
    <r>
      <rPr>
        <sz val="10"/>
        <color rgb="FF38383B"/>
        <rFont val="Arial"/>
        <family val="2"/>
      </rPr>
      <t>sosia</t>
    </r>
    <r>
      <rPr>
        <sz val="10"/>
        <color theme="1"/>
        <rFont val="Arial"/>
        <family val="2"/>
      </rPr>
      <t xml:space="preserve">l  </t>
    </r>
    <r>
      <rPr>
        <sz val="10"/>
        <color rgb="FF38383B"/>
        <rFont val="Arial"/>
        <family val="2"/>
      </rPr>
      <t xml:space="preserve">yang </t>
    </r>
    <r>
      <rPr>
        <sz val="10"/>
        <color rgb="FF1D1D21"/>
        <rFont val="Arial"/>
        <family val="2"/>
      </rPr>
      <t>b</t>
    </r>
    <r>
      <rPr>
        <sz val="10"/>
        <color rgb="FF38383B"/>
        <rFont val="Arial"/>
        <family val="2"/>
      </rPr>
      <t>ur</t>
    </r>
    <r>
      <rPr>
        <sz val="10"/>
        <color rgb="FF1D1D21"/>
        <rFont val="Arial"/>
        <family val="2"/>
      </rPr>
      <t>u</t>
    </r>
    <r>
      <rPr>
        <sz val="10"/>
        <color rgb="FF38383B"/>
        <rFont val="Arial"/>
        <family val="2"/>
      </rPr>
      <t xml:space="preserve">k </t>
    </r>
    <r>
      <rPr>
        <vertAlign val="superscript"/>
        <sz val="10"/>
        <color rgb="FF38383B"/>
        <rFont val="Arial"/>
        <family val="2"/>
      </rPr>
      <t>(te</t>
    </r>
    <r>
      <rPr>
        <vertAlign val="superscript"/>
        <sz val="10"/>
        <color rgb="FF1D1D21"/>
        <rFont val="Arial"/>
        <family val="2"/>
      </rPr>
      <t>rma</t>
    </r>
    <r>
      <rPr>
        <vertAlign val="superscript"/>
        <sz val="10"/>
        <color rgb="FF38383B"/>
        <rFont val="Arial"/>
        <family val="2"/>
      </rPr>
      <t>s</t>
    </r>
    <r>
      <rPr>
        <vertAlign val="superscript"/>
        <sz val="10"/>
        <color rgb="FF1D1D21"/>
        <rFont val="Arial"/>
        <family val="2"/>
      </rPr>
      <t>u</t>
    </r>
    <r>
      <rPr>
        <vertAlign val="superscript"/>
        <sz val="10"/>
        <color rgb="FF38383B"/>
        <rFont val="Arial"/>
        <family val="2"/>
      </rPr>
      <t xml:space="preserve">k     </t>
    </r>
    <r>
      <rPr>
        <vertAlign val="superscript"/>
        <sz val="10"/>
        <color rgb="FF1D1D21"/>
        <rFont val="Arial"/>
        <family val="2"/>
      </rPr>
      <t>u</t>
    </r>
    <r>
      <rPr>
        <vertAlign val="superscript"/>
        <sz val="10"/>
        <color rgb="FF38383B"/>
        <rFont val="Arial"/>
        <family val="2"/>
      </rPr>
      <t xml:space="preserve">paya     </t>
    </r>
    <r>
      <rPr>
        <vertAlign val="superscript"/>
        <sz val="10"/>
        <color rgb="FF1D1D21"/>
        <rFont val="Arial"/>
        <family val="2"/>
      </rPr>
      <t>T</t>
    </r>
    <r>
      <rPr>
        <vertAlign val="superscript"/>
        <sz val="10"/>
        <color rgb="FF38383B"/>
        <rFont val="Arial"/>
        <family val="2"/>
      </rPr>
      <t>a</t>
    </r>
    <r>
      <rPr>
        <vertAlign val="superscript"/>
        <sz val="10"/>
        <color rgb="FF1D1D21"/>
        <rFont val="Arial"/>
        <family val="2"/>
      </rPr>
      <t>n</t>
    </r>
    <r>
      <rPr>
        <vertAlign val="superscript"/>
        <sz val="10"/>
        <color rgb="FF38383B"/>
        <rFont val="Arial"/>
        <family val="2"/>
      </rPr>
      <t>ggu</t>
    </r>
    <r>
      <rPr>
        <vertAlign val="superscript"/>
        <sz val="10"/>
        <color rgb="FF1D1D21"/>
        <rFont val="Arial"/>
        <family val="2"/>
      </rPr>
      <t>n</t>
    </r>
    <r>
      <rPr>
        <vertAlign val="superscript"/>
        <sz val="10"/>
        <color rgb="FF38383B"/>
        <rFont val="Arial"/>
        <family val="2"/>
      </rPr>
      <t xml:space="preserve">g     </t>
    </r>
    <r>
      <rPr>
        <vertAlign val="superscript"/>
        <sz val="10"/>
        <color rgb="FF1D1D21"/>
        <rFont val="Arial"/>
        <family val="2"/>
      </rPr>
      <t>J</t>
    </r>
    <r>
      <rPr>
        <vertAlign val="superscript"/>
        <sz val="10"/>
        <color rgb="FF38383B"/>
        <rFont val="Arial"/>
        <family val="2"/>
      </rPr>
      <t xml:space="preserve">awab     </t>
    </r>
    <r>
      <rPr>
        <sz val="10"/>
        <color rgb="FF38383B"/>
        <rFont val="Arial"/>
        <family val="2"/>
      </rPr>
      <t>Sos</t>
    </r>
    <r>
      <rPr>
        <sz val="10"/>
        <color rgb="FF1D1D21"/>
        <rFont val="Arial"/>
        <family val="2"/>
      </rPr>
      <t>i</t>
    </r>
    <r>
      <rPr>
        <sz val="10"/>
        <color rgb="FF38383B"/>
        <rFont val="Arial"/>
        <family val="2"/>
      </rPr>
      <t>a</t>
    </r>
    <r>
      <rPr>
        <sz val="10"/>
        <color rgb="FF1D1D21"/>
        <rFont val="Arial"/>
        <family val="2"/>
      </rPr>
      <t xml:space="preserve">l     </t>
    </r>
    <r>
      <rPr>
        <sz val="10"/>
        <color rgb="FF38383B"/>
        <rFont val="Arial"/>
        <family val="2"/>
      </rPr>
      <t xml:space="preserve">dan </t>
    </r>
    <r>
      <rPr>
        <sz val="10"/>
        <color rgb="FF1D1D21"/>
        <rFont val="Arial"/>
        <family val="2"/>
      </rPr>
      <t>Lin</t>
    </r>
    <r>
      <rPr>
        <sz val="10"/>
        <color rgb="FF38383B"/>
        <rFont val="Arial"/>
        <family val="2"/>
      </rPr>
      <t>gk</t>
    </r>
    <r>
      <rPr>
        <sz val="10"/>
        <color rgb="FF1D1D21"/>
        <rFont val="Arial"/>
        <family val="2"/>
      </rPr>
      <t>un</t>
    </r>
    <r>
      <rPr>
        <sz val="10"/>
        <color rgb="FF38383B"/>
        <rFont val="Arial"/>
        <family val="2"/>
      </rPr>
      <t>gan</t>
    </r>
    <r>
      <rPr>
        <sz val="10"/>
        <color rgb="FF1D1D21"/>
        <rFont val="Arial"/>
        <family val="2"/>
      </rPr>
      <t>/TJ</t>
    </r>
    <r>
      <rPr>
        <sz val="10"/>
        <color rgb="FF38383B"/>
        <rFont val="Arial"/>
        <family val="2"/>
      </rPr>
      <t>S</t>
    </r>
    <r>
      <rPr>
        <sz val="10"/>
        <color rgb="FF1D1D21"/>
        <rFont val="Arial"/>
        <family val="2"/>
      </rPr>
      <t>L</t>
    </r>
    <r>
      <rPr>
        <sz val="10"/>
        <color rgb="FF38383B"/>
        <rFont val="Arial"/>
        <family val="2"/>
      </rPr>
      <t>)</t>
    </r>
    <r>
      <rPr>
        <sz val="10"/>
        <color rgb="FF1D1D21"/>
        <rFont val="Arial"/>
        <family val="2"/>
      </rPr>
      <t>.</t>
    </r>
  </si>
  <si>
    <r>
      <rPr>
        <sz val="10"/>
        <color rgb="FF49494D"/>
        <rFont val="Arial"/>
        <family val="2"/>
      </rPr>
      <t xml:space="preserve">a.    </t>
    </r>
    <r>
      <rPr>
        <sz val="10"/>
        <color rgb="FF1D1D21"/>
        <rFont val="Arial"/>
        <family val="2"/>
      </rPr>
      <t>P</t>
    </r>
    <r>
      <rPr>
        <sz val="10"/>
        <color rgb="FF38383B"/>
        <rFont val="Arial"/>
        <family val="2"/>
      </rPr>
      <t>enghada</t>
    </r>
    <r>
      <rPr>
        <sz val="10"/>
        <color rgb="FF1D1D21"/>
        <rFont val="Arial"/>
        <family val="2"/>
      </rPr>
      <t>n</t>
    </r>
    <r>
      <rPr>
        <sz val="10"/>
        <color rgb="FF38383B"/>
        <rFont val="Arial"/>
        <family val="2"/>
      </rPr>
      <t>gan   p</t>
    </r>
    <r>
      <rPr>
        <sz val="10"/>
        <color rgb="FF1D1D21"/>
        <rFont val="Arial"/>
        <family val="2"/>
      </rPr>
      <t>r</t>
    </r>
    <r>
      <rPr>
        <sz val="10"/>
        <color rgb="FF38383B"/>
        <rFont val="Arial"/>
        <family val="2"/>
      </rPr>
      <t>oyek   P</t>
    </r>
    <r>
      <rPr>
        <sz val="10"/>
        <color rgb="FF1D1D21"/>
        <rFont val="Arial"/>
        <family val="2"/>
      </rPr>
      <t>L</t>
    </r>
    <r>
      <rPr>
        <sz val="10"/>
        <color rgb="FF38383B"/>
        <rFont val="Arial"/>
        <family val="2"/>
      </rPr>
      <t>N   ole</t>
    </r>
    <r>
      <rPr>
        <sz val="10"/>
        <color rgb="FF1D1D21"/>
        <rFont val="Arial"/>
        <family val="2"/>
      </rPr>
      <t xml:space="preserve">h   </t>
    </r>
    <r>
      <rPr>
        <sz val="10"/>
        <color rgb="FF38383B"/>
        <rFont val="Arial"/>
        <family val="2"/>
      </rPr>
      <t>oknum masyara</t>
    </r>
    <r>
      <rPr>
        <sz val="10"/>
        <color rgb="FF1D1D21"/>
        <rFont val="Arial"/>
        <family val="2"/>
      </rPr>
      <t>k</t>
    </r>
    <r>
      <rPr>
        <sz val="10"/>
        <color rgb="FF49494D"/>
        <rFont val="Arial"/>
        <family val="2"/>
      </rPr>
      <t xml:space="preserve">at
</t>
    </r>
    <r>
      <rPr>
        <sz val="10"/>
        <color rgb="FF38383B"/>
        <rFont val="Arial"/>
        <family val="2"/>
      </rPr>
      <t>b.   Terjadinya kese</t>
    </r>
    <r>
      <rPr>
        <sz val="10"/>
        <color rgb="FF1D1D21"/>
        <rFont val="Arial"/>
        <family val="2"/>
      </rPr>
      <t>nj</t>
    </r>
    <r>
      <rPr>
        <sz val="10"/>
        <color rgb="FF38383B"/>
        <rFont val="Arial"/>
        <family val="2"/>
      </rPr>
      <t>anga</t>
    </r>
    <r>
      <rPr>
        <sz val="10"/>
        <color rgb="FF1D1D21"/>
        <rFont val="Arial"/>
        <family val="2"/>
      </rPr>
      <t xml:space="preserve">n </t>
    </r>
    <r>
      <rPr>
        <sz val="10"/>
        <color rgb="FF38383B"/>
        <rFont val="Arial"/>
        <family val="2"/>
      </rPr>
      <t>ge</t>
    </r>
    <r>
      <rPr>
        <sz val="10"/>
        <color rgb="FF1D1D21"/>
        <rFont val="Arial"/>
        <family val="2"/>
      </rPr>
      <t>nd</t>
    </r>
    <r>
      <rPr>
        <sz val="10"/>
        <color rgb="FF38383B"/>
        <rFont val="Arial"/>
        <family val="2"/>
      </rPr>
      <t xml:space="preserve">er
C.  (dapa  </t>
    </r>
    <r>
      <rPr>
        <sz val="10"/>
        <color rgb="FF1D1D21"/>
        <rFont val="Arial"/>
        <family val="2"/>
      </rPr>
      <t xml:space="preserve">t </t>
    </r>
    <r>
      <rPr>
        <sz val="10"/>
        <color rgb="FF38383B"/>
        <rFont val="Arial"/>
        <family val="2"/>
      </rPr>
      <t xml:space="preserve">di </t>
    </r>
    <r>
      <rPr>
        <sz val="10"/>
        <color rgb="FF1D1D21"/>
        <rFont val="Arial"/>
        <family val="2"/>
      </rPr>
      <t>t</t>
    </r>
    <r>
      <rPr>
        <sz val="10"/>
        <color rgb="FF38383B"/>
        <rFont val="Arial"/>
        <family val="2"/>
      </rPr>
      <t>ambahkan ses</t>
    </r>
    <r>
      <rPr>
        <sz val="10"/>
        <color rgb="FF1D1D21"/>
        <rFont val="Arial"/>
        <family val="2"/>
      </rPr>
      <t>u</t>
    </r>
    <r>
      <rPr>
        <sz val="10"/>
        <color rgb="FF49494D"/>
        <rFont val="Arial"/>
        <family val="2"/>
      </rPr>
      <t>a</t>
    </r>
    <r>
      <rPr>
        <sz val="10"/>
        <color rgb="FF1D1D21"/>
        <rFont val="Arial"/>
        <family val="2"/>
      </rPr>
      <t>i k</t>
    </r>
    <r>
      <rPr>
        <sz val="10"/>
        <color rgb="FF38383B"/>
        <rFont val="Arial"/>
        <family val="2"/>
      </rPr>
      <t>o</t>
    </r>
    <r>
      <rPr>
        <sz val="10"/>
        <color rgb="FF1D1D21"/>
        <rFont val="Arial"/>
        <family val="2"/>
      </rPr>
      <t>nt</t>
    </r>
    <r>
      <rPr>
        <sz val="10"/>
        <color rgb="FF38383B"/>
        <rFont val="Arial"/>
        <family val="2"/>
      </rPr>
      <t xml:space="preserve">eks </t>
    </r>
    <r>
      <rPr>
        <sz val="10"/>
        <color rgb="FF1D1D21"/>
        <rFont val="Arial"/>
        <family val="2"/>
      </rPr>
      <t>p</t>
    </r>
    <r>
      <rPr>
        <sz val="10"/>
        <color rgb="FF38383B"/>
        <rFont val="Arial"/>
        <family val="2"/>
      </rPr>
      <t>er</t>
    </r>
    <r>
      <rPr>
        <sz val="10"/>
        <color rgb="FF1D1D21"/>
        <rFont val="Arial"/>
        <family val="2"/>
      </rPr>
      <t>i</t>
    </r>
    <r>
      <rPr>
        <sz val="10"/>
        <color rgb="FF38383B"/>
        <rFont val="Arial"/>
        <family val="2"/>
      </rPr>
      <t>s</t>
    </r>
    <r>
      <rPr>
        <sz val="10"/>
        <color rgb="FF1D1D21"/>
        <rFont val="Arial"/>
        <family val="2"/>
      </rPr>
      <t>ti</t>
    </r>
    <r>
      <rPr>
        <sz val="10"/>
        <color rgb="FF38383B"/>
        <rFont val="Arial"/>
        <family val="2"/>
      </rPr>
      <t xml:space="preserve">wa </t>
    </r>
    <r>
      <rPr>
        <sz val="10"/>
        <color rgb="FF000000"/>
        <rFont val="Arial"/>
        <family val="2"/>
      </rPr>
      <t>r</t>
    </r>
    <r>
      <rPr>
        <sz val="10"/>
        <color rgb="FF1D1D21"/>
        <rFont val="Arial"/>
        <family val="2"/>
      </rPr>
      <t>i</t>
    </r>
    <r>
      <rPr>
        <sz val="10"/>
        <color rgb="FF38383B"/>
        <rFont val="Arial"/>
        <family val="2"/>
      </rPr>
      <t>s</t>
    </r>
    <r>
      <rPr>
        <sz val="10"/>
        <color rgb="FF000000"/>
        <rFont val="Arial"/>
        <family val="2"/>
      </rPr>
      <t>i</t>
    </r>
    <r>
      <rPr>
        <sz val="10"/>
        <color rgb="FF1D1D21"/>
        <rFont val="Arial"/>
        <family val="2"/>
      </rPr>
      <t xml:space="preserve">ko </t>
    </r>
    <r>
      <rPr>
        <sz val="10"/>
        <color rgb="FF38383B"/>
        <rFont val="Arial"/>
        <family val="2"/>
      </rPr>
      <t>pada sa</t>
    </r>
    <r>
      <rPr>
        <sz val="10"/>
        <color rgb="FF1D1D21"/>
        <rFont val="Arial"/>
        <family val="2"/>
      </rPr>
      <t>tu</t>
    </r>
    <r>
      <rPr>
        <sz val="10"/>
        <color rgb="FF38383B"/>
        <rFont val="Arial"/>
        <family val="2"/>
      </rPr>
      <t>a</t>
    </r>
    <r>
      <rPr>
        <sz val="10"/>
        <color rgb="FF1D1D21"/>
        <rFont val="Arial"/>
        <family val="2"/>
      </rPr>
      <t xml:space="preserve">n </t>
    </r>
    <r>
      <rPr>
        <sz val="10"/>
        <color rgb="FF38383B"/>
        <rFont val="Arial"/>
        <family val="2"/>
      </rPr>
      <t>ke</t>
    </r>
    <r>
      <rPr>
        <sz val="10"/>
        <color rgb="FF1D1D21"/>
        <rFont val="Arial"/>
        <family val="2"/>
      </rPr>
      <t>r</t>
    </r>
    <r>
      <rPr>
        <sz val="10"/>
        <color rgb="FF38383B"/>
        <rFont val="Arial"/>
        <family val="2"/>
      </rPr>
      <t xml:space="preserve">ja </t>
    </r>
    <r>
      <rPr>
        <sz val="10"/>
        <color rgb="FF1D1D21"/>
        <rFont val="Arial"/>
        <family val="2"/>
      </rPr>
      <t>m</t>
    </r>
    <r>
      <rPr>
        <sz val="10"/>
        <color rgb="FF38383B"/>
        <rFont val="Arial"/>
        <family val="2"/>
      </rPr>
      <t>asi</t>
    </r>
    <r>
      <rPr>
        <sz val="10"/>
        <color rgb="FF1D1D21"/>
        <rFont val="Arial"/>
        <family val="2"/>
      </rPr>
      <t>n</t>
    </r>
    <r>
      <rPr>
        <sz val="10"/>
        <color rgb="FF38383B"/>
        <rFont val="Arial"/>
        <family val="2"/>
      </rPr>
      <t>g</t>
    </r>
    <r>
      <rPr>
        <sz val="10"/>
        <color rgb="FF1D1D21"/>
        <rFont val="Arial"/>
        <family val="2"/>
      </rPr>
      <t>-</t>
    </r>
    <r>
      <rPr>
        <sz val="10"/>
        <color rgb="FF49494D"/>
        <rFont val="Arial"/>
        <family val="2"/>
      </rPr>
      <t>masi</t>
    </r>
    <r>
      <rPr>
        <sz val="10"/>
        <color rgb="FF1D1D21"/>
        <rFont val="Arial"/>
        <family val="2"/>
      </rPr>
      <t>n</t>
    </r>
    <r>
      <rPr>
        <sz val="10"/>
        <color rgb="FF38383B"/>
        <rFont val="Arial"/>
        <family val="2"/>
      </rPr>
      <t>g)</t>
    </r>
  </si>
  <si>
    <r>
      <rPr>
        <sz val="10"/>
        <color rgb="FF38363A"/>
        <rFont val="Arial"/>
        <family val="2"/>
      </rPr>
      <t>Ris</t>
    </r>
    <r>
      <rPr>
        <sz val="10"/>
        <color rgb="FF111115"/>
        <rFont val="Arial"/>
        <family val="2"/>
      </rPr>
      <t>i</t>
    </r>
    <r>
      <rPr>
        <sz val="10"/>
        <color rgb="FF38363A"/>
        <rFont val="Arial"/>
        <family val="2"/>
      </rPr>
      <t xml:space="preserve">ko </t>
    </r>
    <r>
      <rPr>
        <sz val="10"/>
        <color rgb="FF212124"/>
        <rFont val="Arial"/>
        <family val="2"/>
      </rPr>
      <t>l</t>
    </r>
    <r>
      <rPr>
        <sz val="10"/>
        <color rgb="FF606064"/>
        <rFont val="Arial"/>
        <family val="2"/>
      </rPr>
      <t>i</t>
    </r>
    <r>
      <rPr>
        <sz val="10"/>
        <color rgb="FF38363A"/>
        <rFont val="Arial"/>
        <family val="2"/>
      </rPr>
      <t>ngkungan</t>
    </r>
  </si>
  <si>
    <r>
      <rPr>
        <sz val="10"/>
        <color rgb="FF38363A"/>
        <rFont val="Arial"/>
        <family val="2"/>
      </rPr>
      <t xml:space="preserve">Potensi  ancaman  atau  kerentanan   </t>
    </r>
    <r>
      <rPr>
        <sz val="10"/>
        <color rgb="FF49494B"/>
        <rFont val="Arial"/>
        <family val="2"/>
      </rPr>
      <t xml:space="preserve">yang  </t>
    </r>
    <r>
      <rPr>
        <sz val="10"/>
        <color rgb="FF38363A"/>
        <rFont val="Arial"/>
        <family val="2"/>
      </rPr>
      <t>timbul  ak</t>
    </r>
    <r>
      <rPr>
        <sz val="10"/>
        <color rgb="FF606064"/>
        <rFont val="Arial"/>
        <family val="2"/>
      </rPr>
      <t>i</t>
    </r>
    <r>
      <rPr>
        <sz val="10"/>
        <color rgb="FF38363A"/>
        <rFont val="Arial"/>
        <family val="2"/>
      </rPr>
      <t xml:space="preserve">bat </t>
    </r>
    <r>
      <rPr>
        <sz val="10"/>
        <color rgb="FF49494B"/>
        <rFont val="Arial"/>
        <family val="2"/>
      </rPr>
      <t>perubaha</t>
    </r>
    <r>
      <rPr>
        <sz val="10"/>
        <color rgb="FF212124"/>
        <rFont val="Arial"/>
        <family val="2"/>
      </rPr>
      <t xml:space="preserve">n  dalam  </t>
    </r>
    <r>
      <rPr>
        <sz val="10"/>
        <color theme="1"/>
        <rFont val="Arial"/>
        <family val="2"/>
      </rPr>
      <t>l</t>
    </r>
    <r>
      <rPr>
        <sz val="10"/>
        <color rgb="FF38363A"/>
        <rFont val="Arial"/>
        <family val="2"/>
      </rPr>
      <t xml:space="preserve">ingkungan  </t>
    </r>
    <r>
      <rPr>
        <sz val="10"/>
        <color rgb="FF212124"/>
        <rFont val="Arial"/>
        <family val="2"/>
      </rPr>
      <t xml:space="preserve">fisik  </t>
    </r>
    <r>
      <rPr>
        <sz val="10"/>
        <color rgb="FF49494B"/>
        <rFont val="Arial"/>
        <family val="2"/>
      </rPr>
      <t>dan  a</t>
    </r>
    <r>
      <rPr>
        <sz val="10"/>
        <color rgb="FF111115"/>
        <rFont val="Arial"/>
        <family val="2"/>
      </rPr>
      <t>l</t>
    </r>
    <r>
      <rPr>
        <sz val="10"/>
        <color rgb="FF49494B"/>
        <rFont val="Arial"/>
        <family val="2"/>
      </rPr>
      <t>a</t>
    </r>
    <r>
      <rPr>
        <sz val="10"/>
        <color rgb="FF212124"/>
        <rFont val="Arial"/>
        <family val="2"/>
      </rPr>
      <t>m</t>
    </r>
    <r>
      <rPr>
        <sz val="10"/>
        <color rgb="FF49494B"/>
        <rFont val="Arial"/>
        <family val="2"/>
      </rPr>
      <t xml:space="preserve">,  </t>
    </r>
    <r>
      <rPr>
        <sz val="10"/>
        <color rgb="FF38363A"/>
        <rFont val="Arial"/>
        <family val="2"/>
      </rPr>
      <t>te</t>
    </r>
    <r>
      <rPr>
        <sz val="10"/>
        <color rgb="FF111115"/>
        <rFont val="Arial"/>
        <family val="2"/>
      </rPr>
      <t>r</t>
    </r>
    <r>
      <rPr>
        <sz val="10"/>
        <color rgb="FF38363A"/>
        <rFont val="Arial"/>
        <family val="2"/>
      </rPr>
      <t xml:space="preserve">masuk kerusakan  </t>
    </r>
    <r>
      <rPr>
        <sz val="10"/>
        <color rgb="FF111115"/>
        <rFont val="Arial"/>
        <family val="2"/>
      </rPr>
      <t>li</t>
    </r>
    <r>
      <rPr>
        <sz val="10"/>
        <color rgb="FF38363A"/>
        <rFont val="Arial"/>
        <family val="2"/>
      </rPr>
      <t>ngkungan</t>
    </r>
    <r>
      <rPr>
        <sz val="10"/>
        <color rgb="FF606064"/>
        <rFont val="Arial"/>
        <family val="2"/>
      </rPr>
      <t xml:space="preserve">,  </t>
    </r>
    <r>
      <rPr>
        <sz val="10"/>
        <color rgb="FF38363A"/>
        <rFont val="Arial"/>
        <family val="2"/>
      </rPr>
      <t xml:space="preserve">keberlanjutan  </t>
    </r>
    <r>
      <rPr>
        <sz val="10"/>
        <color rgb="FF49494B"/>
        <rFont val="Arial"/>
        <family val="2"/>
      </rPr>
      <t>s</t>
    </r>
    <r>
      <rPr>
        <sz val="10"/>
        <color rgb="FF212124"/>
        <rFont val="Arial"/>
        <family val="2"/>
      </rPr>
      <t xml:space="preserve">umber </t>
    </r>
    <r>
      <rPr>
        <sz val="10"/>
        <color rgb="FF38363A"/>
        <rFont val="Arial"/>
        <family val="2"/>
      </rPr>
      <t>daya a</t>
    </r>
    <r>
      <rPr>
        <sz val="10"/>
        <color rgb="FF111115"/>
        <rFont val="Arial"/>
        <family val="2"/>
      </rPr>
      <t>l</t>
    </r>
    <r>
      <rPr>
        <sz val="10"/>
        <color rgb="FF38363A"/>
        <rFont val="Arial"/>
        <family val="2"/>
      </rPr>
      <t>am</t>
    </r>
    <r>
      <rPr>
        <sz val="10"/>
        <color rgb="FF606064"/>
        <rFont val="Arial"/>
        <family val="2"/>
      </rPr>
      <t xml:space="preserve">, </t>
    </r>
    <r>
      <rPr>
        <sz val="10"/>
        <color rgb="FF38363A"/>
        <rFont val="Arial"/>
        <family val="2"/>
      </rPr>
      <t>dan masala</t>
    </r>
    <r>
      <rPr>
        <sz val="10"/>
        <color rgb="FF111115"/>
        <rFont val="Arial"/>
        <family val="2"/>
      </rPr>
      <t xml:space="preserve">h </t>
    </r>
    <r>
      <rPr>
        <sz val="10"/>
        <color rgb="FF212124"/>
        <rFont val="Arial"/>
        <family val="2"/>
      </rPr>
      <t>t</t>
    </r>
    <r>
      <rPr>
        <sz val="10"/>
        <color rgb="FF49494B"/>
        <rFont val="Arial"/>
        <family val="2"/>
      </rPr>
      <t>er</t>
    </r>
    <r>
      <rPr>
        <sz val="10"/>
        <color rgb="FF212124"/>
        <rFont val="Arial"/>
        <family val="2"/>
      </rPr>
      <t>k</t>
    </r>
    <r>
      <rPr>
        <sz val="10"/>
        <color rgb="FF49494B"/>
        <rFont val="Arial"/>
        <family val="2"/>
      </rPr>
      <t>a</t>
    </r>
    <r>
      <rPr>
        <sz val="10"/>
        <color rgb="FF212124"/>
        <rFont val="Arial"/>
        <family val="2"/>
      </rPr>
      <t xml:space="preserve">it </t>
    </r>
    <r>
      <rPr>
        <sz val="10"/>
        <color rgb="FF111115"/>
        <rFont val="Arial"/>
        <family val="2"/>
      </rPr>
      <t>l</t>
    </r>
    <r>
      <rPr>
        <sz val="10"/>
        <color rgb="FF38363A"/>
        <rFont val="Arial"/>
        <family val="2"/>
      </rPr>
      <t>ingkungan</t>
    </r>
  </si>
  <si>
    <r>
      <rPr>
        <sz val="10"/>
        <color rgb="FF49494B"/>
        <rFont val="Arial"/>
        <family val="2"/>
      </rPr>
      <t>a</t>
    </r>
    <r>
      <rPr>
        <sz val="10"/>
        <color rgb="FF606064"/>
        <rFont val="Arial"/>
        <family val="2"/>
      </rPr>
      <t xml:space="preserve">.   </t>
    </r>
    <r>
      <rPr>
        <sz val="10"/>
        <color rgb="FF38363A"/>
        <rFont val="Arial"/>
        <family val="2"/>
      </rPr>
      <t>Kegagalan penge</t>
    </r>
    <r>
      <rPr>
        <sz val="10"/>
        <color rgb="FF111115"/>
        <rFont val="Arial"/>
        <family val="2"/>
      </rPr>
      <t>l</t>
    </r>
    <r>
      <rPr>
        <sz val="10"/>
        <color rgb="FF49494B"/>
        <rFont val="Arial"/>
        <family val="2"/>
      </rPr>
      <t>olaan</t>
    </r>
    <r>
      <rPr>
        <sz val="10"/>
        <color rgb="FF38363A"/>
        <rFont val="Arial"/>
        <family val="2"/>
      </rPr>
      <t xml:space="preserve">limbah </t>
    </r>
    <r>
      <rPr>
        <i/>
        <sz val="10"/>
        <color rgb="FF49494B"/>
        <rFont val="Arial"/>
        <family val="2"/>
      </rPr>
      <t xml:space="preserve">fly ash bottom ash
</t>
    </r>
    <r>
      <rPr>
        <sz val="10"/>
        <color rgb="FF38363A"/>
        <rFont val="Arial"/>
        <family val="2"/>
      </rPr>
      <t xml:space="preserve">b.   Perubahan </t>
    </r>
    <r>
      <rPr>
        <sz val="10"/>
        <color rgb="FF49494B"/>
        <rFont val="Arial"/>
        <family val="2"/>
      </rPr>
      <t>ik</t>
    </r>
    <r>
      <rPr>
        <sz val="10"/>
        <color rgb="FF212124"/>
        <rFont val="Arial"/>
        <family val="2"/>
      </rPr>
      <t xml:space="preserve">lim
</t>
    </r>
    <r>
      <rPr>
        <sz val="10"/>
        <color rgb="FF49494B"/>
        <rFont val="Arial"/>
        <family val="2"/>
      </rPr>
      <t xml:space="preserve">C.     (dapat </t>
    </r>
    <r>
      <rPr>
        <sz val="10"/>
        <color rgb="FF38363A"/>
        <rFont val="Arial"/>
        <family val="2"/>
      </rPr>
      <t xml:space="preserve">ditambahkan </t>
    </r>
    <r>
      <rPr>
        <sz val="10"/>
        <color rgb="FF49494B"/>
        <rFont val="Arial"/>
        <family val="2"/>
      </rPr>
      <t xml:space="preserve">sesuai </t>
    </r>
    <r>
      <rPr>
        <sz val="10"/>
        <color rgb="FF38363A"/>
        <rFont val="Arial"/>
        <family val="2"/>
      </rPr>
      <t xml:space="preserve">konteks </t>
    </r>
    <r>
      <rPr>
        <sz val="10"/>
        <color rgb="FF49494B"/>
        <rFont val="Arial"/>
        <family val="2"/>
      </rPr>
      <t>pe</t>
    </r>
    <r>
      <rPr>
        <sz val="10"/>
        <color rgb="FF606064"/>
        <rFont val="Arial"/>
        <family val="2"/>
      </rPr>
      <t>r</t>
    </r>
    <r>
      <rPr>
        <sz val="10"/>
        <color rgb="FF49494B"/>
        <rFont val="Arial"/>
        <family val="2"/>
      </rPr>
      <t>is</t>
    </r>
    <r>
      <rPr>
        <sz val="10"/>
        <color rgb="FF212124"/>
        <rFont val="Arial"/>
        <family val="2"/>
      </rPr>
      <t>ti</t>
    </r>
    <r>
      <rPr>
        <sz val="10"/>
        <color rgb="FF49494B"/>
        <rFont val="Arial"/>
        <family val="2"/>
      </rPr>
      <t xml:space="preserve">wa </t>
    </r>
    <r>
      <rPr>
        <sz val="10"/>
        <color rgb="FF38363A"/>
        <rFont val="Arial"/>
        <family val="2"/>
      </rPr>
      <t>r</t>
    </r>
    <r>
      <rPr>
        <sz val="10"/>
        <color rgb="FF757579"/>
        <rFont val="Arial"/>
        <family val="2"/>
      </rPr>
      <t>i</t>
    </r>
    <r>
      <rPr>
        <sz val="10"/>
        <color rgb="FF49494B"/>
        <rFont val="Arial"/>
        <family val="2"/>
      </rPr>
      <t xml:space="preserve">siko </t>
    </r>
    <r>
      <rPr>
        <sz val="10"/>
        <color rgb="FF38363A"/>
        <rFont val="Arial"/>
        <family val="2"/>
      </rPr>
      <t xml:space="preserve">pada </t>
    </r>
    <r>
      <rPr>
        <sz val="10"/>
        <color rgb="FF49494B"/>
        <rFont val="Arial"/>
        <family val="2"/>
      </rPr>
      <t xml:space="preserve">satuan </t>
    </r>
    <r>
      <rPr>
        <sz val="10"/>
        <color rgb="FF38363A"/>
        <rFont val="Arial"/>
        <family val="2"/>
      </rPr>
      <t xml:space="preserve">kerja </t>
    </r>
    <r>
      <rPr>
        <sz val="10"/>
        <color rgb="FF49494B"/>
        <rFont val="Arial"/>
        <family val="2"/>
      </rPr>
      <t>mas</t>
    </r>
    <r>
      <rPr>
        <sz val="10"/>
        <color rgb="FF212124"/>
        <rFont val="Arial"/>
        <family val="2"/>
      </rPr>
      <t>in</t>
    </r>
    <r>
      <rPr>
        <sz val="10"/>
        <color rgb="FF49494B"/>
        <rFont val="Arial"/>
        <family val="2"/>
      </rPr>
      <t>g-mas</t>
    </r>
    <r>
      <rPr>
        <sz val="10"/>
        <color rgb="FF606064"/>
        <rFont val="Arial"/>
        <family val="2"/>
      </rPr>
      <t>i</t>
    </r>
    <r>
      <rPr>
        <sz val="10"/>
        <color rgb="FF49494B"/>
        <rFont val="Arial"/>
        <family val="2"/>
      </rPr>
      <t>ng</t>
    </r>
    <r>
      <rPr>
        <sz val="10"/>
        <color rgb="FF606064"/>
        <rFont val="Arial"/>
        <family val="2"/>
      </rPr>
      <t>)</t>
    </r>
  </si>
  <si>
    <r>
      <rPr>
        <sz val="10"/>
        <color rgb="FF38363A"/>
        <rFont val="Arial"/>
        <family val="2"/>
      </rPr>
      <t xml:space="preserve">Risiko transisi </t>
    </r>
    <r>
      <rPr>
        <sz val="10"/>
        <color rgb="FF49494B"/>
        <rFont val="Arial"/>
        <family val="2"/>
      </rPr>
      <t>energi</t>
    </r>
  </si>
  <si>
    <r>
      <rPr>
        <sz val="10"/>
        <color rgb="FF38363A"/>
        <rFont val="Arial"/>
        <family val="2"/>
      </rPr>
      <t>Risik</t>
    </r>
    <r>
      <rPr>
        <sz val="10"/>
        <color rgb="FF606064"/>
        <rFont val="Arial"/>
        <family val="2"/>
      </rPr>
      <t xml:space="preserve">o </t>
    </r>
    <r>
      <rPr>
        <sz val="10"/>
        <color rgb="FF49494B"/>
        <rFont val="Arial"/>
        <family val="2"/>
      </rPr>
      <t xml:space="preserve">yang </t>
    </r>
    <r>
      <rPr>
        <sz val="10"/>
        <color rgb="FF38363A"/>
        <rFont val="Arial"/>
        <family val="2"/>
      </rPr>
      <t>muncul akiba</t>
    </r>
    <r>
      <rPr>
        <sz val="10"/>
        <color rgb="FF606064"/>
        <rFont val="Arial"/>
        <family val="2"/>
      </rPr>
      <t xml:space="preserve">t </t>
    </r>
    <r>
      <rPr>
        <sz val="10"/>
        <color rgb="FF38363A"/>
        <rFont val="Arial"/>
        <family val="2"/>
      </rPr>
      <t xml:space="preserve">perubahan </t>
    </r>
    <r>
      <rPr>
        <sz val="10"/>
        <color rgb="FF49494B"/>
        <rFont val="Arial"/>
        <family val="2"/>
      </rPr>
      <t>kebijakan</t>
    </r>
    <r>
      <rPr>
        <sz val="10"/>
        <color rgb="FF757579"/>
        <rFont val="Arial"/>
        <family val="2"/>
      </rPr>
      <t xml:space="preserve">, </t>
    </r>
    <r>
      <rPr>
        <sz val="10"/>
        <color rgb="FF38363A"/>
        <rFont val="Arial"/>
        <family val="2"/>
      </rPr>
      <t>teknolog</t>
    </r>
    <r>
      <rPr>
        <sz val="10"/>
        <color rgb="FF757579"/>
        <rFont val="Arial"/>
        <family val="2"/>
      </rPr>
      <t>,</t>
    </r>
    <r>
      <rPr>
        <sz val="10"/>
        <color rgb="FF38363A"/>
        <rFont val="Arial"/>
        <family val="2"/>
      </rPr>
      <t xml:space="preserve">i
pasar  atau  </t>
    </r>
    <r>
      <rPr>
        <sz val="10"/>
        <color rgb="FF49494B"/>
        <rFont val="Arial"/>
        <family val="2"/>
      </rPr>
      <t>sentimen  ya</t>
    </r>
    <r>
      <rPr>
        <sz val="10"/>
        <color rgb="FF212124"/>
        <rFont val="Arial"/>
        <family val="2"/>
      </rPr>
      <t>n</t>
    </r>
    <r>
      <rPr>
        <sz val="10"/>
        <color rgb="FF49494B"/>
        <rFont val="Arial"/>
        <family val="2"/>
      </rPr>
      <t xml:space="preserve">g  </t>
    </r>
    <r>
      <rPr>
        <sz val="10"/>
        <color rgb="FF38363A"/>
        <rFont val="Arial"/>
        <family val="2"/>
      </rPr>
      <t xml:space="preserve">berhubungan  </t>
    </r>
    <r>
      <rPr>
        <sz val="10"/>
        <color rgb="FF49494B"/>
        <rFont val="Arial"/>
        <family val="2"/>
      </rPr>
      <t xml:space="preserve">dengan  upaya </t>
    </r>
    <r>
      <rPr>
        <sz val="10"/>
        <color rgb="FF38363A"/>
        <rFont val="Arial"/>
        <family val="2"/>
      </rPr>
      <t xml:space="preserve">mengurangi emisi </t>
    </r>
    <r>
      <rPr>
        <sz val="10"/>
        <color rgb="FF49494B"/>
        <rFont val="Arial"/>
        <family val="2"/>
      </rPr>
      <t xml:space="preserve">gas </t>
    </r>
    <r>
      <rPr>
        <sz val="10"/>
        <color rgb="FF38363A"/>
        <rFont val="Arial"/>
        <family val="2"/>
      </rPr>
      <t xml:space="preserve">rumah kaca dan dampak </t>
    </r>
    <r>
      <rPr>
        <sz val="10"/>
        <color rgb="FF49494B"/>
        <rFont val="Arial"/>
        <family val="2"/>
      </rPr>
      <t xml:space="preserve">perubahan </t>
    </r>
    <r>
      <rPr>
        <sz val="10"/>
        <color rgb="FF38363A"/>
        <rFont val="Arial"/>
        <family val="2"/>
      </rPr>
      <t>ikl</t>
    </r>
    <r>
      <rPr>
        <sz val="10"/>
        <color rgb="FF111115"/>
        <rFont val="Arial"/>
        <family val="2"/>
      </rPr>
      <t>i</t>
    </r>
    <r>
      <rPr>
        <sz val="10"/>
        <color rgb="FF38363A"/>
        <rFont val="Arial"/>
        <family val="2"/>
      </rPr>
      <t>m.</t>
    </r>
  </si>
  <si>
    <r>
      <rPr>
        <vertAlign val="superscript"/>
        <sz val="10"/>
        <color rgb="FF49494B"/>
        <rFont val="Arial"/>
        <family val="2"/>
      </rPr>
      <t xml:space="preserve">a.   </t>
    </r>
    <r>
      <rPr>
        <vertAlign val="superscript"/>
        <sz val="10"/>
        <color rgb="FF38363A"/>
        <rFont val="Arial"/>
        <family val="2"/>
      </rPr>
      <t xml:space="preserve">Penurunan    </t>
    </r>
    <r>
      <rPr>
        <vertAlign val="superscript"/>
        <sz val="10"/>
        <color rgb="FF606064"/>
        <rFont val="Arial"/>
        <family val="2"/>
      </rPr>
      <t>p</t>
    </r>
    <r>
      <rPr>
        <vertAlign val="superscript"/>
        <sz val="10"/>
        <color rgb="FF49494B"/>
        <rFont val="Arial"/>
        <family val="2"/>
      </rPr>
      <t xml:space="preserve">ermintaan   terhadap    </t>
    </r>
    <r>
      <rPr>
        <sz val="10"/>
        <color rgb="FF38363A"/>
        <rFont val="Arial"/>
        <family val="2"/>
      </rPr>
      <t xml:space="preserve">produk </t>
    </r>
    <r>
      <rPr>
        <sz val="10"/>
        <color rgb="FF49494B"/>
        <rFont val="Arial"/>
        <family val="2"/>
      </rPr>
      <t>energ</t>
    </r>
    <r>
      <rPr>
        <sz val="10"/>
        <color rgb="FF212124"/>
        <rFont val="Arial"/>
        <family val="2"/>
      </rPr>
      <t>i tra</t>
    </r>
    <r>
      <rPr>
        <sz val="10"/>
        <color rgb="FF49494B"/>
        <rFont val="Arial"/>
        <family val="2"/>
      </rPr>
      <t>disiona</t>
    </r>
    <r>
      <rPr>
        <sz val="10"/>
        <color rgb="FF606064"/>
        <rFont val="Arial"/>
        <family val="2"/>
      </rPr>
      <t xml:space="preserve">l </t>
    </r>
    <r>
      <rPr>
        <sz val="10"/>
        <color rgb="FF49494B"/>
        <rFont val="Arial"/>
        <family val="2"/>
      </rPr>
      <t xml:space="preserve">PLN
</t>
    </r>
    <r>
      <rPr>
        <vertAlign val="superscript"/>
        <sz val="10"/>
        <color rgb="FF38363A"/>
        <rFont val="Arial"/>
        <family val="2"/>
      </rPr>
      <t>b</t>
    </r>
    <r>
      <rPr>
        <vertAlign val="superscript"/>
        <sz val="10"/>
        <color rgb="FF606064"/>
        <rFont val="Arial"/>
        <family val="2"/>
      </rPr>
      <t xml:space="preserve">.    </t>
    </r>
    <r>
      <rPr>
        <sz val="10"/>
        <color rgb="FF38363A"/>
        <rFont val="Arial"/>
        <family val="2"/>
      </rPr>
      <t xml:space="preserve">Pemenuhan </t>
    </r>
    <r>
      <rPr>
        <sz val="10"/>
        <color rgb="FF49494B"/>
        <rFont val="Arial"/>
        <family val="2"/>
      </rPr>
      <t xml:space="preserve">kewajiban </t>
    </r>
    <r>
      <rPr>
        <sz val="10"/>
        <color rgb="FF38363A"/>
        <rFont val="Arial"/>
        <family val="2"/>
      </rPr>
      <t>PLN unt</t>
    </r>
    <r>
      <rPr>
        <sz val="10"/>
        <color rgb="FF606064"/>
        <rFont val="Arial"/>
        <family val="2"/>
      </rPr>
      <t>u</t>
    </r>
    <r>
      <rPr>
        <sz val="10"/>
        <color rgb="FF49494B"/>
        <rFont val="Arial"/>
        <family val="2"/>
      </rPr>
      <t>k memenuhi standa</t>
    </r>
    <r>
      <rPr>
        <sz val="10"/>
        <color rgb="FF212124"/>
        <rFont val="Arial"/>
        <family val="2"/>
      </rPr>
      <t>r ling</t>
    </r>
    <r>
      <rPr>
        <sz val="10"/>
        <color rgb="FF49494B"/>
        <rFont val="Arial"/>
        <family val="2"/>
      </rPr>
      <t>kungan</t>
    </r>
    <r>
      <rPr>
        <sz val="10"/>
        <color rgb="FF38363A"/>
        <rFont val="Arial"/>
        <family val="2"/>
      </rPr>
      <t xml:space="preserve">dan keberlanjutan </t>
    </r>
    <r>
      <rPr>
        <sz val="10"/>
        <color rgb="FF49494B"/>
        <rFont val="Arial"/>
        <family val="2"/>
      </rPr>
      <t>baru
C</t>
    </r>
    <r>
      <rPr>
        <sz val="10"/>
        <color rgb="FF000000"/>
        <rFont val="Arial"/>
        <family val="2"/>
      </rPr>
      <t xml:space="preserve">.      </t>
    </r>
    <r>
      <rPr>
        <sz val="10"/>
        <color rgb="FF49494B"/>
        <rFont val="Arial"/>
        <family val="2"/>
      </rPr>
      <t>(dapa</t>
    </r>
    <r>
      <rPr>
        <sz val="10"/>
        <color rgb="FF212124"/>
        <rFont val="Arial"/>
        <family val="2"/>
      </rPr>
      <t xml:space="preserve">t </t>
    </r>
    <r>
      <rPr>
        <sz val="10"/>
        <color rgb="FF38363A"/>
        <rFont val="Arial"/>
        <family val="2"/>
      </rPr>
      <t>d</t>
    </r>
    <r>
      <rPr>
        <sz val="10"/>
        <color rgb="FF111115"/>
        <rFont val="Arial"/>
        <family val="2"/>
      </rPr>
      <t>i</t>
    </r>
    <r>
      <rPr>
        <sz val="10"/>
        <color rgb="FF49494B"/>
        <rFont val="Arial"/>
        <family val="2"/>
      </rPr>
      <t>ta</t>
    </r>
    <r>
      <rPr>
        <sz val="10"/>
        <color rgb="FF212124"/>
        <rFont val="Arial"/>
        <family val="2"/>
      </rPr>
      <t>mba</t>
    </r>
    <r>
      <rPr>
        <sz val="10"/>
        <color rgb="FF49494B"/>
        <rFont val="Arial"/>
        <family val="2"/>
      </rPr>
      <t>hkan sesua</t>
    </r>
    <r>
      <rPr>
        <sz val="10"/>
        <color rgb="FF212124"/>
        <rFont val="Arial"/>
        <family val="2"/>
      </rPr>
      <t xml:space="preserve">i </t>
    </r>
    <r>
      <rPr>
        <sz val="10"/>
        <color rgb="FF38363A"/>
        <rFont val="Arial"/>
        <family val="2"/>
      </rPr>
      <t>konteks pe</t>
    </r>
    <r>
      <rPr>
        <sz val="10"/>
        <color rgb="FF606064"/>
        <rFont val="Arial"/>
        <family val="2"/>
      </rPr>
      <t>r</t>
    </r>
    <r>
      <rPr>
        <sz val="10"/>
        <color rgb="FF111115"/>
        <rFont val="Arial"/>
        <family val="2"/>
      </rPr>
      <t>i</t>
    </r>
    <r>
      <rPr>
        <sz val="10"/>
        <color rgb="FF49494B"/>
        <rFont val="Arial"/>
        <family val="2"/>
      </rPr>
      <t xml:space="preserve">stiwa risiko </t>
    </r>
    <r>
      <rPr>
        <sz val="10"/>
        <color rgb="FF38363A"/>
        <rFont val="Arial"/>
        <family val="2"/>
      </rPr>
      <t xml:space="preserve">pada </t>
    </r>
    <r>
      <rPr>
        <sz val="10"/>
        <color rgb="FF49494B"/>
        <rFont val="Arial"/>
        <family val="2"/>
      </rPr>
      <t xml:space="preserve">satuan </t>
    </r>
    <r>
      <rPr>
        <sz val="10"/>
        <color rgb="FF38363A"/>
        <rFont val="Arial"/>
        <family val="2"/>
      </rPr>
      <t>kerja masinq-mas</t>
    </r>
    <r>
      <rPr>
        <sz val="10"/>
        <color rgb="FF111115"/>
        <rFont val="Arial"/>
        <family val="2"/>
      </rPr>
      <t>i</t>
    </r>
    <r>
      <rPr>
        <sz val="10"/>
        <color rgb="FF49494B"/>
        <rFont val="Arial"/>
        <family val="2"/>
      </rPr>
      <t>nq)</t>
    </r>
  </si>
  <si>
    <r>
      <rPr>
        <sz val="10"/>
        <color rgb="FF38363A"/>
        <rFont val="Arial"/>
        <family val="2"/>
      </rPr>
      <t>Risiko rantai pasok</t>
    </r>
  </si>
  <si>
    <r>
      <rPr>
        <vertAlign val="superscript"/>
        <sz val="10"/>
        <color rgb="FF38363A"/>
        <rFont val="Arial"/>
        <family val="2"/>
      </rPr>
      <t xml:space="preserve">Risiko   rantai   </t>
    </r>
    <r>
      <rPr>
        <sz val="10"/>
        <color rgb="FF38363A"/>
        <rFont val="Arial"/>
        <family val="2"/>
      </rPr>
      <t>pasok   adalah  semua   R</t>
    </r>
    <r>
      <rPr>
        <sz val="10"/>
        <color rgb="FF111115"/>
        <rFont val="Arial"/>
        <family val="2"/>
      </rPr>
      <t>i</t>
    </r>
    <r>
      <rPr>
        <sz val="10"/>
        <color rgb="FF49494B"/>
        <rFont val="Arial"/>
        <family val="2"/>
      </rPr>
      <t>s</t>
    </r>
    <r>
      <rPr>
        <sz val="10"/>
        <color rgb="FF212124"/>
        <rFont val="Arial"/>
        <family val="2"/>
      </rPr>
      <t>i</t>
    </r>
    <r>
      <rPr>
        <sz val="10"/>
        <color rgb="FF49494B"/>
        <rFont val="Arial"/>
        <family val="2"/>
      </rPr>
      <t xml:space="preserve">ko  </t>
    </r>
    <r>
      <rPr>
        <sz val="10"/>
        <color rgb="FF38363A"/>
        <rFont val="Arial"/>
        <family val="2"/>
      </rPr>
      <t>dari  a</t>
    </r>
    <r>
      <rPr>
        <sz val="10"/>
        <color rgb="FF111115"/>
        <rFont val="Arial"/>
        <family val="2"/>
      </rPr>
      <t>li</t>
    </r>
    <r>
      <rPr>
        <sz val="10"/>
        <color rgb="FF38363A"/>
        <rFont val="Arial"/>
        <family val="2"/>
      </rPr>
      <t xml:space="preserve">ran </t>
    </r>
    <r>
      <rPr>
        <vertAlign val="superscript"/>
        <sz val="10"/>
        <color rgb="FF49494B"/>
        <rFont val="Arial"/>
        <family val="2"/>
      </rPr>
      <t>informasi</t>
    </r>
    <r>
      <rPr>
        <vertAlign val="superscript"/>
        <sz val="10"/>
        <color rgb="FF606064"/>
        <rFont val="Arial"/>
        <family val="2"/>
      </rPr>
      <t xml:space="preserve">,   </t>
    </r>
    <r>
      <rPr>
        <vertAlign val="superscript"/>
        <sz val="10"/>
        <color rgb="FF38363A"/>
        <rFont val="Arial"/>
        <family val="2"/>
      </rPr>
      <t>bahan</t>
    </r>
    <r>
      <rPr>
        <vertAlign val="superscript"/>
        <sz val="10"/>
        <color rgb="FF757579"/>
        <rFont val="Arial"/>
        <family val="2"/>
      </rPr>
      <t xml:space="preserve">,   </t>
    </r>
    <r>
      <rPr>
        <vertAlign val="superscript"/>
        <sz val="10"/>
        <color rgb="FF38363A"/>
        <rFont val="Arial"/>
        <family val="2"/>
      </rPr>
      <t xml:space="preserve">dan   </t>
    </r>
    <r>
      <rPr>
        <vertAlign val="superscript"/>
        <sz val="10"/>
        <color rgb="FF49494B"/>
        <rFont val="Arial"/>
        <family val="2"/>
      </rPr>
      <t xml:space="preserve">produk   </t>
    </r>
    <r>
      <rPr>
        <sz val="10"/>
        <color rgb="FF49494B"/>
        <rFont val="Arial"/>
        <family val="2"/>
      </rPr>
      <t xml:space="preserve">atau   gangguan   yang </t>
    </r>
    <r>
      <rPr>
        <vertAlign val="superscript"/>
        <sz val="10"/>
        <color rgb="FF49494B"/>
        <rFont val="Arial"/>
        <family val="2"/>
      </rPr>
      <t xml:space="preserve">disebabkan   </t>
    </r>
    <r>
      <rPr>
        <vertAlign val="superscript"/>
        <sz val="10"/>
        <color rgb="FF38363A"/>
        <rFont val="Arial"/>
        <family val="2"/>
      </rPr>
      <t xml:space="preserve">oleh   </t>
    </r>
    <r>
      <rPr>
        <vertAlign val="superscript"/>
        <sz val="10"/>
        <color rgb="FF49494B"/>
        <rFont val="Arial"/>
        <family val="2"/>
      </rPr>
      <t xml:space="preserve">kompleksitas   </t>
    </r>
    <r>
      <rPr>
        <vertAlign val="superscript"/>
        <sz val="10"/>
        <color rgb="FF38363A"/>
        <rFont val="Arial"/>
        <family val="2"/>
      </rPr>
      <t xml:space="preserve">hubungan   </t>
    </r>
    <r>
      <rPr>
        <sz val="10"/>
        <color rgb="FF49494B"/>
        <rFont val="Arial"/>
        <family val="2"/>
      </rPr>
      <t>perusahaan dengan p</t>
    </r>
    <r>
      <rPr>
        <sz val="10"/>
        <color rgb="FF606064"/>
        <rFont val="Arial"/>
        <family val="2"/>
      </rPr>
      <t>i</t>
    </r>
    <r>
      <rPr>
        <sz val="10"/>
        <color rgb="FF38363A"/>
        <rFont val="Arial"/>
        <family val="2"/>
      </rPr>
      <t>hak eksternal.</t>
    </r>
  </si>
  <si>
    <r>
      <rPr>
        <sz val="10"/>
        <color rgb="FF49494B"/>
        <rFont val="Arial"/>
        <family val="2"/>
      </rPr>
      <t xml:space="preserve">a.   </t>
    </r>
    <r>
      <rPr>
        <sz val="10"/>
        <color rgb="FF38363A"/>
        <rFont val="Arial"/>
        <family val="2"/>
      </rPr>
      <t>Ketidaktersediaan materia</t>
    </r>
    <r>
      <rPr>
        <sz val="10"/>
        <color rgb="FF111115"/>
        <rFont val="Arial"/>
        <family val="2"/>
      </rPr>
      <t xml:space="preserve">l </t>
    </r>
    <r>
      <rPr>
        <sz val="10"/>
        <color rgb="FF49494B"/>
        <rFont val="Arial"/>
        <family val="2"/>
      </rPr>
      <t>distr</t>
    </r>
    <r>
      <rPr>
        <sz val="10"/>
        <color rgb="FF212124"/>
        <rFont val="Arial"/>
        <family val="2"/>
      </rPr>
      <t>i</t>
    </r>
    <r>
      <rPr>
        <sz val="10"/>
        <color rgb="FF49494B"/>
        <rFont val="Arial"/>
        <family val="2"/>
      </rPr>
      <t>bus</t>
    </r>
    <r>
      <rPr>
        <sz val="10"/>
        <color rgb="FF212124"/>
        <rFont val="Arial"/>
        <family val="2"/>
      </rPr>
      <t xml:space="preserve">i </t>
    </r>
    <r>
      <rPr>
        <sz val="10"/>
        <color rgb="FF38363A"/>
        <rFont val="Arial"/>
        <family val="2"/>
      </rPr>
      <t xml:space="preserve">utama
</t>
    </r>
    <r>
      <rPr>
        <vertAlign val="superscript"/>
        <sz val="10"/>
        <color rgb="FF49494B"/>
        <rFont val="Arial"/>
        <family val="2"/>
      </rPr>
      <t>b</t>
    </r>
    <r>
      <rPr>
        <vertAlign val="superscript"/>
        <sz val="10"/>
        <color rgb="FF606064"/>
        <rFont val="Arial"/>
        <family val="2"/>
      </rPr>
      <t xml:space="preserve">.    </t>
    </r>
    <r>
      <rPr>
        <vertAlign val="superscript"/>
        <sz val="10"/>
        <color rgb="FF49494B"/>
        <rFont val="Arial"/>
        <family val="2"/>
      </rPr>
      <t xml:space="preserve">Kegagalan         </t>
    </r>
    <r>
      <rPr>
        <vertAlign val="superscript"/>
        <sz val="10"/>
        <color rgb="FF38363A"/>
        <rFont val="Arial"/>
        <family val="2"/>
      </rPr>
      <t>mengelo</t>
    </r>
    <r>
      <rPr>
        <vertAlign val="superscript"/>
        <sz val="10"/>
        <color rgb="FF000000"/>
        <rFont val="Arial"/>
        <family val="2"/>
      </rPr>
      <t>l</t>
    </r>
    <r>
      <rPr>
        <vertAlign val="superscript"/>
        <sz val="10"/>
        <color rgb="FF49494B"/>
        <rFont val="Arial"/>
        <family val="2"/>
      </rPr>
      <t xml:space="preserve">a         </t>
    </r>
    <r>
      <rPr>
        <sz val="10"/>
        <color rgb="FF38363A"/>
        <rFont val="Arial"/>
        <family val="2"/>
      </rPr>
      <t>kom</t>
    </r>
    <r>
      <rPr>
        <sz val="10"/>
        <color rgb="FF606064"/>
        <rFont val="Arial"/>
        <family val="2"/>
      </rPr>
      <t>p</t>
    </r>
    <r>
      <rPr>
        <sz val="10"/>
        <color rgb="FF38363A"/>
        <rFont val="Arial"/>
        <family val="2"/>
      </rPr>
      <t>l</t>
    </r>
    <r>
      <rPr>
        <sz val="10"/>
        <color rgb="FF606064"/>
        <rFont val="Arial"/>
        <family val="2"/>
      </rPr>
      <t>e</t>
    </r>
    <r>
      <rPr>
        <sz val="10"/>
        <color rgb="FF38363A"/>
        <rFont val="Arial"/>
        <family val="2"/>
      </rPr>
      <t xml:space="preserve">ksitas </t>
    </r>
    <r>
      <rPr>
        <sz val="10"/>
        <color rgb="FF49494B"/>
        <rFont val="Arial"/>
        <family val="2"/>
      </rPr>
      <t xml:space="preserve">hubungan  </t>
    </r>
    <r>
      <rPr>
        <sz val="10"/>
        <color rgb="FF38363A"/>
        <rFont val="Arial"/>
        <family val="2"/>
      </rPr>
      <t xml:space="preserve">dengan  </t>
    </r>
    <r>
      <rPr>
        <sz val="10"/>
        <color rgb="FF49494B"/>
        <rFont val="Arial"/>
        <family val="2"/>
      </rPr>
      <t>pihak  eks</t>
    </r>
    <r>
      <rPr>
        <sz val="10"/>
        <color rgb="FF606064"/>
        <rFont val="Arial"/>
        <family val="2"/>
      </rPr>
      <t>t</t>
    </r>
    <r>
      <rPr>
        <sz val="10"/>
        <color rgb="FF49494B"/>
        <rFont val="Arial"/>
        <family val="2"/>
      </rPr>
      <t xml:space="preserve">ernal di  rantai pasok
</t>
    </r>
    <r>
      <rPr>
        <vertAlign val="superscript"/>
        <sz val="10"/>
        <color rgb="FF49494B"/>
        <rFont val="Arial"/>
        <family val="2"/>
      </rPr>
      <t xml:space="preserve">C.      </t>
    </r>
    <r>
      <rPr>
        <sz val="10"/>
        <color rgb="FF49494B"/>
        <rFont val="Arial"/>
        <family val="2"/>
      </rPr>
      <t>(da</t>
    </r>
    <r>
      <rPr>
        <sz val="10"/>
        <color rgb="FF212124"/>
        <rFont val="Arial"/>
        <family val="2"/>
      </rPr>
      <t xml:space="preserve">pat </t>
    </r>
    <r>
      <rPr>
        <sz val="10"/>
        <color rgb="FF38363A"/>
        <rFont val="Arial"/>
        <family val="2"/>
      </rPr>
      <t xml:space="preserve">ditambahkan </t>
    </r>
    <r>
      <rPr>
        <sz val="10"/>
        <color rgb="FF49494B"/>
        <rFont val="Arial"/>
        <family val="2"/>
      </rPr>
      <t xml:space="preserve">sesuai </t>
    </r>
    <r>
      <rPr>
        <sz val="10"/>
        <color rgb="FF38363A"/>
        <rFont val="Arial"/>
        <family val="2"/>
      </rPr>
      <t>konteks p</t>
    </r>
    <r>
      <rPr>
        <sz val="10"/>
        <color rgb="FF606064"/>
        <rFont val="Arial"/>
        <family val="2"/>
      </rPr>
      <t>er</t>
    </r>
    <r>
      <rPr>
        <sz val="10"/>
        <color rgb="FF49494B"/>
        <rFont val="Arial"/>
        <family val="2"/>
      </rPr>
      <t xml:space="preserve">istiwa </t>
    </r>
    <r>
      <rPr>
        <sz val="10"/>
        <color rgb="FF212124"/>
        <rFont val="Arial"/>
        <family val="2"/>
      </rPr>
      <t>r</t>
    </r>
    <r>
      <rPr>
        <sz val="10"/>
        <color rgb="FF49494B"/>
        <rFont val="Arial"/>
        <family val="2"/>
      </rPr>
      <t xml:space="preserve">isiko </t>
    </r>
    <r>
      <rPr>
        <sz val="10"/>
        <color rgb="FF38363A"/>
        <rFont val="Arial"/>
        <family val="2"/>
      </rPr>
      <t xml:space="preserve">pada </t>
    </r>
    <r>
      <rPr>
        <sz val="10"/>
        <color rgb="FF49494B"/>
        <rFont val="Arial"/>
        <family val="2"/>
      </rPr>
      <t>satuan ke</t>
    </r>
    <r>
      <rPr>
        <sz val="10"/>
        <color rgb="FF212124"/>
        <rFont val="Arial"/>
        <family val="2"/>
      </rPr>
      <t>rj</t>
    </r>
    <r>
      <rPr>
        <sz val="10"/>
        <color rgb="FF49494B"/>
        <rFont val="Arial"/>
        <family val="2"/>
      </rPr>
      <t xml:space="preserve">a </t>
    </r>
    <r>
      <rPr>
        <sz val="10"/>
        <color rgb="FF38363A"/>
        <rFont val="Arial"/>
        <family val="2"/>
      </rPr>
      <t>masing-masing</t>
    </r>
    <r>
      <rPr>
        <sz val="10"/>
        <color rgb="FF606064"/>
        <rFont val="Arial"/>
        <family val="2"/>
      </rPr>
      <t>)</t>
    </r>
  </si>
  <si>
    <r>
      <rPr>
        <sz val="10"/>
        <color rgb="FF38363A"/>
        <rFont val="Arial"/>
        <family val="2"/>
      </rPr>
      <t>Risiko Kesehatan
Kese</t>
    </r>
    <r>
      <rPr>
        <sz val="10"/>
        <color rgb="FF111115"/>
        <rFont val="Arial"/>
        <family val="2"/>
      </rPr>
      <t>l</t>
    </r>
    <r>
      <rPr>
        <sz val="10"/>
        <color rgb="FF49494B"/>
        <rFont val="Arial"/>
        <family val="2"/>
      </rPr>
      <t>amatan</t>
    </r>
    <r>
      <rPr>
        <sz val="10"/>
        <color rgb="FF38363A"/>
        <rFont val="Arial"/>
        <family val="2"/>
      </rPr>
      <t xml:space="preserve">Kerja </t>
    </r>
    <r>
      <rPr>
        <sz val="10"/>
        <color rgb="FF49494B"/>
        <rFont val="Arial"/>
        <family val="2"/>
      </rPr>
      <t>(K3)</t>
    </r>
  </si>
  <si>
    <r>
      <rPr>
        <sz val="10"/>
        <color rgb="FF38363A"/>
        <rFont val="Arial"/>
        <family val="2"/>
      </rPr>
      <t xml:space="preserve">Kemungkinan  </t>
    </r>
    <r>
      <rPr>
        <sz val="10"/>
        <color rgb="FF212124"/>
        <rFont val="Arial"/>
        <family val="2"/>
      </rPr>
      <t>terja</t>
    </r>
    <r>
      <rPr>
        <sz val="10"/>
        <color rgb="FF49494B"/>
        <rFont val="Arial"/>
        <family val="2"/>
      </rPr>
      <t>d</t>
    </r>
    <r>
      <rPr>
        <sz val="10"/>
        <color rgb="FF212124"/>
        <rFont val="Arial"/>
        <family val="2"/>
      </rPr>
      <t xml:space="preserve">inya </t>
    </r>
    <r>
      <rPr>
        <sz val="10"/>
        <color rgb="FF38363A"/>
        <rFont val="Arial"/>
        <family val="2"/>
      </rPr>
      <t>kece</t>
    </r>
    <r>
      <rPr>
        <sz val="10"/>
        <color rgb="FF111115"/>
        <rFont val="Arial"/>
        <family val="2"/>
      </rPr>
      <t>lak</t>
    </r>
    <r>
      <rPr>
        <sz val="10"/>
        <color rgb="FF38363A"/>
        <rFont val="Arial"/>
        <family val="2"/>
      </rPr>
      <t xml:space="preserve">aan atau  penyakit  </t>
    </r>
    <r>
      <rPr>
        <sz val="10"/>
        <color rgb="FF49494B"/>
        <rFont val="Arial"/>
        <family val="2"/>
      </rPr>
      <t xml:space="preserve">yang
</t>
    </r>
    <r>
      <rPr>
        <sz val="10"/>
        <color rgb="FF38363A"/>
        <rFont val="Arial"/>
        <family val="2"/>
      </rPr>
      <t>terkait  denga</t>
    </r>
    <r>
      <rPr>
        <sz val="10"/>
        <color rgb="FF111115"/>
        <rFont val="Arial"/>
        <family val="2"/>
      </rPr>
      <t xml:space="preserve">n  </t>
    </r>
    <r>
      <rPr>
        <sz val="10"/>
        <color rgb="FF38363A"/>
        <rFont val="Arial"/>
        <family val="2"/>
      </rPr>
      <t>kegiatan  bisnis,  sepert</t>
    </r>
    <r>
      <rPr>
        <sz val="10"/>
        <color rgb="FF111115"/>
        <rFont val="Arial"/>
        <family val="2"/>
      </rPr>
      <t xml:space="preserve">i  </t>
    </r>
    <r>
      <rPr>
        <sz val="10"/>
        <color rgb="FF212124"/>
        <rFont val="Arial"/>
        <family val="2"/>
      </rPr>
      <t>t</t>
    </r>
    <r>
      <rPr>
        <sz val="10"/>
        <color rgb="FF49494B"/>
        <rFont val="Arial"/>
        <family val="2"/>
      </rPr>
      <t xml:space="preserve">erpapar </t>
    </r>
    <r>
      <rPr>
        <sz val="10"/>
        <color rgb="FF212124"/>
        <rFont val="Arial"/>
        <family val="2"/>
      </rPr>
      <t xml:space="preserve">bahan
</t>
    </r>
    <r>
      <rPr>
        <sz val="10"/>
        <color rgb="FF49494B"/>
        <rFont val="Arial"/>
        <family val="2"/>
      </rPr>
      <t>kim</t>
    </r>
    <r>
      <rPr>
        <sz val="10"/>
        <color rgb="FF212124"/>
        <rFont val="Arial"/>
        <family val="2"/>
      </rPr>
      <t>i</t>
    </r>
    <r>
      <rPr>
        <sz val="10"/>
        <color rgb="FF49494B"/>
        <rFont val="Arial"/>
        <family val="2"/>
      </rPr>
      <t xml:space="preserve">a berbahaya </t>
    </r>
    <r>
      <rPr>
        <sz val="10"/>
        <color rgb="FF757579"/>
        <rFont val="Arial"/>
        <family val="2"/>
      </rPr>
      <t xml:space="preserve">, </t>
    </r>
    <r>
      <rPr>
        <sz val="10"/>
        <color rgb="FF49494B"/>
        <rFont val="Arial"/>
        <family val="2"/>
      </rPr>
      <t>te</t>
    </r>
    <r>
      <rPr>
        <sz val="10"/>
        <color rgb="FF212124"/>
        <rFont val="Arial"/>
        <family val="2"/>
      </rPr>
      <t>rj</t>
    </r>
    <r>
      <rPr>
        <sz val="10"/>
        <color rgb="FF49494B"/>
        <rFont val="Arial"/>
        <family val="2"/>
      </rPr>
      <t>a</t>
    </r>
    <r>
      <rPr>
        <sz val="10"/>
        <color rgb="FF212124"/>
        <rFont val="Arial"/>
        <family val="2"/>
      </rPr>
      <t>tu</t>
    </r>
    <r>
      <rPr>
        <sz val="10"/>
        <color rgb="FF49494B"/>
        <rFont val="Arial"/>
        <family val="2"/>
      </rPr>
      <t xml:space="preserve">h </t>
    </r>
    <r>
      <rPr>
        <sz val="10"/>
        <color rgb="FF38363A"/>
        <rFont val="Arial"/>
        <family val="2"/>
      </rPr>
      <t xml:space="preserve">dari </t>
    </r>
    <r>
      <rPr>
        <sz val="10"/>
        <color rgb="FF49494B"/>
        <rFont val="Arial"/>
        <family val="2"/>
      </rPr>
      <t>ketingg</t>
    </r>
    <r>
      <rPr>
        <sz val="10"/>
        <color rgb="FF606064"/>
        <rFont val="Arial"/>
        <family val="2"/>
      </rPr>
      <t>i</t>
    </r>
    <r>
      <rPr>
        <sz val="10"/>
        <color rgb="FF49494B"/>
        <rFont val="Arial"/>
        <family val="2"/>
      </rPr>
      <t>an</t>
    </r>
    <r>
      <rPr>
        <sz val="10"/>
        <color rgb="FF606064"/>
        <rFont val="Arial"/>
        <family val="2"/>
      </rPr>
      <t xml:space="preserve">, </t>
    </r>
    <r>
      <rPr>
        <sz val="10"/>
        <color rgb="FF49494B"/>
        <rFont val="Arial"/>
        <family val="2"/>
      </rPr>
      <t>kele</t>
    </r>
    <r>
      <rPr>
        <sz val="10"/>
        <color rgb="FF111115"/>
        <rFont val="Arial"/>
        <family val="2"/>
      </rPr>
      <t>l</t>
    </r>
    <r>
      <rPr>
        <sz val="10"/>
        <color rgb="FF38363A"/>
        <rFont val="Arial"/>
        <family val="2"/>
      </rPr>
      <t xml:space="preserve">ahan </t>
    </r>
    <r>
      <rPr>
        <sz val="10"/>
        <color rgb="FF49494B"/>
        <rFont val="Arial"/>
        <family val="2"/>
      </rPr>
      <t>kerja</t>
    </r>
    <r>
      <rPr>
        <sz val="10"/>
        <color rgb="FF606064"/>
        <rFont val="Arial"/>
        <family val="2"/>
      </rPr>
      <t xml:space="preserve">, </t>
    </r>
    <r>
      <rPr>
        <sz val="10"/>
        <color rgb="FF38363A"/>
        <rFont val="Arial"/>
        <family val="2"/>
      </rPr>
      <t xml:space="preserve">dan penyakit </t>
    </r>
    <r>
      <rPr>
        <sz val="10"/>
        <color rgb="FF49494B"/>
        <rFont val="Arial"/>
        <family val="2"/>
      </rPr>
      <t>akibat lingk</t>
    </r>
    <r>
      <rPr>
        <sz val="10"/>
        <color rgb="FF606064"/>
        <rFont val="Arial"/>
        <family val="2"/>
      </rPr>
      <t>u</t>
    </r>
    <r>
      <rPr>
        <sz val="10"/>
        <color rgb="FF49494B"/>
        <rFont val="Arial"/>
        <family val="2"/>
      </rPr>
      <t xml:space="preserve">ngan kerja yang </t>
    </r>
    <r>
      <rPr>
        <sz val="10"/>
        <color rgb="FF38363A"/>
        <rFont val="Arial"/>
        <family val="2"/>
      </rPr>
      <t xml:space="preserve">tidak </t>
    </r>
    <r>
      <rPr>
        <sz val="10"/>
        <color rgb="FF49494B"/>
        <rFont val="Arial"/>
        <family val="2"/>
      </rPr>
      <t>sehat.</t>
    </r>
  </si>
  <si>
    <r>
      <rPr>
        <sz val="10"/>
        <color rgb="FF49494B"/>
        <rFont val="Arial"/>
        <family val="2"/>
      </rPr>
      <t>a.    Kece</t>
    </r>
    <r>
      <rPr>
        <sz val="10"/>
        <color rgb="FF000000"/>
        <rFont val="Arial"/>
        <family val="2"/>
      </rPr>
      <t>l</t>
    </r>
    <r>
      <rPr>
        <sz val="10"/>
        <color rgb="FF38363A"/>
        <rFont val="Arial"/>
        <family val="2"/>
      </rPr>
      <t xml:space="preserve">akaankerja
b.    </t>
    </r>
    <r>
      <rPr>
        <sz val="10"/>
        <color rgb="FF49494B"/>
        <rFont val="Arial"/>
        <family val="2"/>
      </rPr>
      <t>Pe</t>
    </r>
    <r>
      <rPr>
        <sz val="10"/>
        <color rgb="FF212124"/>
        <rFont val="Arial"/>
        <family val="2"/>
      </rPr>
      <t>ningkatan</t>
    </r>
    <r>
      <rPr>
        <sz val="10"/>
        <color rgb="FF38363A"/>
        <rFont val="Arial"/>
        <family val="2"/>
      </rPr>
      <t>k</t>
    </r>
    <r>
      <rPr>
        <sz val="10"/>
        <color rgb="FF111115"/>
        <rFont val="Arial"/>
        <family val="2"/>
      </rPr>
      <t>l</t>
    </r>
    <r>
      <rPr>
        <sz val="10"/>
        <color rgb="FF38363A"/>
        <rFont val="Arial"/>
        <family val="2"/>
      </rPr>
      <t xml:space="preserve">aim </t>
    </r>
    <r>
      <rPr>
        <sz val="10"/>
        <color rgb="FF49494B"/>
        <rFont val="Arial"/>
        <family val="2"/>
      </rPr>
      <t>asurans</t>
    </r>
    <r>
      <rPr>
        <sz val="10"/>
        <color rgb="FF111115"/>
        <rFont val="Arial"/>
        <family val="2"/>
      </rPr>
      <t xml:space="preserve">i </t>
    </r>
    <r>
      <rPr>
        <sz val="10"/>
        <color rgb="FF38363A"/>
        <rFont val="Arial"/>
        <family val="2"/>
      </rPr>
      <t xml:space="preserve">kesehatan
</t>
    </r>
    <r>
      <rPr>
        <sz val="10"/>
        <color rgb="FF49494B"/>
        <rFont val="Arial"/>
        <family val="2"/>
      </rPr>
      <t xml:space="preserve">C.     </t>
    </r>
    <r>
      <rPr>
        <sz val="10"/>
        <color rgb="FF38363A"/>
        <rFont val="Arial"/>
        <family val="2"/>
      </rPr>
      <t xml:space="preserve">(dapat ditambahkan </t>
    </r>
    <r>
      <rPr>
        <sz val="10"/>
        <color rgb="FF49494B"/>
        <rFont val="Arial"/>
        <family val="2"/>
      </rPr>
      <t xml:space="preserve">sesuai </t>
    </r>
    <r>
      <rPr>
        <sz val="10"/>
        <color rgb="FF38363A"/>
        <rFont val="Arial"/>
        <family val="2"/>
      </rPr>
      <t xml:space="preserve">konteks </t>
    </r>
    <r>
      <rPr>
        <sz val="10"/>
        <color rgb="FF49494B"/>
        <rFont val="Arial"/>
        <family val="2"/>
      </rPr>
      <t>per</t>
    </r>
    <r>
      <rPr>
        <sz val="10"/>
        <color rgb="FF212124"/>
        <rFont val="Arial"/>
        <family val="2"/>
      </rPr>
      <t>i</t>
    </r>
    <r>
      <rPr>
        <sz val="10"/>
        <color rgb="FF49494B"/>
        <rFont val="Arial"/>
        <family val="2"/>
      </rPr>
      <t>st</t>
    </r>
    <r>
      <rPr>
        <sz val="10"/>
        <color rgb="FF606064"/>
        <rFont val="Arial"/>
        <family val="2"/>
      </rPr>
      <t>i</t>
    </r>
    <r>
      <rPr>
        <sz val="10"/>
        <color rgb="FF38363A"/>
        <rFont val="Arial"/>
        <family val="2"/>
      </rPr>
      <t>wa r</t>
    </r>
    <r>
      <rPr>
        <sz val="10"/>
        <color rgb="FF606064"/>
        <rFont val="Arial"/>
        <family val="2"/>
      </rPr>
      <t>i</t>
    </r>
    <r>
      <rPr>
        <sz val="10"/>
        <color rgb="FF49494B"/>
        <rFont val="Arial"/>
        <family val="2"/>
      </rPr>
      <t xml:space="preserve">siko </t>
    </r>
    <r>
      <rPr>
        <sz val="10"/>
        <color rgb="FF38363A"/>
        <rFont val="Arial"/>
        <family val="2"/>
      </rPr>
      <t>pada sa</t>
    </r>
    <r>
      <rPr>
        <sz val="10"/>
        <color rgb="FF606064"/>
        <rFont val="Arial"/>
        <family val="2"/>
      </rPr>
      <t>t</t>
    </r>
    <r>
      <rPr>
        <sz val="10"/>
        <color rgb="FF49494B"/>
        <rFont val="Arial"/>
        <family val="2"/>
      </rPr>
      <t>uan kerja masing-ma</t>
    </r>
    <r>
      <rPr>
        <sz val="10"/>
        <color rgb="FF606064"/>
        <rFont val="Arial"/>
        <family val="2"/>
      </rPr>
      <t>s</t>
    </r>
    <r>
      <rPr>
        <sz val="10"/>
        <color rgb="FF49494B"/>
        <rFont val="Arial"/>
        <family val="2"/>
      </rPr>
      <t>ing</t>
    </r>
    <r>
      <rPr>
        <sz val="10"/>
        <color rgb="FF606064"/>
        <rFont val="Arial"/>
        <family val="2"/>
      </rPr>
      <t>)</t>
    </r>
  </si>
  <si>
    <r>
      <rPr>
        <sz val="10"/>
        <color rgb="FF38363A"/>
        <rFont val="Arial"/>
        <family val="2"/>
      </rPr>
      <t>R</t>
    </r>
    <r>
      <rPr>
        <sz val="10"/>
        <color rgb="FF757579"/>
        <rFont val="Arial"/>
        <family val="2"/>
      </rPr>
      <t>i</t>
    </r>
    <r>
      <rPr>
        <sz val="10"/>
        <color rgb="FF49494B"/>
        <rFont val="Arial"/>
        <family val="2"/>
      </rPr>
      <t xml:space="preserve">siko proses </t>
    </r>
    <r>
      <rPr>
        <sz val="10"/>
        <color rgb="FF38363A"/>
        <rFont val="Arial"/>
        <family val="2"/>
      </rPr>
      <t>internal</t>
    </r>
  </si>
  <si>
    <r>
      <rPr>
        <sz val="10"/>
        <color rgb="FF38363A"/>
        <rFont val="Arial"/>
        <family val="2"/>
      </rPr>
      <t xml:space="preserve">Risiko </t>
    </r>
    <r>
      <rPr>
        <sz val="10"/>
        <color rgb="FF49494B"/>
        <rFont val="Arial"/>
        <family val="2"/>
      </rPr>
      <t>ya</t>
    </r>
    <r>
      <rPr>
        <sz val="10"/>
        <color rgb="FF212124"/>
        <rFont val="Arial"/>
        <family val="2"/>
      </rPr>
      <t xml:space="preserve">ng </t>
    </r>
    <r>
      <rPr>
        <sz val="10"/>
        <color rgb="FF49494B"/>
        <rFont val="Arial"/>
        <family val="2"/>
      </rPr>
      <t xml:space="preserve">terkait dengan ketidakcukupan </t>
    </r>
    <r>
      <rPr>
        <sz val="10"/>
        <color rgb="FF38363A"/>
        <rFont val="Arial"/>
        <family val="2"/>
      </rPr>
      <t xml:space="preserve">atau </t>
    </r>
    <r>
      <rPr>
        <sz val="10"/>
        <color rgb="FF49494B"/>
        <rFont val="Arial"/>
        <family val="2"/>
      </rPr>
      <t>kegagala</t>
    </r>
    <r>
      <rPr>
        <sz val="10"/>
        <color rgb="FF606064"/>
        <rFont val="Arial"/>
        <family val="2"/>
      </rPr>
      <t xml:space="preserve">n </t>
    </r>
    <r>
      <rPr>
        <sz val="10"/>
        <color rgb="FF38363A"/>
        <rFont val="Arial"/>
        <family val="2"/>
      </rPr>
      <t>dari prosedur</t>
    </r>
    <r>
      <rPr>
        <sz val="10"/>
        <color rgb="FF606064"/>
        <rFont val="Arial"/>
        <family val="2"/>
      </rPr>
      <t xml:space="preserve">, </t>
    </r>
    <r>
      <rPr>
        <sz val="10"/>
        <color rgb="FF49494B"/>
        <rFont val="Arial"/>
        <family val="2"/>
      </rPr>
      <t>o</t>
    </r>
    <r>
      <rPr>
        <sz val="10"/>
        <color rgb="FF212124"/>
        <rFont val="Arial"/>
        <family val="2"/>
      </rPr>
      <t>r</t>
    </r>
    <r>
      <rPr>
        <sz val="10"/>
        <color rgb="FF49494B"/>
        <rFont val="Arial"/>
        <family val="2"/>
      </rPr>
      <t>ang</t>
    </r>
    <r>
      <rPr>
        <sz val="10"/>
        <color rgb="FF606064"/>
        <rFont val="Arial"/>
        <family val="2"/>
      </rPr>
      <t xml:space="preserve">, </t>
    </r>
    <r>
      <rPr>
        <sz val="10"/>
        <color rgb="FF49494B"/>
        <rFont val="Arial"/>
        <family val="2"/>
      </rPr>
      <t xml:space="preserve">atau sistem </t>
    </r>
    <r>
      <rPr>
        <sz val="10"/>
        <color rgb="FF38363A"/>
        <rFont val="Arial"/>
        <family val="2"/>
      </rPr>
      <t>internal</t>
    </r>
    <r>
      <rPr>
        <sz val="10"/>
        <color rgb="FF757579"/>
        <rFont val="Arial"/>
        <family val="2"/>
      </rPr>
      <t xml:space="preserve">, </t>
    </r>
    <r>
      <rPr>
        <sz val="10"/>
        <color rgb="FF38363A"/>
        <rFont val="Arial"/>
        <family val="2"/>
      </rPr>
      <t xml:space="preserve">yang mungkin menyebabkan  </t>
    </r>
    <r>
      <rPr>
        <sz val="10"/>
        <color rgb="FF49494B"/>
        <rFont val="Arial"/>
        <family val="2"/>
      </rPr>
      <t>perusahaa</t>
    </r>
    <r>
      <rPr>
        <sz val="10"/>
        <color rgb="FF111115"/>
        <rFont val="Arial"/>
        <family val="2"/>
      </rPr>
      <t xml:space="preserve">n  </t>
    </r>
    <r>
      <rPr>
        <sz val="10"/>
        <color rgb="FF38363A"/>
        <rFont val="Arial"/>
        <family val="2"/>
      </rPr>
      <t>tidak  dapat  mencapai  tu</t>
    </r>
    <r>
      <rPr>
        <sz val="10"/>
        <color rgb="FF606064"/>
        <rFont val="Arial"/>
        <family val="2"/>
      </rPr>
      <t>j</t>
    </r>
    <r>
      <rPr>
        <sz val="10"/>
        <color rgb="FF38363A"/>
        <rFont val="Arial"/>
        <family val="2"/>
      </rPr>
      <t>uan operas</t>
    </r>
    <r>
      <rPr>
        <sz val="10"/>
        <color rgb="FF111115"/>
        <rFont val="Arial"/>
        <family val="2"/>
      </rPr>
      <t>i</t>
    </r>
    <r>
      <rPr>
        <sz val="10"/>
        <color rgb="FF38363A"/>
        <rFont val="Arial"/>
        <family val="2"/>
      </rPr>
      <t>ona</t>
    </r>
    <r>
      <rPr>
        <sz val="10"/>
        <color rgb="FF111115"/>
        <rFont val="Arial"/>
        <family val="2"/>
      </rPr>
      <t>l</t>
    </r>
    <r>
      <rPr>
        <sz val="10"/>
        <color rgb="FF49494B"/>
        <rFont val="Arial"/>
        <family val="2"/>
      </rPr>
      <t xml:space="preserve">, </t>
    </r>
    <r>
      <rPr>
        <sz val="10"/>
        <color rgb="FF38363A"/>
        <rFont val="Arial"/>
        <family val="2"/>
      </rPr>
      <t xml:space="preserve">strategis, </t>
    </r>
    <r>
      <rPr>
        <sz val="10"/>
        <color rgb="FF49494B"/>
        <rFont val="Arial"/>
        <family val="2"/>
      </rPr>
      <t>ata</t>
    </r>
    <r>
      <rPr>
        <sz val="10"/>
        <color rgb="FF212124"/>
        <rFont val="Arial"/>
        <family val="2"/>
      </rPr>
      <t>u kepatuhannya.</t>
    </r>
  </si>
  <si>
    <r>
      <rPr>
        <vertAlign val="superscript"/>
        <sz val="10"/>
        <color rgb="FF49494B"/>
        <rFont val="Arial"/>
        <family val="2"/>
      </rPr>
      <t xml:space="preserve">a.   </t>
    </r>
    <r>
      <rPr>
        <sz val="10"/>
        <color rgb="FF49494B"/>
        <rFont val="Arial"/>
        <family val="2"/>
      </rPr>
      <t>T</t>
    </r>
    <r>
      <rPr>
        <sz val="10"/>
        <color rgb="FF606064"/>
        <rFont val="Arial"/>
        <family val="2"/>
      </rPr>
      <t>i</t>
    </r>
    <r>
      <rPr>
        <sz val="10"/>
        <color rgb="FF49494B"/>
        <rFont val="Arial"/>
        <family val="2"/>
      </rPr>
      <t xml:space="preserve">dak     mematuhi     </t>
    </r>
    <r>
      <rPr>
        <i/>
        <sz val="10"/>
        <color rgb="FF49494B"/>
        <rFont val="Arial"/>
        <family val="2"/>
      </rPr>
      <t>Standard     O</t>
    </r>
    <r>
      <rPr>
        <i/>
        <sz val="10"/>
        <color rgb="FF606064"/>
        <rFont val="Arial"/>
        <family val="2"/>
      </rPr>
      <t>pe</t>
    </r>
    <r>
      <rPr>
        <i/>
        <sz val="10"/>
        <color rgb="FF49494B"/>
        <rFont val="Arial"/>
        <family val="2"/>
      </rPr>
      <t>ra</t>
    </r>
    <r>
      <rPr>
        <i/>
        <sz val="10"/>
        <color rgb="FF606064"/>
        <rFont val="Arial"/>
        <family val="2"/>
      </rPr>
      <t>tio</t>
    </r>
    <r>
      <rPr>
        <i/>
        <sz val="10"/>
        <color rgb="FF49494B"/>
        <rFont val="Arial"/>
        <family val="2"/>
      </rPr>
      <t xml:space="preserve">nal Procedure </t>
    </r>
    <r>
      <rPr>
        <sz val="10"/>
        <color rgb="FF606064"/>
        <rFont val="Arial"/>
        <family val="2"/>
      </rPr>
      <t>(</t>
    </r>
    <r>
      <rPr>
        <sz val="10"/>
        <color rgb="FF49494B"/>
        <rFont val="Arial"/>
        <family val="2"/>
      </rPr>
      <t>SOP</t>
    </r>
    <r>
      <rPr>
        <sz val="10"/>
        <color rgb="FF606064"/>
        <rFont val="Arial"/>
        <family val="2"/>
      </rPr>
      <t xml:space="preserve">)
</t>
    </r>
    <r>
      <rPr>
        <sz val="10"/>
        <color rgb="FF38363A"/>
        <rFont val="Arial"/>
        <family val="2"/>
      </rPr>
      <t>b.    P</t>
    </r>
    <r>
      <rPr>
        <sz val="10"/>
        <color rgb="FF111115"/>
        <rFont val="Arial"/>
        <family val="2"/>
      </rPr>
      <t>r</t>
    </r>
    <r>
      <rPr>
        <sz val="10"/>
        <color rgb="FF49494B"/>
        <rFont val="Arial"/>
        <family val="2"/>
      </rPr>
      <t>ose</t>
    </r>
    <r>
      <rPr>
        <sz val="10"/>
        <color rgb="FF212124"/>
        <rFont val="Arial"/>
        <family val="2"/>
      </rPr>
      <t xml:space="preserve">dur </t>
    </r>
    <r>
      <rPr>
        <sz val="10"/>
        <color rgb="FF38363A"/>
        <rFont val="Arial"/>
        <family val="2"/>
      </rPr>
      <t xml:space="preserve">internal tidak </t>
    </r>
    <r>
      <rPr>
        <sz val="10"/>
        <color rgb="FF49494B"/>
        <rFont val="Arial"/>
        <family val="2"/>
      </rPr>
      <t>efekt</t>
    </r>
    <r>
      <rPr>
        <sz val="10"/>
        <color rgb="FF212124"/>
        <rFont val="Arial"/>
        <family val="2"/>
      </rPr>
      <t xml:space="preserve">if
</t>
    </r>
    <r>
      <rPr>
        <vertAlign val="superscript"/>
        <sz val="10"/>
        <color rgb="FF49494B"/>
        <rFont val="Arial"/>
        <family val="2"/>
      </rPr>
      <t xml:space="preserve">C.      </t>
    </r>
    <r>
      <rPr>
        <sz val="10"/>
        <color rgb="FF38363A"/>
        <rFont val="Arial"/>
        <family val="2"/>
      </rPr>
      <t xml:space="preserve">(dapat ditambahkan </t>
    </r>
    <r>
      <rPr>
        <sz val="10"/>
        <color rgb="FF49494B"/>
        <rFont val="Arial"/>
        <family val="2"/>
      </rPr>
      <t>sesua</t>
    </r>
    <r>
      <rPr>
        <sz val="10"/>
        <color rgb="FF606064"/>
        <rFont val="Arial"/>
        <family val="2"/>
      </rPr>
      <t xml:space="preserve">i </t>
    </r>
    <r>
      <rPr>
        <sz val="10"/>
        <color rgb="FF38363A"/>
        <rFont val="Arial"/>
        <family val="2"/>
      </rPr>
      <t xml:space="preserve">konteks </t>
    </r>
    <r>
      <rPr>
        <sz val="10"/>
        <color rgb="FF49494B"/>
        <rFont val="Arial"/>
        <family val="2"/>
      </rPr>
      <t>per</t>
    </r>
    <r>
      <rPr>
        <sz val="10"/>
        <color rgb="FF212124"/>
        <rFont val="Arial"/>
        <family val="2"/>
      </rPr>
      <t>i</t>
    </r>
    <r>
      <rPr>
        <sz val="10"/>
        <color rgb="FF49494B"/>
        <rFont val="Arial"/>
        <family val="2"/>
      </rPr>
      <t xml:space="preserve">stiwa </t>
    </r>
    <r>
      <rPr>
        <sz val="10"/>
        <color rgb="FF38363A"/>
        <rFont val="Arial"/>
        <family val="2"/>
      </rPr>
      <t>ris</t>
    </r>
    <r>
      <rPr>
        <sz val="10"/>
        <color rgb="FF111115"/>
        <rFont val="Arial"/>
        <family val="2"/>
      </rPr>
      <t>ik</t>
    </r>
    <r>
      <rPr>
        <sz val="10"/>
        <color rgb="FF38363A"/>
        <rFont val="Arial"/>
        <family val="2"/>
      </rPr>
      <t xml:space="preserve">o </t>
    </r>
    <r>
      <rPr>
        <sz val="10"/>
        <color rgb="FF49494B"/>
        <rFont val="Arial"/>
        <family val="2"/>
      </rPr>
      <t xml:space="preserve">pada satuan </t>
    </r>
    <r>
      <rPr>
        <sz val="10"/>
        <color rgb="FF38363A"/>
        <rFont val="Arial"/>
        <family val="2"/>
      </rPr>
      <t xml:space="preserve">kerja </t>
    </r>
    <r>
      <rPr>
        <sz val="10"/>
        <color rgb="FF49494B"/>
        <rFont val="Arial"/>
        <family val="2"/>
      </rPr>
      <t>masing</t>
    </r>
    <r>
      <rPr>
        <sz val="10"/>
        <color rgb="FF212124"/>
        <rFont val="Arial"/>
        <family val="2"/>
      </rPr>
      <t>-</t>
    </r>
    <r>
      <rPr>
        <sz val="10"/>
        <color rgb="FF49494B"/>
        <rFont val="Arial"/>
        <family val="2"/>
      </rPr>
      <t>mas</t>
    </r>
    <r>
      <rPr>
        <sz val="10"/>
        <color rgb="FF212124"/>
        <rFont val="Arial"/>
        <family val="2"/>
      </rPr>
      <t>in</t>
    </r>
    <r>
      <rPr>
        <sz val="10"/>
        <color rgb="FF49494B"/>
        <rFont val="Arial"/>
        <family val="2"/>
      </rPr>
      <t>g</t>
    </r>
    <r>
      <rPr>
        <sz val="10"/>
        <color rgb="FF606064"/>
        <rFont val="Arial"/>
        <family val="2"/>
      </rPr>
      <t>)</t>
    </r>
  </si>
  <si>
    <r>
      <rPr>
        <sz val="10"/>
        <color rgb="FF38363A"/>
        <rFont val="Arial"/>
        <family val="2"/>
      </rPr>
      <t xml:space="preserve">Risiko </t>
    </r>
    <r>
      <rPr>
        <sz val="10"/>
        <color rgb="FF49494B"/>
        <rFont val="Arial"/>
        <family val="2"/>
      </rPr>
      <t>sis</t>
    </r>
    <r>
      <rPr>
        <sz val="10"/>
        <color rgb="FF212124"/>
        <rFont val="Arial"/>
        <family val="2"/>
      </rPr>
      <t>t</t>
    </r>
    <r>
      <rPr>
        <sz val="10"/>
        <color rgb="FF49494B"/>
        <rFont val="Arial"/>
        <family val="2"/>
      </rPr>
      <t>em</t>
    </r>
  </si>
  <si>
    <r>
      <rPr>
        <sz val="10"/>
        <color rgb="FF38363A"/>
        <rFont val="Arial"/>
        <family val="2"/>
      </rPr>
      <t>R</t>
    </r>
    <r>
      <rPr>
        <sz val="10"/>
        <color rgb="FF111115"/>
        <rFont val="Arial"/>
        <family val="2"/>
      </rPr>
      <t>i</t>
    </r>
    <r>
      <rPr>
        <sz val="10"/>
        <color rgb="FF49494B"/>
        <rFont val="Arial"/>
        <family val="2"/>
      </rPr>
      <t>s</t>
    </r>
    <r>
      <rPr>
        <sz val="10"/>
        <color rgb="FF606064"/>
        <rFont val="Arial"/>
        <family val="2"/>
      </rPr>
      <t>i</t>
    </r>
    <r>
      <rPr>
        <sz val="10"/>
        <color rgb="FF38363A"/>
        <rFont val="Arial"/>
        <family val="2"/>
      </rPr>
      <t>ko yang  timbu</t>
    </r>
    <r>
      <rPr>
        <sz val="10"/>
        <color rgb="FF000000"/>
        <rFont val="Arial"/>
        <family val="2"/>
      </rPr>
      <t xml:space="preserve">l  </t>
    </r>
    <r>
      <rPr>
        <sz val="10"/>
        <color rgb="FF38363A"/>
        <rFont val="Arial"/>
        <family val="2"/>
      </rPr>
      <t>da</t>
    </r>
    <r>
      <rPr>
        <sz val="10"/>
        <color rgb="FF000000"/>
        <rFont val="Arial"/>
        <family val="2"/>
      </rPr>
      <t>l</t>
    </r>
    <r>
      <rPr>
        <sz val="10"/>
        <color rgb="FF38363A"/>
        <rFont val="Arial"/>
        <family val="2"/>
      </rPr>
      <t xml:space="preserve">am pengelolaan  </t>
    </r>
    <r>
      <rPr>
        <sz val="10"/>
        <color rgb="FF49494B"/>
        <rFont val="Arial"/>
        <family val="2"/>
      </rPr>
      <t>s</t>
    </r>
    <r>
      <rPr>
        <sz val="10"/>
        <color rgb="FF606064"/>
        <rFont val="Arial"/>
        <family val="2"/>
      </rPr>
      <t>is</t>
    </r>
    <r>
      <rPr>
        <sz val="10"/>
        <color rgb="FF38363A"/>
        <rFont val="Arial"/>
        <family val="2"/>
      </rPr>
      <t>tem kelistr</t>
    </r>
    <r>
      <rPr>
        <sz val="10"/>
        <color rgb="FF111115"/>
        <rFont val="Arial"/>
        <family val="2"/>
      </rPr>
      <t>i</t>
    </r>
    <r>
      <rPr>
        <sz val="10"/>
        <color rgb="FF38363A"/>
        <rFont val="Arial"/>
        <family val="2"/>
      </rPr>
      <t xml:space="preserve">kan
</t>
    </r>
    <r>
      <rPr>
        <vertAlign val="superscript"/>
        <sz val="10"/>
        <color rgb="FF38363A"/>
        <rFont val="Arial"/>
        <family val="2"/>
      </rPr>
      <t xml:space="preserve">termasuk     </t>
    </r>
    <r>
      <rPr>
        <vertAlign val="superscript"/>
        <sz val="10"/>
        <color rgb="FF49494B"/>
        <rFont val="Arial"/>
        <family val="2"/>
      </rPr>
      <t>perencanaan     sistem</t>
    </r>
    <r>
      <rPr>
        <vertAlign val="superscript"/>
        <sz val="10"/>
        <color rgb="FF606064"/>
        <rFont val="Arial"/>
        <family val="2"/>
      </rPr>
      <t xml:space="preserve">,     </t>
    </r>
    <r>
      <rPr>
        <vertAlign val="superscript"/>
        <sz val="10"/>
        <color rgb="FF38363A"/>
        <rFont val="Arial"/>
        <family val="2"/>
      </rPr>
      <t xml:space="preserve">kecukupan     </t>
    </r>
    <r>
      <rPr>
        <sz val="10"/>
        <color rgb="FF38363A"/>
        <rFont val="Arial"/>
        <family val="2"/>
      </rPr>
      <t>daya</t>
    </r>
    <r>
      <rPr>
        <sz val="10"/>
        <color rgb="FF757579"/>
        <rFont val="Arial"/>
        <family val="2"/>
      </rPr>
      <t xml:space="preserve">, </t>
    </r>
    <r>
      <rPr>
        <sz val="10"/>
        <color rgb="FF49494B"/>
        <rFont val="Arial"/>
        <family val="2"/>
      </rPr>
      <t>keseimbangan sistem</t>
    </r>
    <r>
      <rPr>
        <sz val="10"/>
        <color rgb="FF606064"/>
        <rFont val="Arial"/>
        <family val="2"/>
      </rPr>
      <t xml:space="preserve">, </t>
    </r>
    <r>
      <rPr>
        <sz val="10"/>
        <color rgb="FF49494B"/>
        <rFont val="Arial"/>
        <family val="2"/>
      </rPr>
      <t>a</t>
    </r>
    <r>
      <rPr>
        <sz val="10"/>
        <color rgb="FF212124"/>
        <rFont val="Arial"/>
        <family val="2"/>
      </rPr>
      <t>l</t>
    </r>
    <r>
      <rPr>
        <sz val="10"/>
        <color rgb="FF49494B"/>
        <rFont val="Arial"/>
        <family val="2"/>
      </rPr>
      <t xml:space="preserve">iran </t>
    </r>
    <r>
      <rPr>
        <sz val="10"/>
        <color rgb="FF38363A"/>
        <rFont val="Arial"/>
        <family val="2"/>
      </rPr>
      <t xml:space="preserve">daya </t>
    </r>
    <r>
      <rPr>
        <sz val="10"/>
        <color rgb="FF49494B"/>
        <rFont val="Arial"/>
        <family val="2"/>
      </rPr>
      <t xml:space="preserve">yang </t>
    </r>
    <r>
      <rPr>
        <sz val="10"/>
        <color rgb="FF38363A"/>
        <rFont val="Arial"/>
        <family val="2"/>
      </rPr>
      <t>terbatas</t>
    </r>
    <r>
      <rPr>
        <sz val="10"/>
        <color rgb="FF757579"/>
        <rFont val="Arial"/>
        <family val="2"/>
      </rPr>
      <t xml:space="preserve">, </t>
    </r>
    <r>
      <rPr>
        <i/>
        <sz val="10"/>
        <color rgb="FF49494B"/>
        <rFont val="Arial"/>
        <family val="2"/>
      </rPr>
      <t>defense scheme</t>
    </r>
    <r>
      <rPr>
        <i/>
        <sz val="10"/>
        <color rgb="FF757579"/>
        <rFont val="Arial"/>
        <family val="2"/>
      </rPr>
      <t xml:space="preserve">, </t>
    </r>
    <r>
      <rPr>
        <sz val="10"/>
        <color rgb="FF38363A"/>
        <rFont val="Arial"/>
        <family val="2"/>
      </rPr>
      <t>interkoneks</t>
    </r>
    <r>
      <rPr>
        <sz val="10"/>
        <color rgb="FF111115"/>
        <rFont val="Arial"/>
        <family val="2"/>
      </rPr>
      <t xml:space="preserve">i </t>
    </r>
    <r>
      <rPr>
        <sz val="10"/>
        <color rgb="FF49494B"/>
        <rFont val="Arial"/>
        <family val="2"/>
      </rPr>
      <t>antars</t>
    </r>
    <r>
      <rPr>
        <sz val="10"/>
        <color rgb="FF212124"/>
        <rFont val="Arial"/>
        <family val="2"/>
      </rPr>
      <t>i</t>
    </r>
    <r>
      <rPr>
        <sz val="10"/>
        <color rgb="FF49494B"/>
        <rFont val="Arial"/>
        <family val="2"/>
      </rPr>
      <t>stem</t>
    </r>
    <r>
      <rPr>
        <sz val="10"/>
        <color rgb="FF606064"/>
        <rFont val="Arial"/>
        <family val="2"/>
      </rPr>
      <t xml:space="preserve">, </t>
    </r>
    <r>
      <rPr>
        <sz val="10"/>
        <color rgb="FF49494B"/>
        <rFont val="Arial"/>
        <family val="2"/>
      </rPr>
      <t>i</t>
    </r>
    <r>
      <rPr>
        <sz val="10"/>
        <color rgb="FF212124"/>
        <rFont val="Arial"/>
        <family val="2"/>
      </rPr>
      <t>nt</t>
    </r>
    <r>
      <rPr>
        <sz val="10"/>
        <color rgb="FF49494B"/>
        <rFont val="Arial"/>
        <family val="2"/>
      </rPr>
      <t>erm</t>
    </r>
    <r>
      <rPr>
        <sz val="10"/>
        <color rgb="FF757579"/>
        <rFont val="Arial"/>
        <family val="2"/>
      </rPr>
      <t>i</t>
    </r>
    <r>
      <rPr>
        <sz val="10"/>
        <color rgb="FF38363A"/>
        <rFont val="Arial"/>
        <family val="2"/>
      </rPr>
      <t>tensi</t>
    </r>
    <r>
      <rPr>
        <sz val="10"/>
        <color rgb="FF606064"/>
        <rFont val="Arial"/>
        <family val="2"/>
      </rPr>
      <t xml:space="preserve">, </t>
    </r>
    <r>
      <rPr>
        <sz val="10"/>
        <color rgb="FF38363A"/>
        <rFont val="Arial"/>
        <family val="2"/>
      </rPr>
      <t xml:space="preserve">kestabilan
</t>
    </r>
    <r>
      <rPr>
        <sz val="10"/>
        <color rgb="FF49494B"/>
        <rFont val="Arial"/>
        <family val="2"/>
      </rPr>
      <t>sistem</t>
    </r>
    <r>
      <rPr>
        <sz val="10"/>
        <color rgb="FF606064"/>
        <rFont val="Arial"/>
        <family val="2"/>
      </rPr>
      <t xml:space="preserve">, </t>
    </r>
    <r>
      <rPr>
        <sz val="10"/>
        <color rgb="FF38363A"/>
        <rFont val="Arial"/>
        <family val="2"/>
      </rPr>
      <t xml:space="preserve">dan pertumbuhan </t>
    </r>
    <r>
      <rPr>
        <i/>
        <sz val="10"/>
        <color rgb="FF38363A"/>
        <rFont val="Arial"/>
        <family val="2"/>
      </rPr>
      <t>demand</t>
    </r>
  </si>
  <si>
    <r>
      <rPr>
        <sz val="10"/>
        <color rgb="FF49494B"/>
        <rFont val="Arial"/>
        <family val="2"/>
      </rPr>
      <t>a</t>
    </r>
    <r>
      <rPr>
        <sz val="10"/>
        <color rgb="FF606064"/>
        <rFont val="Arial"/>
        <family val="2"/>
      </rPr>
      <t xml:space="preserve">.    </t>
    </r>
    <r>
      <rPr>
        <i/>
        <sz val="10"/>
        <color rgb="FF38363A"/>
        <rFont val="Arial"/>
        <family val="2"/>
      </rPr>
      <t xml:space="preserve">Black </t>
    </r>
    <r>
      <rPr>
        <i/>
        <sz val="10"/>
        <color rgb="FF49494B"/>
        <rFont val="Arial"/>
        <family val="2"/>
      </rPr>
      <t xml:space="preserve">out
</t>
    </r>
    <r>
      <rPr>
        <sz val="10"/>
        <color rgb="FF49494B"/>
        <rFont val="Arial"/>
        <family val="2"/>
      </rPr>
      <t xml:space="preserve">b.   Kegagalan </t>
    </r>
    <r>
      <rPr>
        <sz val="10"/>
        <color rgb="FF38363A"/>
        <rFont val="Arial"/>
        <family val="2"/>
      </rPr>
      <t>koordinas</t>
    </r>
    <r>
      <rPr>
        <sz val="10"/>
        <color rgb="FF606064"/>
        <rFont val="Arial"/>
        <family val="2"/>
      </rPr>
      <t xml:space="preserve">i </t>
    </r>
    <r>
      <rPr>
        <sz val="10"/>
        <color rgb="FF49494B"/>
        <rFont val="Arial"/>
        <family val="2"/>
      </rPr>
      <t>pro</t>
    </r>
    <r>
      <rPr>
        <sz val="10"/>
        <color rgb="FF212124"/>
        <rFont val="Arial"/>
        <family val="2"/>
      </rPr>
      <t>tek</t>
    </r>
    <r>
      <rPr>
        <sz val="10"/>
        <color rgb="FF49494B"/>
        <rFont val="Arial"/>
        <family val="2"/>
      </rPr>
      <t xml:space="preserve">si
</t>
    </r>
    <r>
      <rPr>
        <sz val="10"/>
        <color rgb="FF606064"/>
        <rFont val="Arial"/>
        <family val="2"/>
      </rPr>
      <t>C.     (</t>
    </r>
    <r>
      <rPr>
        <sz val="10"/>
        <color rgb="FF38363A"/>
        <rFont val="Arial"/>
        <family val="2"/>
      </rPr>
      <t xml:space="preserve">dapat ditambahkan </t>
    </r>
    <r>
      <rPr>
        <sz val="10"/>
        <color rgb="FF49494B"/>
        <rFont val="Arial"/>
        <family val="2"/>
      </rPr>
      <t>sesua</t>
    </r>
    <r>
      <rPr>
        <sz val="10"/>
        <color rgb="FF757579"/>
        <rFont val="Arial"/>
        <family val="2"/>
      </rPr>
      <t xml:space="preserve">i </t>
    </r>
    <r>
      <rPr>
        <sz val="10"/>
        <color rgb="FF38363A"/>
        <rFont val="Arial"/>
        <family val="2"/>
      </rPr>
      <t xml:space="preserve">konteks </t>
    </r>
    <r>
      <rPr>
        <sz val="10"/>
        <color rgb="FF49494B"/>
        <rFont val="Arial"/>
        <family val="2"/>
      </rPr>
      <t>peris</t>
    </r>
    <r>
      <rPr>
        <sz val="10"/>
        <color rgb="FF606064"/>
        <rFont val="Arial"/>
        <family val="2"/>
      </rPr>
      <t>ti</t>
    </r>
    <r>
      <rPr>
        <sz val="10"/>
        <color rgb="FF49494B"/>
        <rFont val="Arial"/>
        <family val="2"/>
      </rPr>
      <t xml:space="preserve">wa </t>
    </r>
    <r>
      <rPr>
        <sz val="10"/>
        <color rgb="FF212124"/>
        <rFont val="Arial"/>
        <family val="2"/>
      </rPr>
      <t>ri</t>
    </r>
    <r>
      <rPr>
        <sz val="10"/>
        <color rgb="FF49494B"/>
        <rFont val="Arial"/>
        <family val="2"/>
      </rPr>
      <t>s</t>
    </r>
    <r>
      <rPr>
        <sz val="10"/>
        <color rgb="FF212124"/>
        <rFont val="Arial"/>
        <family val="2"/>
      </rPr>
      <t>i</t>
    </r>
    <r>
      <rPr>
        <sz val="10"/>
        <color rgb="FF49494B"/>
        <rFont val="Arial"/>
        <family val="2"/>
      </rPr>
      <t xml:space="preserve">ko </t>
    </r>
    <r>
      <rPr>
        <sz val="10"/>
        <color rgb="FF38363A"/>
        <rFont val="Arial"/>
        <family val="2"/>
      </rPr>
      <t xml:space="preserve">pada </t>
    </r>
    <r>
      <rPr>
        <sz val="10"/>
        <color rgb="FF49494B"/>
        <rFont val="Arial"/>
        <family val="2"/>
      </rPr>
      <t xml:space="preserve">satuan </t>
    </r>
    <r>
      <rPr>
        <sz val="10"/>
        <color rgb="FF38363A"/>
        <rFont val="Arial"/>
        <family val="2"/>
      </rPr>
      <t>kerja mas</t>
    </r>
    <r>
      <rPr>
        <sz val="10"/>
        <color rgb="FF606064"/>
        <rFont val="Arial"/>
        <family val="2"/>
      </rPr>
      <t>i</t>
    </r>
    <r>
      <rPr>
        <sz val="10"/>
        <color rgb="FF38363A"/>
        <rFont val="Arial"/>
        <family val="2"/>
      </rPr>
      <t xml:space="preserve">ng-masing </t>
    </r>
    <r>
      <rPr>
        <sz val="10"/>
        <color rgb="FF606064"/>
        <rFont val="Arial"/>
        <family val="2"/>
      </rPr>
      <t>)</t>
    </r>
  </si>
  <si>
    <r>
      <rPr>
        <sz val="10"/>
        <color rgb="FF38383B"/>
        <rFont val="Arial"/>
        <family val="2"/>
      </rPr>
      <t xml:space="preserve">Risiko </t>
    </r>
    <r>
      <rPr>
        <sz val="10"/>
        <color rgb="FF4B494D"/>
        <rFont val="Arial"/>
        <family val="2"/>
      </rPr>
      <t>e</t>
    </r>
    <r>
      <rPr>
        <sz val="10"/>
        <color rgb="FF26262A"/>
        <rFont val="Arial"/>
        <family val="2"/>
      </rPr>
      <t>n</t>
    </r>
    <r>
      <rPr>
        <sz val="10"/>
        <color rgb="FF4B494D"/>
        <rFont val="Arial"/>
        <family val="2"/>
      </rPr>
      <t xml:space="preserve">ergi </t>
    </r>
    <r>
      <rPr>
        <sz val="10"/>
        <color rgb="FF26262A"/>
        <rFont val="Arial"/>
        <family val="2"/>
      </rPr>
      <t>primer</t>
    </r>
  </si>
  <si>
    <r>
      <rPr>
        <sz val="10"/>
        <color rgb="FF26262A"/>
        <rFont val="Arial"/>
        <family val="2"/>
      </rPr>
      <t>Ris</t>
    </r>
    <r>
      <rPr>
        <sz val="10"/>
        <color rgb="FF4B494D"/>
        <rFont val="Arial"/>
        <family val="2"/>
      </rPr>
      <t xml:space="preserve">iko </t>
    </r>
    <r>
      <rPr>
        <sz val="10"/>
        <color rgb="FF38383B"/>
        <rFont val="Arial"/>
        <family val="2"/>
      </rPr>
      <t>te</t>
    </r>
    <r>
      <rPr>
        <sz val="10"/>
        <color rgb="FF151518"/>
        <rFont val="Arial"/>
        <family val="2"/>
      </rPr>
      <t>r</t>
    </r>
    <r>
      <rPr>
        <sz val="10"/>
        <color rgb="FF38383B"/>
        <rFont val="Arial"/>
        <family val="2"/>
      </rPr>
      <t xml:space="preserve">kait dengan </t>
    </r>
    <r>
      <rPr>
        <sz val="10"/>
        <color rgb="FF26262A"/>
        <rFont val="Arial"/>
        <family val="2"/>
      </rPr>
      <t>pen</t>
    </r>
    <r>
      <rPr>
        <sz val="10"/>
        <color rgb="FF4B494D"/>
        <rFont val="Arial"/>
        <family val="2"/>
      </rPr>
      <t>yediaanda</t>
    </r>
    <r>
      <rPr>
        <sz val="10"/>
        <color rgb="FF26262A"/>
        <rFont val="Arial"/>
        <family val="2"/>
      </rPr>
      <t xml:space="preserve">n </t>
    </r>
    <r>
      <rPr>
        <sz val="10"/>
        <color rgb="FF38383B"/>
        <rFont val="Arial"/>
        <family val="2"/>
      </rPr>
      <t>penge</t>
    </r>
    <r>
      <rPr>
        <sz val="10"/>
        <color rgb="FF000000"/>
        <rFont val="Arial"/>
        <family val="2"/>
      </rPr>
      <t>l</t>
    </r>
    <r>
      <rPr>
        <sz val="10"/>
        <color rgb="FF38383B"/>
        <rFont val="Arial"/>
        <family val="2"/>
      </rPr>
      <t>o</t>
    </r>
    <r>
      <rPr>
        <sz val="10"/>
        <color rgb="FF000000"/>
        <rFont val="Arial"/>
        <family val="2"/>
      </rPr>
      <t>l</t>
    </r>
    <r>
      <rPr>
        <sz val="10"/>
        <color rgb="FF38383B"/>
        <rFont val="Arial"/>
        <family val="2"/>
      </rPr>
      <t xml:space="preserve">aan energi </t>
    </r>
    <r>
      <rPr>
        <sz val="10"/>
        <color rgb="FF4B494D"/>
        <rFont val="Arial"/>
        <family val="2"/>
      </rPr>
      <t>pri</t>
    </r>
    <r>
      <rPr>
        <sz val="10"/>
        <color rgb="FF26262A"/>
        <rFont val="Arial"/>
        <family val="2"/>
      </rPr>
      <t>m</t>
    </r>
    <r>
      <rPr>
        <sz val="10"/>
        <color rgb="FF4B494D"/>
        <rFont val="Arial"/>
        <family val="2"/>
      </rPr>
      <t xml:space="preserve">er </t>
    </r>
    <r>
      <rPr>
        <sz val="10"/>
        <color rgb="FF38383B"/>
        <rFont val="Arial"/>
        <family val="2"/>
      </rPr>
      <t xml:space="preserve">(antara </t>
    </r>
    <r>
      <rPr>
        <sz val="10"/>
        <color rgb="FF000000"/>
        <rFont val="Arial"/>
        <family val="2"/>
      </rPr>
      <t>l</t>
    </r>
    <r>
      <rPr>
        <sz val="10"/>
        <color rgb="FF26262A"/>
        <rFont val="Arial"/>
        <family val="2"/>
      </rPr>
      <t xml:space="preserve">ain </t>
    </r>
    <r>
      <rPr>
        <sz val="10"/>
        <color rgb="FF38383B"/>
        <rFont val="Arial"/>
        <family val="2"/>
      </rPr>
      <t>BBM</t>
    </r>
    <r>
      <rPr>
        <sz val="10"/>
        <color rgb="FF626266"/>
        <rFont val="Arial"/>
        <family val="2"/>
      </rPr>
      <t xml:space="preserve">, </t>
    </r>
    <r>
      <rPr>
        <sz val="10"/>
        <color rgb="FF26262A"/>
        <rFont val="Arial"/>
        <family val="2"/>
      </rPr>
      <t>batubar</t>
    </r>
    <r>
      <rPr>
        <sz val="10"/>
        <color rgb="FF4B494D"/>
        <rFont val="Arial"/>
        <family val="2"/>
      </rPr>
      <t>a</t>
    </r>
    <r>
      <rPr>
        <sz val="10"/>
        <color rgb="FF626266"/>
        <rFont val="Arial"/>
        <family val="2"/>
      </rPr>
      <t xml:space="preserve">, </t>
    </r>
    <r>
      <rPr>
        <sz val="10"/>
        <color rgb="FF38383B"/>
        <rFont val="Arial"/>
        <family val="2"/>
      </rPr>
      <t xml:space="preserve">gas, </t>
    </r>
    <r>
      <rPr>
        <sz val="10"/>
        <color rgb="FF4B494D"/>
        <rFont val="Arial"/>
        <family val="2"/>
      </rPr>
      <t>bio</t>
    </r>
    <r>
      <rPr>
        <sz val="10"/>
        <color rgb="FF26262A"/>
        <rFont val="Arial"/>
        <family val="2"/>
      </rPr>
      <t>ma</t>
    </r>
    <r>
      <rPr>
        <sz val="10"/>
        <color rgb="FF4B494D"/>
        <rFont val="Arial"/>
        <family val="2"/>
      </rPr>
      <t>ssa) mulai da</t>
    </r>
    <r>
      <rPr>
        <sz val="10"/>
        <color rgb="FF151518"/>
        <rFont val="Arial"/>
        <family val="2"/>
      </rPr>
      <t>r</t>
    </r>
    <r>
      <rPr>
        <sz val="10"/>
        <color rgb="FF38383B"/>
        <rFont val="Arial"/>
        <family val="2"/>
      </rPr>
      <t xml:space="preserve">i     </t>
    </r>
    <r>
      <rPr>
        <sz val="10"/>
        <color rgb="FF151518"/>
        <rFont val="Arial"/>
        <family val="2"/>
      </rPr>
      <t>t</t>
    </r>
    <r>
      <rPr>
        <sz val="10"/>
        <color rgb="FF4B494D"/>
        <rFont val="Arial"/>
        <family val="2"/>
      </rPr>
      <t xml:space="preserve">ahap    </t>
    </r>
    <r>
      <rPr>
        <vertAlign val="superscript"/>
        <sz val="10"/>
        <color rgb="FF4B494D"/>
        <rFont val="Arial"/>
        <family val="2"/>
      </rPr>
      <t>pe</t>
    </r>
    <r>
      <rPr>
        <vertAlign val="superscript"/>
        <sz val="10"/>
        <color rgb="FF26262A"/>
        <rFont val="Arial"/>
        <family val="2"/>
      </rPr>
      <t>r</t>
    </r>
    <r>
      <rPr>
        <vertAlign val="superscript"/>
        <sz val="10"/>
        <color rgb="FF4B494D"/>
        <rFont val="Arial"/>
        <family val="2"/>
      </rPr>
      <t>e</t>
    </r>
    <r>
      <rPr>
        <vertAlign val="superscript"/>
        <sz val="10"/>
        <color rgb="FF26262A"/>
        <rFont val="Arial"/>
        <family val="2"/>
      </rPr>
      <t>n</t>
    </r>
    <r>
      <rPr>
        <vertAlign val="superscript"/>
        <sz val="10"/>
        <color rgb="FF4B494D"/>
        <rFont val="Arial"/>
        <family val="2"/>
      </rPr>
      <t>canaan</t>
    </r>
    <r>
      <rPr>
        <vertAlign val="superscript"/>
        <sz val="10"/>
        <color rgb="FF626266"/>
        <rFont val="Arial"/>
        <family val="2"/>
      </rPr>
      <t xml:space="preserve">,    </t>
    </r>
    <r>
      <rPr>
        <vertAlign val="superscript"/>
        <sz val="10"/>
        <color rgb="FF38383B"/>
        <rFont val="Arial"/>
        <family val="2"/>
      </rPr>
      <t>pengiriman</t>
    </r>
    <r>
      <rPr>
        <vertAlign val="superscript"/>
        <sz val="10"/>
        <color rgb="FF626266"/>
        <rFont val="Arial"/>
        <family val="2"/>
      </rPr>
      <t xml:space="preserve">,    </t>
    </r>
    <r>
      <rPr>
        <vertAlign val="superscript"/>
        <sz val="10"/>
        <color rgb="FF4B494D"/>
        <rFont val="Arial"/>
        <family val="2"/>
      </rPr>
      <t>pener</t>
    </r>
    <r>
      <rPr>
        <vertAlign val="superscript"/>
        <sz val="10"/>
        <color rgb="FF151518"/>
        <rFont val="Arial"/>
        <family val="2"/>
      </rPr>
      <t>i</t>
    </r>
    <r>
      <rPr>
        <vertAlign val="superscript"/>
        <sz val="10"/>
        <color rgb="FF38383B"/>
        <rFont val="Arial"/>
        <family val="2"/>
      </rPr>
      <t xml:space="preserve">maan,
</t>
    </r>
    <r>
      <rPr>
        <sz val="10"/>
        <color rgb="FF38383B"/>
        <rFont val="Arial"/>
        <family val="2"/>
      </rPr>
      <t>pengelolaan</t>
    </r>
    <r>
      <rPr>
        <sz val="10"/>
        <color rgb="FF626266"/>
        <rFont val="Arial"/>
        <family val="2"/>
      </rPr>
      <t xml:space="preserve">, </t>
    </r>
    <r>
      <rPr>
        <sz val="10"/>
        <color rgb="FF38383B"/>
        <rFont val="Arial"/>
        <family val="2"/>
      </rPr>
      <t xml:space="preserve">dan </t>
    </r>
    <r>
      <rPr>
        <sz val="10"/>
        <color rgb="FF4B494D"/>
        <rFont val="Arial"/>
        <family val="2"/>
      </rPr>
      <t>pem</t>
    </r>
    <r>
      <rPr>
        <sz val="10"/>
        <color rgb="FF26262A"/>
        <rFont val="Arial"/>
        <family val="2"/>
      </rPr>
      <t>ban</t>
    </r>
    <r>
      <rPr>
        <sz val="10"/>
        <color rgb="FF4B494D"/>
        <rFont val="Arial"/>
        <family val="2"/>
      </rPr>
      <t>gu</t>
    </r>
    <r>
      <rPr>
        <sz val="10"/>
        <color rgb="FF26262A"/>
        <rFont val="Arial"/>
        <family val="2"/>
      </rPr>
      <t>n</t>
    </r>
    <r>
      <rPr>
        <sz val="10"/>
        <color rgb="FF4B494D"/>
        <rFont val="Arial"/>
        <family val="2"/>
      </rPr>
      <t xml:space="preserve">an </t>
    </r>
    <r>
      <rPr>
        <sz val="10"/>
        <color rgb="FF151518"/>
        <rFont val="Arial"/>
        <family val="2"/>
      </rPr>
      <t>i</t>
    </r>
    <r>
      <rPr>
        <sz val="10"/>
        <color rgb="FF38383B"/>
        <rFont val="Arial"/>
        <family val="2"/>
      </rPr>
      <t>nfrastrukturnya</t>
    </r>
  </si>
  <si>
    <r>
      <rPr>
        <sz val="10"/>
        <color rgb="FF38383B"/>
        <rFont val="Arial"/>
        <family val="2"/>
      </rPr>
      <t xml:space="preserve">a.   </t>
    </r>
    <r>
      <rPr>
        <vertAlign val="superscript"/>
        <sz val="10"/>
        <color rgb="FF38383B"/>
        <rFont val="Arial"/>
        <family val="2"/>
      </rPr>
      <t xml:space="preserve">Kegagalan </t>
    </r>
    <r>
      <rPr>
        <vertAlign val="superscript"/>
        <sz val="10"/>
        <color rgb="FF4B494D"/>
        <rFont val="Arial"/>
        <family val="2"/>
      </rPr>
      <t>proye</t>
    </r>
    <r>
      <rPr>
        <vertAlign val="superscript"/>
        <sz val="10"/>
        <color rgb="FF26262A"/>
        <rFont val="Arial"/>
        <family val="2"/>
      </rPr>
      <t xml:space="preserve">k </t>
    </r>
    <r>
      <rPr>
        <vertAlign val="superscript"/>
        <sz val="10"/>
        <color rgb="FF4B494D"/>
        <rFont val="Arial"/>
        <family val="2"/>
      </rPr>
      <t>gasi</t>
    </r>
    <r>
      <rPr>
        <vertAlign val="superscript"/>
        <sz val="10"/>
        <color rgb="FF26262A"/>
        <rFont val="Arial"/>
        <family val="2"/>
      </rPr>
      <t>fi</t>
    </r>
    <r>
      <rPr>
        <vertAlign val="superscript"/>
        <sz val="10"/>
        <color rgb="FF4B494D"/>
        <rFont val="Arial"/>
        <family val="2"/>
      </rPr>
      <t>kas</t>
    </r>
    <r>
      <rPr>
        <vertAlign val="superscript"/>
        <sz val="10"/>
        <color rgb="FF26262A"/>
        <rFont val="Arial"/>
        <family val="2"/>
      </rPr>
      <t xml:space="preserve">i
</t>
    </r>
    <r>
      <rPr>
        <sz val="10"/>
        <color rgb="FF4B494D"/>
        <rFont val="Arial"/>
        <family val="2"/>
      </rPr>
      <t>b</t>
    </r>
    <r>
      <rPr>
        <sz val="10"/>
        <color rgb="FF26262A"/>
        <rFont val="Arial"/>
        <family val="2"/>
      </rPr>
      <t xml:space="preserve">.   </t>
    </r>
    <r>
      <rPr>
        <vertAlign val="superscript"/>
        <sz val="10"/>
        <color rgb="FF38383B"/>
        <rFont val="Arial"/>
        <family val="2"/>
      </rPr>
      <t>Keterlambatan peng</t>
    </r>
    <r>
      <rPr>
        <vertAlign val="superscript"/>
        <sz val="10"/>
        <color rgb="FF757479"/>
        <rFont val="Arial"/>
        <family val="2"/>
      </rPr>
      <t>i</t>
    </r>
    <r>
      <rPr>
        <vertAlign val="superscript"/>
        <sz val="10"/>
        <color rgb="FF4B494D"/>
        <rFont val="Arial"/>
        <family val="2"/>
      </rPr>
      <t>r</t>
    </r>
    <r>
      <rPr>
        <vertAlign val="superscript"/>
        <sz val="10"/>
        <color rgb="FF26262A"/>
        <rFont val="Arial"/>
        <family val="2"/>
      </rPr>
      <t>i</t>
    </r>
    <r>
      <rPr>
        <vertAlign val="superscript"/>
        <sz val="10"/>
        <color rgb="FF4B494D"/>
        <rFont val="Arial"/>
        <family val="2"/>
      </rPr>
      <t>ma</t>
    </r>
    <r>
      <rPr>
        <vertAlign val="superscript"/>
        <sz val="10"/>
        <color rgb="FF26262A"/>
        <rFont val="Arial"/>
        <family val="2"/>
      </rPr>
      <t xml:space="preserve">n </t>
    </r>
    <r>
      <rPr>
        <vertAlign val="superscript"/>
        <sz val="10"/>
        <color rgb="FF626266"/>
        <rFont val="Arial"/>
        <family val="2"/>
      </rPr>
      <t>b</t>
    </r>
    <r>
      <rPr>
        <vertAlign val="superscript"/>
        <sz val="10"/>
        <color rgb="FF4B494D"/>
        <rFont val="Arial"/>
        <family val="2"/>
      </rPr>
      <t>a</t>
    </r>
    <r>
      <rPr>
        <vertAlign val="superscript"/>
        <sz val="10"/>
        <color rgb="FF26262A"/>
        <rFont val="Arial"/>
        <family val="2"/>
      </rPr>
      <t>t</t>
    </r>
    <r>
      <rPr>
        <vertAlign val="superscript"/>
        <sz val="10"/>
        <color rgb="FF4B494D"/>
        <rFont val="Arial"/>
        <family val="2"/>
      </rPr>
      <t xml:space="preserve">ubara
</t>
    </r>
    <r>
      <rPr>
        <sz val="10"/>
        <color rgb="FF4B494D"/>
        <rFont val="Arial"/>
        <family val="2"/>
      </rPr>
      <t>C</t>
    </r>
    <r>
      <rPr>
        <sz val="10"/>
        <color rgb="FF626266"/>
        <rFont val="Arial"/>
        <family val="2"/>
      </rPr>
      <t xml:space="preserve">.     </t>
    </r>
    <r>
      <rPr>
        <sz val="10"/>
        <color rgb="FF4B494D"/>
        <rFont val="Arial"/>
        <family val="2"/>
      </rPr>
      <t>(dapa</t>
    </r>
    <r>
      <rPr>
        <sz val="10"/>
        <color rgb="FF26262A"/>
        <rFont val="Arial"/>
        <family val="2"/>
      </rPr>
      <t xml:space="preserve">t </t>
    </r>
    <r>
      <rPr>
        <sz val="10"/>
        <color rgb="FF4B494D"/>
        <rFont val="Arial"/>
        <family val="2"/>
      </rPr>
      <t>ditambahkan sesuai konte</t>
    </r>
    <r>
      <rPr>
        <sz val="10"/>
        <color rgb="FF626266"/>
        <rFont val="Arial"/>
        <family val="2"/>
      </rPr>
      <t>k</t>
    </r>
    <r>
      <rPr>
        <sz val="10"/>
        <color rgb="FF4B494D"/>
        <rFont val="Arial"/>
        <family val="2"/>
      </rPr>
      <t>s per</t>
    </r>
    <r>
      <rPr>
        <sz val="10"/>
        <color rgb="FF26262A"/>
        <rFont val="Arial"/>
        <family val="2"/>
      </rPr>
      <t>i</t>
    </r>
    <r>
      <rPr>
        <sz val="10"/>
        <color rgb="FF4B494D"/>
        <rFont val="Arial"/>
        <family val="2"/>
      </rPr>
      <t>s</t>
    </r>
    <r>
      <rPr>
        <sz val="10"/>
        <color rgb="FF757479"/>
        <rFont val="Arial"/>
        <family val="2"/>
      </rPr>
      <t>ti</t>
    </r>
    <r>
      <rPr>
        <sz val="10"/>
        <color rgb="FF4B494D"/>
        <rFont val="Arial"/>
        <family val="2"/>
      </rPr>
      <t xml:space="preserve">wa </t>
    </r>
    <r>
      <rPr>
        <sz val="10"/>
        <color rgb="FF26262A"/>
        <rFont val="Arial"/>
        <family val="2"/>
      </rPr>
      <t>risi</t>
    </r>
    <r>
      <rPr>
        <sz val="10"/>
        <color rgb="FF626266"/>
        <rFont val="Arial"/>
        <family val="2"/>
      </rPr>
      <t>k</t>
    </r>
    <r>
      <rPr>
        <sz val="10"/>
        <color rgb="FF38383B"/>
        <rFont val="Arial"/>
        <family val="2"/>
      </rPr>
      <t xml:space="preserve">o </t>
    </r>
    <r>
      <rPr>
        <sz val="10"/>
        <color rgb="FF4B494D"/>
        <rFont val="Arial"/>
        <family val="2"/>
      </rPr>
      <t>pada sa</t>
    </r>
    <r>
      <rPr>
        <sz val="10"/>
        <color rgb="FF626266"/>
        <rFont val="Arial"/>
        <family val="2"/>
      </rPr>
      <t>t</t>
    </r>
    <r>
      <rPr>
        <sz val="10"/>
        <color rgb="FF4B494D"/>
        <rFont val="Arial"/>
        <family val="2"/>
      </rPr>
      <t>uan k</t>
    </r>
    <r>
      <rPr>
        <sz val="10"/>
        <color rgb="FF626266"/>
        <rFont val="Arial"/>
        <family val="2"/>
      </rPr>
      <t>e</t>
    </r>
    <r>
      <rPr>
        <sz val="10"/>
        <color rgb="FF4B494D"/>
        <rFont val="Arial"/>
        <family val="2"/>
      </rPr>
      <t>r</t>
    </r>
    <r>
      <rPr>
        <sz val="10"/>
        <color rgb="FF26262A"/>
        <rFont val="Arial"/>
        <family val="2"/>
      </rPr>
      <t>j</t>
    </r>
    <r>
      <rPr>
        <sz val="10"/>
        <color rgb="FF4B494D"/>
        <rFont val="Arial"/>
        <family val="2"/>
      </rPr>
      <t>a masing-mas</t>
    </r>
    <r>
      <rPr>
        <sz val="10"/>
        <color rgb="FF26262A"/>
        <rFont val="Arial"/>
        <family val="2"/>
      </rPr>
      <t>in</t>
    </r>
    <r>
      <rPr>
        <sz val="10"/>
        <color rgb="FF4B494D"/>
        <rFont val="Arial"/>
        <family val="2"/>
      </rPr>
      <t>g</t>
    </r>
    <r>
      <rPr>
        <sz val="10"/>
        <color rgb="FF626266"/>
        <rFont val="Arial"/>
        <family val="2"/>
      </rPr>
      <t>)</t>
    </r>
  </si>
  <si>
    <r>
      <rPr>
        <sz val="10"/>
        <color rgb="FF38383B"/>
        <rFont val="Arial"/>
        <family val="2"/>
      </rPr>
      <t xml:space="preserve">Risiko </t>
    </r>
    <r>
      <rPr>
        <sz val="10"/>
        <color rgb="FF4B494D"/>
        <rFont val="Arial"/>
        <family val="2"/>
      </rPr>
      <t>pembangki</t>
    </r>
    <r>
      <rPr>
        <sz val="10"/>
        <color rgb="FF26262A"/>
        <rFont val="Arial"/>
        <family val="2"/>
      </rPr>
      <t>t</t>
    </r>
  </si>
  <si>
    <r>
      <rPr>
        <sz val="10"/>
        <color rgb="FF38383B"/>
        <rFont val="Arial"/>
        <family val="2"/>
      </rPr>
      <t xml:space="preserve">Risiko   </t>
    </r>
    <r>
      <rPr>
        <vertAlign val="superscript"/>
        <sz val="10"/>
        <color rgb="FF38383B"/>
        <rFont val="Arial"/>
        <family val="2"/>
      </rPr>
      <t xml:space="preserve">pengelolaan    </t>
    </r>
    <r>
      <rPr>
        <vertAlign val="superscript"/>
        <sz val="10"/>
        <color rgb="FF4B494D"/>
        <rFont val="Arial"/>
        <family val="2"/>
      </rPr>
      <t>pembangk</t>
    </r>
    <r>
      <rPr>
        <vertAlign val="superscript"/>
        <sz val="10"/>
        <color rgb="FF626266"/>
        <rFont val="Arial"/>
        <family val="2"/>
      </rPr>
      <t>i</t>
    </r>
    <r>
      <rPr>
        <vertAlign val="superscript"/>
        <sz val="10"/>
        <color rgb="FF4B494D"/>
        <rFont val="Arial"/>
        <family val="2"/>
      </rPr>
      <t xml:space="preserve">tan   </t>
    </r>
    <r>
      <rPr>
        <vertAlign val="superscript"/>
        <sz val="10"/>
        <color rgb="FF38383B"/>
        <rFont val="Arial"/>
        <family val="2"/>
      </rPr>
      <t xml:space="preserve">mulai   </t>
    </r>
    <r>
      <rPr>
        <vertAlign val="superscript"/>
        <sz val="10"/>
        <color rgb="FF4B494D"/>
        <rFont val="Arial"/>
        <family val="2"/>
      </rPr>
      <t>da</t>
    </r>
    <r>
      <rPr>
        <vertAlign val="superscript"/>
        <sz val="10"/>
        <color rgb="FF26262A"/>
        <rFont val="Arial"/>
        <family val="2"/>
      </rPr>
      <t>r</t>
    </r>
    <r>
      <rPr>
        <vertAlign val="superscript"/>
        <sz val="10"/>
        <color rgb="FF4B494D"/>
        <rFont val="Arial"/>
        <family val="2"/>
      </rPr>
      <t xml:space="preserve">i    </t>
    </r>
    <r>
      <rPr>
        <vertAlign val="superscript"/>
        <sz val="10"/>
        <color rgb="FF626266"/>
        <rFont val="Arial"/>
        <family val="2"/>
      </rPr>
      <t>t</t>
    </r>
    <r>
      <rPr>
        <vertAlign val="superscript"/>
        <sz val="10"/>
        <color rgb="FF4B494D"/>
        <rFont val="Arial"/>
        <family val="2"/>
      </rPr>
      <t xml:space="preserve">ahap </t>
    </r>
    <r>
      <rPr>
        <sz val="10"/>
        <color rgb="FF38383B"/>
        <rFont val="Arial"/>
        <family val="2"/>
      </rPr>
      <t>pe</t>
    </r>
    <r>
      <rPr>
        <sz val="10"/>
        <color rgb="FF151518"/>
        <rFont val="Arial"/>
        <family val="2"/>
      </rPr>
      <t>r</t>
    </r>
    <r>
      <rPr>
        <sz val="10"/>
        <color rgb="FF38383B"/>
        <rFont val="Arial"/>
        <family val="2"/>
      </rPr>
      <t>encanaa</t>
    </r>
    <r>
      <rPr>
        <sz val="10"/>
        <color rgb="FF151518"/>
        <rFont val="Arial"/>
        <family val="2"/>
      </rPr>
      <t xml:space="preserve">n   </t>
    </r>
    <r>
      <rPr>
        <vertAlign val="superscript"/>
        <sz val="10"/>
        <color rgb="FF38383B"/>
        <rFont val="Arial"/>
        <family val="2"/>
      </rPr>
      <t xml:space="preserve">operasi,   </t>
    </r>
    <r>
      <rPr>
        <vertAlign val="superscript"/>
        <sz val="10"/>
        <color rgb="FF26262A"/>
        <rFont val="Arial"/>
        <family val="2"/>
      </rPr>
      <t>p</t>
    </r>
    <r>
      <rPr>
        <vertAlign val="superscript"/>
        <sz val="10"/>
        <color rgb="FF4B494D"/>
        <rFont val="Arial"/>
        <family val="2"/>
      </rPr>
      <t>elaksa</t>
    </r>
    <r>
      <rPr>
        <vertAlign val="superscript"/>
        <sz val="10"/>
        <color rgb="FF26262A"/>
        <rFont val="Arial"/>
        <family val="2"/>
      </rPr>
      <t>n</t>
    </r>
    <r>
      <rPr>
        <vertAlign val="superscript"/>
        <sz val="10"/>
        <color rgb="FF4B494D"/>
        <rFont val="Arial"/>
        <family val="2"/>
      </rPr>
      <t>aa</t>
    </r>
    <r>
      <rPr>
        <vertAlign val="superscript"/>
        <sz val="10"/>
        <color rgb="FF26262A"/>
        <rFont val="Arial"/>
        <family val="2"/>
      </rPr>
      <t xml:space="preserve">n   </t>
    </r>
    <r>
      <rPr>
        <vertAlign val="superscript"/>
        <sz val="10"/>
        <color rgb="FF4B494D"/>
        <rFont val="Arial"/>
        <family val="2"/>
      </rPr>
      <t>operas</t>
    </r>
    <r>
      <rPr>
        <vertAlign val="superscript"/>
        <sz val="10"/>
        <color rgb="FF626266"/>
        <rFont val="Arial"/>
        <family val="2"/>
      </rPr>
      <t xml:space="preserve">i   </t>
    </r>
    <r>
      <rPr>
        <vertAlign val="superscript"/>
        <sz val="10"/>
        <color rgb="FF4B494D"/>
        <rFont val="Arial"/>
        <family val="2"/>
      </rPr>
      <t xml:space="preserve">(termasuk </t>
    </r>
    <r>
      <rPr>
        <sz val="10"/>
        <color rgb="FF38383B"/>
        <rFont val="Arial"/>
        <family val="2"/>
      </rPr>
      <t xml:space="preserve">gangguan </t>
    </r>
    <r>
      <rPr>
        <sz val="10"/>
        <color rgb="FF4B494D"/>
        <rFont val="Arial"/>
        <family val="2"/>
      </rPr>
      <t xml:space="preserve">dan </t>
    </r>
    <r>
      <rPr>
        <sz val="10"/>
        <color rgb="FF38383B"/>
        <rFont val="Arial"/>
        <family val="2"/>
      </rPr>
      <t>peme</t>
    </r>
    <r>
      <rPr>
        <sz val="10"/>
        <color rgb="FF151518"/>
        <rFont val="Arial"/>
        <family val="2"/>
      </rPr>
      <t>l</t>
    </r>
    <r>
      <rPr>
        <sz val="10"/>
        <color rgb="FF4B494D"/>
        <rFont val="Arial"/>
        <family val="2"/>
      </rPr>
      <t>iharaan</t>
    </r>
    <r>
      <rPr>
        <sz val="10"/>
        <color rgb="FF626266"/>
        <rFont val="Arial"/>
        <family val="2"/>
      </rPr>
      <t xml:space="preserve">), </t>
    </r>
    <r>
      <rPr>
        <sz val="10"/>
        <color rgb="FF38383B"/>
        <rFont val="Arial"/>
        <family val="2"/>
      </rPr>
      <t xml:space="preserve">pemenuhan </t>
    </r>
    <r>
      <rPr>
        <sz val="10"/>
        <color rgb="FF4B494D"/>
        <rFont val="Arial"/>
        <family val="2"/>
      </rPr>
      <t>kinerja operasi</t>
    </r>
    <r>
      <rPr>
        <sz val="10"/>
        <color rgb="FF626266"/>
        <rFont val="Arial"/>
        <family val="2"/>
      </rPr>
      <t xml:space="preserve">, </t>
    </r>
    <r>
      <rPr>
        <sz val="10"/>
        <color rgb="FF38383B"/>
        <rFont val="Arial"/>
        <family val="2"/>
      </rPr>
      <t>relokas</t>
    </r>
    <r>
      <rPr>
        <sz val="10"/>
        <color rgb="FF151518"/>
        <rFont val="Arial"/>
        <family val="2"/>
      </rPr>
      <t>i</t>
    </r>
    <r>
      <rPr>
        <sz val="10"/>
        <color rgb="FF626266"/>
        <rFont val="Arial"/>
        <family val="2"/>
      </rPr>
      <t xml:space="preserve">,   </t>
    </r>
    <r>
      <rPr>
        <sz val="10"/>
        <color rgb="FF4B494D"/>
        <rFont val="Arial"/>
        <family val="2"/>
      </rPr>
      <t>su</t>
    </r>
    <r>
      <rPr>
        <sz val="10"/>
        <color rgb="FF26262A"/>
        <rFont val="Arial"/>
        <family val="2"/>
      </rPr>
      <t>mbe</t>
    </r>
    <r>
      <rPr>
        <sz val="10"/>
        <color rgb="FF4B494D"/>
        <rFont val="Arial"/>
        <family val="2"/>
      </rPr>
      <t>r   ene</t>
    </r>
    <r>
      <rPr>
        <sz val="10"/>
        <color rgb="FF26262A"/>
        <rFont val="Arial"/>
        <family val="2"/>
      </rPr>
      <t xml:space="preserve">rgi   </t>
    </r>
    <r>
      <rPr>
        <sz val="10"/>
        <color rgb="FF4B494D"/>
        <rFont val="Arial"/>
        <family val="2"/>
      </rPr>
      <t>se</t>
    </r>
    <r>
      <rPr>
        <sz val="10"/>
        <color rgb="FF151518"/>
        <rFont val="Arial"/>
        <family val="2"/>
      </rPr>
      <t>l</t>
    </r>
    <r>
      <rPr>
        <sz val="10"/>
        <color rgb="FF38383B"/>
        <rFont val="Arial"/>
        <family val="2"/>
      </rPr>
      <t xml:space="preserve">ain   energi   </t>
    </r>
    <r>
      <rPr>
        <sz val="10"/>
        <color rgb="FF4B494D"/>
        <rFont val="Arial"/>
        <family val="2"/>
      </rPr>
      <t>p</t>
    </r>
    <r>
      <rPr>
        <sz val="10"/>
        <color rgb="FF26262A"/>
        <rFont val="Arial"/>
        <family val="2"/>
      </rPr>
      <t>ri</t>
    </r>
    <r>
      <rPr>
        <sz val="10"/>
        <color rgb="FF4B494D"/>
        <rFont val="Arial"/>
        <family val="2"/>
      </rPr>
      <t>mer,   dan
pe</t>
    </r>
    <r>
      <rPr>
        <sz val="10"/>
        <color rgb="FF26262A"/>
        <rFont val="Arial"/>
        <family val="2"/>
      </rPr>
      <t>n</t>
    </r>
    <r>
      <rPr>
        <sz val="10"/>
        <color rgb="FF4B494D"/>
        <rFont val="Arial"/>
        <family val="2"/>
      </rPr>
      <t>ghe</t>
    </r>
    <r>
      <rPr>
        <sz val="10"/>
        <color rgb="FF26262A"/>
        <rFont val="Arial"/>
        <family val="2"/>
      </rPr>
      <t>ntia</t>
    </r>
    <r>
      <rPr>
        <sz val="10"/>
        <color rgb="FF4B494D"/>
        <rFont val="Arial"/>
        <family val="2"/>
      </rPr>
      <t>n operas</t>
    </r>
    <r>
      <rPr>
        <sz val="10"/>
        <color rgb="FF26262A"/>
        <rFont val="Arial"/>
        <family val="2"/>
      </rPr>
      <t xml:space="preserve">i </t>
    </r>
    <r>
      <rPr>
        <sz val="10"/>
        <color rgb="FF38383B"/>
        <rFont val="Arial"/>
        <family val="2"/>
      </rPr>
      <t>pembangkitan).</t>
    </r>
  </si>
  <si>
    <r>
      <rPr>
        <sz val="10"/>
        <color rgb="FF4B494D"/>
        <rFont val="Arial"/>
        <family val="2"/>
      </rPr>
      <t xml:space="preserve">a.   </t>
    </r>
    <r>
      <rPr>
        <i/>
        <vertAlign val="superscript"/>
        <sz val="10"/>
        <color rgb="FF4B494D"/>
        <rFont val="Arial"/>
        <family val="2"/>
      </rPr>
      <t>De</t>
    </r>
    <r>
      <rPr>
        <i/>
        <vertAlign val="superscript"/>
        <sz val="10"/>
        <color rgb="FF626266"/>
        <rFont val="Arial"/>
        <family val="2"/>
      </rPr>
      <t>r</t>
    </r>
    <r>
      <rPr>
        <i/>
        <vertAlign val="superscript"/>
        <sz val="10"/>
        <color rgb="FF4B494D"/>
        <rFont val="Arial"/>
        <family val="2"/>
      </rPr>
      <t>ati</t>
    </r>
    <r>
      <rPr>
        <i/>
        <vertAlign val="superscript"/>
        <sz val="10"/>
        <color rgb="FF626266"/>
        <rFont val="Arial"/>
        <family val="2"/>
      </rPr>
      <t>n</t>
    </r>
    <r>
      <rPr>
        <i/>
        <vertAlign val="superscript"/>
        <sz val="10"/>
        <color rgb="FF4B494D"/>
        <rFont val="Arial"/>
        <family val="2"/>
      </rPr>
      <t xml:space="preserve">g </t>
    </r>
    <r>
      <rPr>
        <vertAlign val="superscript"/>
        <sz val="10"/>
        <color rgb="FF4B494D"/>
        <rFont val="Arial"/>
        <family val="2"/>
      </rPr>
      <t>pembang</t>
    </r>
    <r>
      <rPr>
        <vertAlign val="superscript"/>
        <sz val="10"/>
        <color rgb="FF626266"/>
        <rFont val="Arial"/>
        <family val="2"/>
      </rPr>
      <t>k</t>
    </r>
    <r>
      <rPr>
        <vertAlign val="superscript"/>
        <sz val="10"/>
        <color rgb="FF4B494D"/>
        <rFont val="Arial"/>
        <family val="2"/>
      </rPr>
      <t xml:space="preserve">it
</t>
    </r>
    <r>
      <rPr>
        <sz val="10"/>
        <color rgb="FF38383B"/>
        <rFont val="Arial"/>
        <family val="2"/>
      </rPr>
      <t>b</t>
    </r>
    <r>
      <rPr>
        <sz val="10"/>
        <color rgb="FF626266"/>
        <rFont val="Arial"/>
        <family val="2"/>
      </rPr>
      <t xml:space="preserve">.    </t>
    </r>
    <r>
      <rPr>
        <sz val="10"/>
        <color rgb="FF38383B"/>
        <rFont val="Arial"/>
        <family val="2"/>
      </rPr>
      <t>lnefis</t>
    </r>
    <r>
      <rPr>
        <sz val="10"/>
        <color rgb="FF151518"/>
        <rFont val="Arial"/>
        <family val="2"/>
      </rPr>
      <t>i</t>
    </r>
    <r>
      <rPr>
        <sz val="10"/>
        <color rgb="FF4B494D"/>
        <rFont val="Arial"/>
        <family val="2"/>
      </rPr>
      <t>ens</t>
    </r>
    <r>
      <rPr>
        <sz val="10"/>
        <color rgb="FF26262A"/>
        <rFont val="Arial"/>
        <family val="2"/>
      </rPr>
      <t xml:space="preserve">i </t>
    </r>
    <r>
      <rPr>
        <sz val="10"/>
        <color rgb="FF626266"/>
        <rFont val="Arial"/>
        <family val="2"/>
      </rPr>
      <t>m</t>
    </r>
    <r>
      <rPr>
        <sz val="10"/>
        <color rgb="FF4B494D"/>
        <rFont val="Arial"/>
        <family val="2"/>
      </rPr>
      <t>es</t>
    </r>
    <r>
      <rPr>
        <sz val="10"/>
        <color rgb="FF26262A"/>
        <rFont val="Arial"/>
        <family val="2"/>
      </rPr>
      <t xml:space="preserve">in
</t>
    </r>
    <r>
      <rPr>
        <sz val="10"/>
        <color rgb="FF4B494D"/>
        <rFont val="Arial"/>
        <family val="2"/>
      </rPr>
      <t>c.    (dapa</t>
    </r>
    <r>
      <rPr>
        <sz val="10"/>
        <color rgb="FF151518"/>
        <rFont val="Arial"/>
        <family val="2"/>
      </rPr>
      <t xml:space="preserve">t </t>
    </r>
    <r>
      <rPr>
        <sz val="10"/>
        <color rgb="FF4B494D"/>
        <rFont val="Arial"/>
        <family val="2"/>
      </rPr>
      <t>ditambahkan sesua</t>
    </r>
    <r>
      <rPr>
        <sz val="10"/>
        <color rgb="FF626266"/>
        <rFont val="Arial"/>
        <family val="2"/>
      </rPr>
      <t xml:space="preserve">i </t>
    </r>
    <r>
      <rPr>
        <sz val="10"/>
        <color rgb="FF38383B"/>
        <rFont val="Arial"/>
        <family val="2"/>
      </rPr>
      <t>konte</t>
    </r>
    <r>
      <rPr>
        <sz val="10"/>
        <color rgb="FF626266"/>
        <rFont val="Arial"/>
        <family val="2"/>
      </rPr>
      <t>k</t>
    </r>
    <r>
      <rPr>
        <sz val="10"/>
        <color rgb="FF4B494D"/>
        <rFont val="Arial"/>
        <family val="2"/>
      </rPr>
      <t xml:space="preserve">s </t>
    </r>
    <r>
      <rPr>
        <sz val="10"/>
        <color rgb="FF626266"/>
        <rFont val="Arial"/>
        <family val="2"/>
      </rPr>
      <t>p</t>
    </r>
    <r>
      <rPr>
        <sz val="10"/>
        <color rgb="FF4B494D"/>
        <rFont val="Arial"/>
        <family val="2"/>
      </rPr>
      <t>e</t>
    </r>
    <r>
      <rPr>
        <sz val="10"/>
        <color rgb="FF626266"/>
        <rFont val="Arial"/>
        <family val="2"/>
      </rPr>
      <t>r</t>
    </r>
    <r>
      <rPr>
        <sz val="10"/>
        <color rgb="FF26262A"/>
        <rFont val="Arial"/>
        <family val="2"/>
      </rPr>
      <t>i</t>
    </r>
    <r>
      <rPr>
        <sz val="10"/>
        <color rgb="FF4B494D"/>
        <rFont val="Arial"/>
        <family val="2"/>
      </rPr>
      <t>st</t>
    </r>
    <r>
      <rPr>
        <sz val="10"/>
        <color rgb="FF626266"/>
        <rFont val="Arial"/>
        <family val="2"/>
      </rPr>
      <t>i</t>
    </r>
    <r>
      <rPr>
        <sz val="10"/>
        <color rgb="FF4B494D"/>
        <rFont val="Arial"/>
        <family val="2"/>
      </rPr>
      <t xml:space="preserve">wa </t>
    </r>
    <r>
      <rPr>
        <sz val="10"/>
        <color rgb="FF38383B"/>
        <rFont val="Arial"/>
        <family val="2"/>
      </rPr>
      <t>risi</t>
    </r>
    <r>
      <rPr>
        <sz val="10"/>
        <color rgb="FF626266"/>
        <rFont val="Arial"/>
        <family val="2"/>
      </rPr>
      <t>k</t>
    </r>
    <r>
      <rPr>
        <sz val="10"/>
        <color rgb="FF4B494D"/>
        <rFont val="Arial"/>
        <family val="2"/>
      </rPr>
      <t>o pada sa</t>
    </r>
    <r>
      <rPr>
        <sz val="10"/>
        <color rgb="FF626266"/>
        <rFont val="Arial"/>
        <family val="2"/>
      </rPr>
      <t>t</t>
    </r>
    <r>
      <rPr>
        <sz val="10"/>
        <color rgb="FF4B494D"/>
        <rFont val="Arial"/>
        <family val="2"/>
      </rPr>
      <t xml:space="preserve">uan kerja </t>
    </r>
    <r>
      <rPr>
        <sz val="10"/>
        <color rgb="FF38383B"/>
        <rFont val="Arial"/>
        <family val="2"/>
      </rPr>
      <t>masing-m</t>
    </r>
    <r>
      <rPr>
        <sz val="10"/>
        <color rgb="FF626266"/>
        <rFont val="Arial"/>
        <family val="2"/>
      </rPr>
      <t>a</t>
    </r>
    <r>
      <rPr>
        <sz val="10"/>
        <color rgb="FF4B494D"/>
        <rFont val="Arial"/>
        <family val="2"/>
      </rPr>
      <t>sing</t>
    </r>
    <r>
      <rPr>
        <sz val="10"/>
        <color rgb="FF626266"/>
        <rFont val="Arial"/>
        <family val="2"/>
      </rPr>
      <t>)</t>
    </r>
  </si>
  <si>
    <r>
      <rPr>
        <sz val="10"/>
        <color rgb="FF38383B"/>
        <rFont val="Arial"/>
        <family val="2"/>
      </rPr>
      <t>R</t>
    </r>
    <r>
      <rPr>
        <sz val="10"/>
        <color rgb="FF626266"/>
        <rFont val="Arial"/>
        <family val="2"/>
      </rPr>
      <t>i</t>
    </r>
    <r>
      <rPr>
        <sz val="10"/>
        <color rgb="FF4B494D"/>
        <rFont val="Arial"/>
        <family val="2"/>
      </rPr>
      <t>s</t>
    </r>
    <r>
      <rPr>
        <sz val="10"/>
        <color rgb="FF26262A"/>
        <rFont val="Arial"/>
        <family val="2"/>
      </rPr>
      <t>ik</t>
    </r>
    <r>
      <rPr>
        <sz val="10"/>
        <color rgb="FF4B494D"/>
        <rFont val="Arial"/>
        <family val="2"/>
      </rPr>
      <t xml:space="preserve">o </t>
    </r>
    <r>
      <rPr>
        <sz val="10"/>
        <color rgb="FF38383B"/>
        <rFont val="Arial"/>
        <family val="2"/>
      </rPr>
      <t>tran smis</t>
    </r>
    <r>
      <rPr>
        <sz val="10"/>
        <color theme="1"/>
        <rFont val="Arial"/>
        <family val="2"/>
      </rPr>
      <t>i</t>
    </r>
  </si>
  <si>
    <r>
      <rPr>
        <sz val="10"/>
        <color rgb="FF26262A"/>
        <rFont val="Arial"/>
        <family val="2"/>
      </rPr>
      <t>P</t>
    </r>
    <r>
      <rPr>
        <sz val="10"/>
        <color rgb="FF4B494D"/>
        <rFont val="Arial"/>
        <family val="2"/>
      </rPr>
      <t>otensi R</t>
    </r>
    <r>
      <rPr>
        <sz val="10"/>
        <color rgb="FF26262A"/>
        <rFont val="Arial"/>
        <family val="2"/>
      </rPr>
      <t>i</t>
    </r>
    <r>
      <rPr>
        <sz val="10"/>
        <color rgb="FF4B494D"/>
        <rFont val="Arial"/>
        <family val="2"/>
      </rPr>
      <t>s</t>
    </r>
    <r>
      <rPr>
        <sz val="10"/>
        <color rgb="FF151518"/>
        <rFont val="Arial"/>
        <family val="2"/>
      </rPr>
      <t>i</t>
    </r>
    <r>
      <rPr>
        <sz val="10"/>
        <color rgb="FF4B494D"/>
        <rFont val="Arial"/>
        <family val="2"/>
      </rPr>
      <t>ko ya</t>
    </r>
    <r>
      <rPr>
        <sz val="10"/>
        <color rgb="FF26262A"/>
        <rFont val="Arial"/>
        <family val="2"/>
      </rPr>
      <t>n</t>
    </r>
    <r>
      <rPr>
        <sz val="10"/>
        <color rgb="FF4B494D"/>
        <rFont val="Arial"/>
        <family val="2"/>
      </rPr>
      <t>g di</t>
    </r>
    <r>
      <rPr>
        <sz val="10"/>
        <color rgb="FF26262A"/>
        <rFont val="Arial"/>
        <family val="2"/>
      </rPr>
      <t>ti</t>
    </r>
    <r>
      <rPr>
        <sz val="10"/>
        <color rgb="FF4B494D"/>
        <rFont val="Arial"/>
        <family val="2"/>
      </rPr>
      <t>mbulkan oleh p</t>
    </r>
    <r>
      <rPr>
        <sz val="10"/>
        <color rgb="FF26262A"/>
        <rFont val="Arial"/>
        <family val="2"/>
      </rPr>
      <t>r</t>
    </r>
    <r>
      <rPr>
        <sz val="10"/>
        <color rgb="FF4B494D"/>
        <rFont val="Arial"/>
        <family val="2"/>
      </rPr>
      <t xml:space="preserve">oses yang </t>
    </r>
    <r>
      <rPr>
        <sz val="10"/>
        <color rgb="FF38383B"/>
        <rFont val="Arial"/>
        <family val="2"/>
      </rPr>
      <t xml:space="preserve">lemah </t>
    </r>
    <r>
      <rPr>
        <vertAlign val="superscript"/>
        <sz val="10"/>
        <color rgb="FF38383B"/>
        <rFont val="Arial"/>
        <family val="2"/>
      </rPr>
      <t xml:space="preserve">atau  </t>
    </r>
    <r>
      <rPr>
        <vertAlign val="superscript"/>
        <sz val="10"/>
        <color rgb="FF4B494D"/>
        <rFont val="Arial"/>
        <family val="2"/>
      </rPr>
      <t>gaga</t>
    </r>
    <r>
      <rPr>
        <vertAlign val="superscript"/>
        <sz val="10"/>
        <color rgb="FF151518"/>
        <rFont val="Arial"/>
        <family val="2"/>
      </rPr>
      <t>l</t>
    </r>
    <r>
      <rPr>
        <vertAlign val="superscript"/>
        <sz val="10"/>
        <color rgb="FF4B494D"/>
        <rFont val="Arial"/>
        <family val="2"/>
      </rPr>
      <t xml:space="preserve">,  </t>
    </r>
    <r>
      <rPr>
        <sz val="10"/>
        <color rgb="FF38383B"/>
        <rFont val="Arial"/>
        <family val="2"/>
      </rPr>
      <t xml:space="preserve">atau  </t>
    </r>
    <r>
      <rPr>
        <vertAlign val="superscript"/>
        <sz val="10"/>
        <color rgb="FF38383B"/>
        <rFont val="Arial"/>
        <family val="2"/>
      </rPr>
      <t>perist</t>
    </r>
    <r>
      <rPr>
        <vertAlign val="superscript"/>
        <sz val="10"/>
        <color rgb="FF151518"/>
        <rFont val="Arial"/>
        <family val="2"/>
      </rPr>
      <t>i</t>
    </r>
    <r>
      <rPr>
        <vertAlign val="superscript"/>
        <sz val="10"/>
        <color rgb="FF38383B"/>
        <rFont val="Arial"/>
        <family val="2"/>
      </rPr>
      <t xml:space="preserve">wa  </t>
    </r>
    <r>
      <rPr>
        <vertAlign val="superscript"/>
        <sz val="10"/>
        <color rgb="FF4B494D"/>
        <rFont val="Arial"/>
        <family val="2"/>
      </rPr>
      <t>ya</t>
    </r>
    <r>
      <rPr>
        <vertAlign val="superscript"/>
        <sz val="10"/>
        <color rgb="FF26262A"/>
        <rFont val="Arial"/>
        <family val="2"/>
      </rPr>
      <t>ng  me</t>
    </r>
    <r>
      <rPr>
        <vertAlign val="superscript"/>
        <sz val="10"/>
        <color rgb="FF4B494D"/>
        <rFont val="Arial"/>
        <family val="2"/>
      </rPr>
      <t>ngga</t>
    </r>
    <r>
      <rPr>
        <vertAlign val="superscript"/>
        <sz val="10"/>
        <color rgb="FF26262A"/>
        <rFont val="Arial"/>
        <family val="2"/>
      </rPr>
      <t>ng</t>
    </r>
    <r>
      <rPr>
        <vertAlign val="superscript"/>
        <sz val="10"/>
        <color rgb="FF4B494D"/>
        <rFont val="Arial"/>
        <family val="2"/>
      </rPr>
      <t>gu  ope</t>
    </r>
    <r>
      <rPr>
        <vertAlign val="superscript"/>
        <sz val="10"/>
        <color rgb="FF26262A"/>
        <rFont val="Arial"/>
        <family val="2"/>
      </rPr>
      <t>r</t>
    </r>
    <r>
      <rPr>
        <vertAlign val="superscript"/>
        <sz val="10"/>
        <color rgb="FF4B494D"/>
        <rFont val="Arial"/>
        <family val="2"/>
      </rPr>
      <t>as</t>
    </r>
    <r>
      <rPr>
        <vertAlign val="superscript"/>
        <sz val="10"/>
        <color rgb="FF757479"/>
        <rFont val="Arial"/>
        <family val="2"/>
      </rPr>
      <t xml:space="preserve">i </t>
    </r>
    <r>
      <rPr>
        <sz val="10"/>
        <color rgb="FF4B494D"/>
        <rFont val="Arial"/>
        <family val="2"/>
      </rPr>
      <t>fungs</t>
    </r>
    <r>
      <rPr>
        <sz val="10"/>
        <color rgb="FF26262A"/>
        <rFont val="Arial"/>
        <family val="2"/>
      </rPr>
      <t xml:space="preserve">i </t>
    </r>
    <r>
      <rPr>
        <sz val="10"/>
        <color rgb="FF38383B"/>
        <rFont val="Arial"/>
        <family val="2"/>
      </rPr>
      <t>transm</t>
    </r>
    <r>
      <rPr>
        <sz val="10"/>
        <color rgb="FF626266"/>
        <rFont val="Arial"/>
        <family val="2"/>
      </rPr>
      <t>i</t>
    </r>
    <r>
      <rPr>
        <sz val="10"/>
        <color rgb="FF4B494D"/>
        <rFont val="Arial"/>
        <family val="2"/>
      </rPr>
      <t>si secara kese</t>
    </r>
    <r>
      <rPr>
        <sz val="10"/>
        <color rgb="FF26262A"/>
        <rFont val="Arial"/>
        <family val="2"/>
      </rPr>
      <t>l</t>
    </r>
    <r>
      <rPr>
        <sz val="10"/>
        <color rgb="FF4B494D"/>
        <rFont val="Arial"/>
        <family val="2"/>
      </rPr>
      <t>u</t>
    </r>
    <r>
      <rPr>
        <sz val="10"/>
        <color rgb="FF26262A"/>
        <rFont val="Arial"/>
        <family val="2"/>
      </rPr>
      <t>ru</t>
    </r>
    <r>
      <rPr>
        <sz val="10"/>
        <color rgb="FF4B494D"/>
        <rFont val="Arial"/>
        <family val="2"/>
      </rPr>
      <t>han</t>
    </r>
    <r>
      <rPr>
        <sz val="10"/>
        <color rgb="FF26262A"/>
        <rFont val="Arial"/>
        <family val="2"/>
      </rPr>
      <t>.</t>
    </r>
  </si>
  <si>
    <r>
      <rPr>
        <sz val="10"/>
        <color rgb="FF4B494D"/>
        <rFont val="Arial"/>
        <family val="2"/>
      </rPr>
      <t>a</t>
    </r>
    <r>
      <rPr>
        <sz val="10"/>
        <color rgb="FF626266"/>
        <rFont val="Arial"/>
        <family val="2"/>
      </rPr>
      <t xml:space="preserve">.    </t>
    </r>
    <r>
      <rPr>
        <vertAlign val="superscript"/>
        <sz val="10"/>
        <color rgb="FF38383B"/>
        <rFont val="Arial"/>
        <family val="2"/>
      </rPr>
      <t xml:space="preserve">Gangguan </t>
    </r>
    <r>
      <rPr>
        <vertAlign val="superscript"/>
        <sz val="10"/>
        <color rgb="FF626266"/>
        <rFont val="Arial"/>
        <family val="2"/>
      </rPr>
      <t>t</t>
    </r>
    <r>
      <rPr>
        <vertAlign val="superscript"/>
        <sz val="10"/>
        <color rgb="FF4B494D"/>
        <rFont val="Arial"/>
        <family val="2"/>
      </rPr>
      <t xml:space="preserve">rafo </t>
    </r>
    <r>
      <rPr>
        <i/>
        <vertAlign val="superscript"/>
        <sz val="10"/>
        <color rgb="FF4B494D"/>
        <rFont val="Arial"/>
        <family val="2"/>
      </rPr>
      <t>lnte</t>
    </r>
    <r>
      <rPr>
        <i/>
        <vertAlign val="superscript"/>
        <sz val="10"/>
        <color rgb="FF626266"/>
        <rFont val="Arial"/>
        <family val="2"/>
      </rPr>
      <t>r</t>
    </r>
    <r>
      <rPr>
        <i/>
        <vertAlign val="superscript"/>
        <sz val="10"/>
        <color rgb="FF4B494D"/>
        <rFont val="Arial"/>
        <family val="2"/>
      </rPr>
      <t xml:space="preserve">bus </t>
    </r>
    <r>
      <rPr>
        <i/>
        <vertAlign val="superscript"/>
        <sz val="10"/>
        <color rgb="FF38383B"/>
        <rFont val="Arial"/>
        <family val="2"/>
      </rPr>
      <t>T</t>
    </r>
    <r>
      <rPr>
        <i/>
        <vertAlign val="superscript"/>
        <sz val="10"/>
        <color rgb="FF626266"/>
        <rFont val="Arial"/>
        <family val="2"/>
      </rPr>
      <t>r</t>
    </r>
    <r>
      <rPr>
        <i/>
        <vertAlign val="superscript"/>
        <sz val="10"/>
        <color rgb="FF4B494D"/>
        <rFont val="Arial"/>
        <family val="2"/>
      </rPr>
      <t xml:space="preserve">afo </t>
    </r>
    <r>
      <rPr>
        <vertAlign val="superscript"/>
        <sz val="10"/>
        <color rgb="FF626266"/>
        <rFont val="Arial"/>
        <family val="2"/>
      </rPr>
      <t>(</t>
    </r>
    <r>
      <rPr>
        <vertAlign val="superscript"/>
        <sz val="10"/>
        <color rgb="FF26262A"/>
        <rFont val="Arial"/>
        <family val="2"/>
      </rPr>
      <t>IB</t>
    </r>
    <r>
      <rPr>
        <vertAlign val="superscript"/>
        <sz val="10"/>
        <color rgb="FF4B494D"/>
        <rFont val="Arial"/>
        <family val="2"/>
      </rPr>
      <t>T</t>
    </r>
    <r>
      <rPr>
        <vertAlign val="superscript"/>
        <sz val="10"/>
        <color rgb="FF626266"/>
        <rFont val="Arial"/>
        <family val="2"/>
      </rPr>
      <t xml:space="preserve">)
</t>
    </r>
    <r>
      <rPr>
        <sz val="10"/>
        <color rgb="FF38383B"/>
        <rFont val="Arial"/>
        <family val="2"/>
      </rPr>
      <t>b</t>
    </r>
    <r>
      <rPr>
        <sz val="10"/>
        <color rgb="FF626266"/>
        <rFont val="Arial"/>
        <family val="2"/>
      </rPr>
      <t xml:space="preserve">.   </t>
    </r>
    <r>
      <rPr>
        <sz val="10"/>
        <color rgb="FF26262A"/>
        <rFont val="Arial"/>
        <family val="2"/>
      </rPr>
      <t>Tow</t>
    </r>
    <r>
      <rPr>
        <sz val="10"/>
        <color rgb="FF4B494D"/>
        <rFont val="Arial"/>
        <family val="2"/>
      </rPr>
      <t>er roboh
C</t>
    </r>
    <r>
      <rPr>
        <sz val="10"/>
        <color rgb="FF626266"/>
        <rFont val="Arial"/>
        <family val="2"/>
      </rPr>
      <t>.     (</t>
    </r>
    <r>
      <rPr>
        <sz val="10"/>
        <color rgb="FF4B494D"/>
        <rFont val="Arial"/>
        <family val="2"/>
      </rPr>
      <t>dapa</t>
    </r>
    <r>
      <rPr>
        <sz val="10"/>
        <color rgb="FF26262A"/>
        <rFont val="Arial"/>
        <family val="2"/>
      </rPr>
      <t xml:space="preserve">t </t>
    </r>
    <r>
      <rPr>
        <sz val="10"/>
        <color rgb="FF4B494D"/>
        <rFont val="Arial"/>
        <family val="2"/>
      </rPr>
      <t>d</t>
    </r>
    <r>
      <rPr>
        <sz val="10"/>
        <color rgb="FF26262A"/>
        <rFont val="Arial"/>
        <family val="2"/>
      </rPr>
      <t>i</t>
    </r>
    <r>
      <rPr>
        <sz val="10"/>
        <color rgb="FF4B494D"/>
        <rFont val="Arial"/>
        <family val="2"/>
      </rPr>
      <t xml:space="preserve">tambahkansesuai konteks </t>
    </r>
    <r>
      <rPr>
        <sz val="10"/>
        <color rgb="FF626266"/>
        <rFont val="Arial"/>
        <family val="2"/>
      </rPr>
      <t>p</t>
    </r>
    <r>
      <rPr>
        <sz val="10"/>
        <color rgb="FF4B494D"/>
        <rFont val="Arial"/>
        <family val="2"/>
      </rPr>
      <t>eris</t>
    </r>
    <r>
      <rPr>
        <sz val="10"/>
        <color rgb="FF626266"/>
        <rFont val="Arial"/>
        <family val="2"/>
      </rPr>
      <t>ti</t>
    </r>
    <r>
      <rPr>
        <sz val="10"/>
        <color rgb="FF4B494D"/>
        <rFont val="Arial"/>
        <family val="2"/>
      </rPr>
      <t xml:space="preserve">wa </t>
    </r>
    <r>
      <rPr>
        <sz val="10"/>
        <color rgb="FF38383B"/>
        <rFont val="Arial"/>
        <family val="2"/>
      </rPr>
      <t>r</t>
    </r>
    <r>
      <rPr>
        <sz val="10"/>
        <color rgb="FF626266"/>
        <rFont val="Arial"/>
        <family val="2"/>
      </rPr>
      <t>i</t>
    </r>
    <r>
      <rPr>
        <sz val="10"/>
        <color rgb="FF4B494D"/>
        <rFont val="Arial"/>
        <family val="2"/>
      </rPr>
      <t>si</t>
    </r>
    <r>
      <rPr>
        <sz val="10"/>
        <color rgb="FF626266"/>
        <rFont val="Arial"/>
        <family val="2"/>
      </rPr>
      <t>k</t>
    </r>
    <r>
      <rPr>
        <sz val="10"/>
        <color rgb="FF4B494D"/>
        <rFont val="Arial"/>
        <family val="2"/>
      </rPr>
      <t xml:space="preserve">o pada satuan </t>
    </r>
    <r>
      <rPr>
        <sz val="10"/>
        <color rgb="FF626266"/>
        <rFont val="Arial"/>
        <family val="2"/>
      </rPr>
      <t>k</t>
    </r>
    <r>
      <rPr>
        <sz val="10"/>
        <color rgb="FF4B494D"/>
        <rFont val="Arial"/>
        <family val="2"/>
      </rPr>
      <t>eria mas</t>
    </r>
    <r>
      <rPr>
        <sz val="10"/>
        <color rgb="FF626266"/>
        <rFont val="Arial"/>
        <family val="2"/>
      </rPr>
      <t>i</t>
    </r>
    <r>
      <rPr>
        <sz val="10"/>
        <color rgb="FF4B494D"/>
        <rFont val="Arial"/>
        <family val="2"/>
      </rPr>
      <t>nq</t>
    </r>
    <r>
      <rPr>
        <sz val="10"/>
        <color rgb="FF26262A"/>
        <rFont val="Arial"/>
        <family val="2"/>
      </rPr>
      <t>-</t>
    </r>
    <r>
      <rPr>
        <sz val="10"/>
        <color rgb="FF4B494D"/>
        <rFont val="Arial"/>
        <family val="2"/>
      </rPr>
      <t>masinq</t>
    </r>
    <r>
      <rPr>
        <sz val="10"/>
        <color rgb="FF626266"/>
        <rFont val="Arial"/>
        <family val="2"/>
      </rPr>
      <t>)</t>
    </r>
  </si>
  <si>
    <r>
      <rPr>
        <sz val="10"/>
        <color rgb="FF38383B"/>
        <rFont val="Arial"/>
        <family val="2"/>
      </rPr>
      <t>Risiko d</t>
    </r>
    <r>
      <rPr>
        <sz val="10"/>
        <color rgb="FF151518"/>
        <rFont val="Arial"/>
        <family val="2"/>
      </rPr>
      <t>i</t>
    </r>
    <r>
      <rPr>
        <sz val="10"/>
        <color rgb="FF4B494D"/>
        <rFont val="Arial"/>
        <family val="2"/>
      </rPr>
      <t>str</t>
    </r>
    <r>
      <rPr>
        <sz val="10"/>
        <color rgb="FF26262A"/>
        <rFont val="Arial"/>
        <family val="2"/>
      </rPr>
      <t>ibu</t>
    </r>
    <r>
      <rPr>
        <sz val="10"/>
        <color rgb="FF4B494D"/>
        <rFont val="Arial"/>
        <family val="2"/>
      </rPr>
      <t>si</t>
    </r>
  </si>
  <si>
    <r>
      <rPr>
        <sz val="10"/>
        <color rgb="FF26262A"/>
        <rFont val="Arial"/>
        <family val="2"/>
      </rPr>
      <t>P</t>
    </r>
    <r>
      <rPr>
        <sz val="10"/>
        <color rgb="FF4B494D"/>
        <rFont val="Arial"/>
        <family val="2"/>
      </rPr>
      <t>ote</t>
    </r>
    <r>
      <rPr>
        <sz val="10"/>
        <color rgb="FF26262A"/>
        <rFont val="Arial"/>
        <family val="2"/>
      </rPr>
      <t>n</t>
    </r>
    <r>
      <rPr>
        <sz val="10"/>
        <color rgb="FF4B494D"/>
        <rFont val="Arial"/>
        <family val="2"/>
      </rPr>
      <t>s</t>
    </r>
    <r>
      <rPr>
        <sz val="10"/>
        <color rgb="FF26262A"/>
        <rFont val="Arial"/>
        <family val="2"/>
      </rPr>
      <t xml:space="preserve">i </t>
    </r>
    <r>
      <rPr>
        <sz val="10"/>
        <color rgb="FF38383B"/>
        <rFont val="Arial"/>
        <family val="2"/>
      </rPr>
      <t>R</t>
    </r>
    <r>
      <rPr>
        <sz val="10"/>
        <color rgb="FF151518"/>
        <rFont val="Arial"/>
        <family val="2"/>
      </rPr>
      <t>i</t>
    </r>
    <r>
      <rPr>
        <sz val="10"/>
        <color rgb="FF4B494D"/>
        <rFont val="Arial"/>
        <family val="2"/>
      </rPr>
      <t>s</t>
    </r>
    <r>
      <rPr>
        <sz val="10"/>
        <color rgb="FF26262A"/>
        <rFont val="Arial"/>
        <family val="2"/>
      </rPr>
      <t>i</t>
    </r>
    <r>
      <rPr>
        <sz val="10"/>
        <color rgb="FF4B494D"/>
        <rFont val="Arial"/>
        <family val="2"/>
      </rPr>
      <t xml:space="preserve">ko yang </t>
    </r>
    <r>
      <rPr>
        <sz val="10"/>
        <color rgb="FF38383B"/>
        <rFont val="Arial"/>
        <family val="2"/>
      </rPr>
      <t>dit</t>
    </r>
    <r>
      <rPr>
        <sz val="10"/>
        <color rgb="FF151518"/>
        <rFont val="Arial"/>
        <family val="2"/>
      </rPr>
      <t>i</t>
    </r>
    <r>
      <rPr>
        <sz val="10"/>
        <color rgb="FF4B494D"/>
        <rFont val="Arial"/>
        <family val="2"/>
      </rPr>
      <t>mbu</t>
    </r>
    <r>
      <rPr>
        <sz val="10"/>
        <color theme="1"/>
        <rFont val="Arial"/>
        <family val="2"/>
      </rPr>
      <t>l</t>
    </r>
    <r>
      <rPr>
        <sz val="10"/>
        <color rgb="FF38383B"/>
        <rFont val="Arial"/>
        <family val="2"/>
      </rPr>
      <t xml:space="preserve">kan </t>
    </r>
    <r>
      <rPr>
        <sz val="10"/>
        <color rgb="FF4B494D"/>
        <rFont val="Arial"/>
        <family val="2"/>
      </rPr>
      <t>o</t>
    </r>
    <r>
      <rPr>
        <sz val="10"/>
        <color rgb="FF151518"/>
        <rFont val="Arial"/>
        <family val="2"/>
      </rPr>
      <t>l</t>
    </r>
    <r>
      <rPr>
        <sz val="10"/>
        <color rgb="FF4B494D"/>
        <rFont val="Arial"/>
        <family val="2"/>
      </rPr>
      <t>eh p</t>
    </r>
    <r>
      <rPr>
        <sz val="10"/>
        <color rgb="FF151518"/>
        <rFont val="Arial"/>
        <family val="2"/>
      </rPr>
      <t>r</t>
    </r>
    <r>
      <rPr>
        <sz val="10"/>
        <color rgb="FF4B494D"/>
        <rFont val="Arial"/>
        <family val="2"/>
      </rPr>
      <t xml:space="preserve">oses yang </t>
    </r>
    <r>
      <rPr>
        <sz val="10"/>
        <color rgb="FF26262A"/>
        <rFont val="Arial"/>
        <family val="2"/>
      </rPr>
      <t>lema</t>
    </r>
    <r>
      <rPr>
        <sz val="10"/>
        <color rgb="FF4B494D"/>
        <rFont val="Arial"/>
        <family val="2"/>
      </rPr>
      <t>h atau  gagal</t>
    </r>
    <r>
      <rPr>
        <sz val="10"/>
        <color rgb="FF626266"/>
        <rFont val="Arial"/>
        <family val="2"/>
      </rPr>
      <t xml:space="preserve">,  </t>
    </r>
    <r>
      <rPr>
        <sz val="10"/>
        <color rgb="FF4B494D"/>
        <rFont val="Arial"/>
        <family val="2"/>
      </rPr>
      <t>ata</t>
    </r>
    <r>
      <rPr>
        <sz val="10"/>
        <color rgb="FF26262A"/>
        <rFont val="Arial"/>
        <family val="2"/>
      </rPr>
      <t xml:space="preserve">u  </t>
    </r>
    <r>
      <rPr>
        <sz val="10"/>
        <color rgb="FF38383B"/>
        <rFont val="Arial"/>
        <family val="2"/>
      </rPr>
      <t>perist</t>
    </r>
    <r>
      <rPr>
        <sz val="10"/>
        <color rgb="FF151518"/>
        <rFont val="Arial"/>
        <family val="2"/>
      </rPr>
      <t>i</t>
    </r>
    <r>
      <rPr>
        <sz val="10"/>
        <color rgb="FF4B494D"/>
        <rFont val="Arial"/>
        <family val="2"/>
      </rPr>
      <t xml:space="preserve">wa  yang  mengganggu   </t>
    </r>
    <r>
      <rPr>
        <vertAlign val="superscript"/>
        <sz val="10"/>
        <color rgb="FF4B494D"/>
        <rFont val="Arial"/>
        <family val="2"/>
      </rPr>
      <t>operas</t>
    </r>
    <r>
      <rPr>
        <vertAlign val="superscript"/>
        <sz val="10"/>
        <color rgb="FF757479"/>
        <rFont val="Arial"/>
        <family val="2"/>
      </rPr>
      <t xml:space="preserve">i </t>
    </r>
    <r>
      <rPr>
        <sz val="10"/>
        <color rgb="FF38383B"/>
        <rFont val="Arial"/>
        <family val="2"/>
      </rPr>
      <t>fungs</t>
    </r>
    <r>
      <rPr>
        <sz val="10"/>
        <color rgb="FF151518"/>
        <rFont val="Arial"/>
        <family val="2"/>
      </rPr>
      <t xml:space="preserve">i </t>
    </r>
    <r>
      <rPr>
        <sz val="10"/>
        <color rgb="FF38383B"/>
        <rFont val="Arial"/>
        <family val="2"/>
      </rPr>
      <t>distribusi secara kese</t>
    </r>
    <r>
      <rPr>
        <sz val="10"/>
        <color rgb="FF151518"/>
        <rFont val="Arial"/>
        <family val="2"/>
      </rPr>
      <t>l</t>
    </r>
    <r>
      <rPr>
        <sz val="10"/>
        <color rgb="FF4B494D"/>
        <rFont val="Arial"/>
        <family val="2"/>
      </rPr>
      <t>u</t>
    </r>
    <r>
      <rPr>
        <sz val="10"/>
        <color rgb="FF26262A"/>
        <rFont val="Arial"/>
        <family val="2"/>
      </rPr>
      <t>ruhan</t>
    </r>
    <r>
      <rPr>
        <sz val="10"/>
        <color rgb="FF4B494D"/>
        <rFont val="Arial"/>
        <family val="2"/>
      </rPr>
      <t>.</t>
    </r>
  </si>
  <si>
    <r>
      <rPr>
        <sz val="10"/>
        <color rgb="FF4B494D"/>
        <rFont val="Arial"/>
        <family val="2"/>
      </rPr>
      <t>a.   Ga</t>
    </r>
    <r>
      <rPr>
        <sz val="10"/>
        <color rgb="FF26262A"/>
        <rFont val="Arial"/>
        <family val="2"/>
      </rPr>
      <t>n</t>
    </r>
    <r>
      <rPr>
        <sz val="10"/>
        <color rgb="FF4B494D"/>
        <rFont val="Arial"/>
        <family val="2"/>
      </rPr>
      <t>gg</t>
    </r>
    <r>
      <rPr>
        <sz val="10"/>
        <color rgb="FF26262A"/>
        <rFont val="Arial"/>
        <family val="2"/>
      </rPr>
      <t>u</t>
    </r>
    <r>
      <rPr>
        <sz val="10"/>
        <color rgb="FF4B494D"/>
        <rFont val="Arial"/>
        <family val="2"/>
      </rPr>
      <t xml:space="preserve">an   </t>
    </r>
    <r>
      <rPr>
        <sz val="10"/>
        <color rgb="FF26262A"/>
        <rFont val="Arial"/>
        <family val="2"/>
      </rPr>
      <t>J</t>
    </r>
    <r>
      <rPr>
        <sz val="10"/>
        <color rgb="FF4B494D"/>
        <rFont val="Arial"/>
        <family val="2"/>
      </rPr>
      <t>ar</t>
    </r>
    <r>
      <rPr>
        <sz val="10"/>
        <color rgb="FF26262A"/>
        <rFont val="Arial"/>
        <family val="2"/>
      </rPr>
      <t>i</t>
    </r>
    <r>
      <rPr>
        <sz val="10"/>
        <color rgb="FF4B494D"/>
        <rFont val="Arial"/>
        <family val="2"/>
      </rPr>
      <t xml:space="preserve">ngan   </t>
    </r>
    <r>
      <rPr>
        <sz val="10"/>
        <color rgb="FF26262A"/>
        <rFont val="Arial"/>
        <family val="2"/>
      </rPr>
      <t>T</t>
    </r>
    <r>
      <rPr>
        <sz val="10"/>
        <color rgb="FF4B494D"/>
        <rFont val="Arial"/>
        <family val="2"/>
      </rPr>
      <t>ega</t>
    </r>
    <r>
      <rPr>
        <sz val="10"/>
        <color rgb="FF626266"/>
        <rFont val="Arial"/>
        <family val="2"/>
      </rPr>
      <t>n</t>
    </r>
    <r>
      <rPr>
        <sz val="10"/>
        <color rgb="FF4B494D"/>
        <rFont val="Arial"/>
        <family val="2"/>
      </rPr>
      <t>gan  Meneng</t>
    </r>
    <r>
      <rPr>
        <sz val="10"/>
        <color rgb="FF626266"/>
        <rFont val="Arial"/>
        <family val="2"/>
      </rPr>
      <t>a</t>
    </r>
    <r>
      <rPr>
        <sz val="10"/>
        <color rgb="FF4B494D"/>
        <rFont val="Arial"/>
        <family val="2"/>
      </rPr>
      <t xml:space="preserve">h </t>
    </r>
    <r>
      <rPr>
        <sz val="10"/>
        <color rgb="FF38383B"/>
        <rFont val="Arial"/>
        <family val="2"/>
      </rPr>
      <t>ak</t>
    </r>
    <r>
      <rPr>
        <sz val="10"/>
        <color rgb="FF151518"/>
        <rFont val="Arial"/>
        <family val="2"/>
      </rPr>
      <t>i</t>
    </r>
    <r>
      <rPr>
        <sz val="10"/>
        <color rgb="FF626266"/>
        <rFont val="Arial"/>
        <family val="2"/>
      </rPr>
      <t>b</t>
    </r>
    <r>
      <rPr>
        <sz val="10"/>
        <color rgb="FF4B494D"/>
        <rFont val="Arial"/>
        <family val="2"/>
      </rPr>
      <t>at pet</t>
    </r>
    <r>
      <rPr>
        <sz val="10"/>
        <color rgb="FF26262A"/>
        <rFont val="Arial"/>
        <family val="2"/>
      </rPr>
      <t>i</t>
    </r>
    <r>
      <rPr>
        <sz val="10"/>
        <color rgb="FF4B494D"/>
        <rFont val="Arial"/>
        <family val="2"/>
      </rPr>
      <t>r
b</t>
    </r>
    <r>
      <rPr>
        <sz val="10"/>
        <color rgb="FF626266"/>
        <rFont val="Arial"/>
        <family val="2"/>
      </rPr>
      <t xml:space="preserve">.   </t>
    </r>
    <r>
      <rPr>
        <sz val="10"/>
        <color rgb="FF4B494D"/>
        <rFont val="Arial"/>
        <family val="2"/>
      </rPr>
      <t>Kapas</t>
    </r>
    <r>
      <rPr>
        <sz val="10"/>
        <color rgb="FF26262A"/>
        <rFont val="Arial"/>
        <family val="2"/>
      </rPr>
      <t>it</t>
    </r>
    <r>
      <rPr>
        <sz val="10"/>
        <color rgb="FF4B494D"/>
        <rFont val="Arial"/>
        <family val="2"/>
      </rPr>
      <t>as dist</t>
    </r>
    <r>
      <rPr>
        <sz val="10"/>
        <color rgb="FF626266"/>
        <rFont val="Arial"/>
        <family val="2"/>
      </rPr>
      <t>r</t>
    </r>
    <r>
      <rPr>
        <sz val="10"/>
        <color rgb="FF151518"/>
        <rFont val="Arial"/>
        <family val="2"/>
      </rPr>
      <t>i</t>
    </r>
    <r>
      <rPr>
        <sz val="10"/>
        <color rgb="FF4B494D"/>
        <rFont val="Arial"/>
        <family val="2"/>
      </rPr>
      <t xml:space="preserve">busilidak </t>
    </r>
    <r>
      <rPr>
        <sz val="10"/>
        <color rgb="FF26262A"/>
        <rFont val="Arial"/>
        <family val="2"/>
      </rPr>
      <t>m</t>
    </r>
    <r>
      <rPr>
        <sz val="10"/>
        <color rgb="FF4B494D"/>
        <rFont val="Arial"/>
        <family val="2"/>
      </rPr>
      <t>ema</t>
    </r>
    <r>
      <rPr>
        <sz val="10"/>
        <color rgb="FF26262A"/>
        <rFont val="Arial"/>
        <family val="2"/>
      </rPr>
      <t>d</t>
    </r>
    <r>
      <rPr>
        <sz val="10"/>
        <color rgb="FF4B494D"/>
        <rFont val="Arial"/>
        <family val="2"/>
      </rPr>
      <t>ai
C.     (dapa</t>
    </r>
    <r>
      <rPr>
        <sz val="10"/>
        <color rgb="FF26262A"/>
        <rFont val="Arial"/>
        <family val="2"/>
      </rPr>
      <t xml:space="preserve">t </t>
    </r>
    <r>
      <rPr>
        <sz val="10"/>
        <color rgb="FF4B494D"/>
        <rFont val="Arial"/>
        <family val="2"/>
      </rPr>
      <t>d</t>
    </r>
    <r>
      <rPr>
        <sz val="10"/>
        <color rgb="FF151518"/>
        <rFont val="Arial"/>
        <family val="2"/>
      </rPr>
      <t>i</t>
    </r>
    <r>
      <rPr>
        <sz val="10"/>
        <color rgb="FF4B494D"/>
        <rFont val="Arial"/>
        <family val="2"/>
      </rPr>
      <t>tam</t>
    </r>
    <r>
      <rPr>
        <sz val="10"/>
        <color rgb="FF626266"/>
        <rFont val="Arial"/>
        <family val="2"/>
      </rPr>
      <t>b</t>
    </r>
    <r>
      <rPr>
        <sz val="10"/>
        <color rgb="FF4B494D"/>
        <rFont val="Arial"/>
        <family val="2"/>
      </rPr>
      <t>ahka</t>
    </r>
    <r>
      <rPr>
        <sz val="10"/>
        <color rgb="FF626266"/>
        <rFont val="Arial"/>
        <family val="2"/>
      </rPr>
      <t xml:space="preserve">n </t>
    </r>
    <r>
      <rPr>
        <sz val="10"/>
        <color rgb="FF4B494D"/>
        <rFont val="Arial"/>
        <family val="2"/>
      </rPr>
      <t>sesuai kontek</t>
    </r>
    <r>
      <rPr>
        <sz val="10"/>
        <color rgb="FF626266"/>
        <rFont val="Arial"/>
        <family val="2"/>
      </rPr>
      <t xml:space="preserve">s </t>
    </r>
    <r>
      <rPr>
        <sz val="10"/>
        <color rgb="FF4B494D"/>
        <rFont val="Arial"/>
        <family val="2"/>
      </rPr>
      <t>p</t>
    </r>
    <r>
      <rPr>
        <sz val="10"/>
        <color rgb="FF626266"/>
        <rFont val="Arial"/>
        <family val="2"/>
      </rPr>
      <t>eri</t>
    </r>
    <r>
      <rPr>
        <sz val="10"/>
        <color rgb="FF4B494D"/>
        <rFont val="Arial"/>
        <family val="2"/>
      </rPr>
      <t>st</t>
    </r>
    <r>
      <rPr>
        <sz val="10"/>
        <color rgb="FF26262A"/>
        <rFont val="Arial"/>
        <family val="2"/>
      </rPr>
      <t>i</t>
    </r>
    <r>
      <rPr>
        <sz val="10"/>
        <color rgb="FF626266"/>
        <rFont val="Arial"/>
        <family val="2"/>
      </rPr>
      <t>w</t>
    </r>
    <r>
      <rPr>
        <sz val="10"/>
        <color rgb="FF4B494D"/>
        <rFont val="Arial"/>
        <family val="2"/>
      </rPr>
      <t xml:space="preserve">a </t>
    </r>
    <r>
      <rPr>
        <sz val="10"/>
        <color rgb="FF38383B"/>
        <rFont val="Arial"/>
        <family val="2"/>
      </rPr>
      <t>risi</t>
    </r>
    <r>
      <rPr>
        <sz val="10"/>
        <color rgb="FF626266"/>
        <rFont val="Arial"/>
        <family val="2"/>
      </rPr>
      <t>k</t>
    </r>
    <r>
      <rPr>
        <sz val="10"/>
        <color rgb="FF4B494D"/>
        <rFont val="Arial"/>
        <family val="2"/>
      </rPr>
      <t>o pada satuan keria masi</t>
    </r>
    <r>
      <rPr>
        <sz val="10"/>
        <color rgb="FF626266"/>
        <rFont val="Arial"/>
        <family val="2"/>
      </rPr>
      <t>n</t>
    </r>
    <r>
      <rPr>
        <sz val="10"/>
        <color rgb="FF4B494D"/>
        <rFont val="Arial"/>
        <family val="2"/>
      </rPr>
      <t>q</t>
    </r>
    <r>
      <rPr>
        <sz val="10"/>
        <color rgb="FF000000"/>
        <rFont val="Arial"/>
        <family val="2"/>
      </rPr>
      <t>-</t>
    </r>
    <r>
      <rPr>
        <sz val="10"/>
        <color rgb="FF4B494D"/>
        <rFont val="Arial"/>
        <family val="2"/>
      </rPr>
      <t>masinq</t>
    </r>
    <r>
      <rPr>
        <sz val="10"/>
        <color rgb="FF626266"/>
        <rFont val="Arial"/>
        <family val="2"/>
      </rPr>
      <t>)</t>
    </r>
  </si>
  <si>
    <r>
      <rPr>
        <sz val="10"/>
        <color rgb="FF38383B"/>
        <rFont val="Arial"/>
        <family val="2"/>
      </rPr>
      <t xml:space="preserve">Risiko </t>
    </r>
    <r>
      <rPr>
        <sz val="10"/>
        <color rgb="FF26262A"/>
        <rFont val="Arial"/>
        <family val="2"/>
      </rPr>
      <t>ni</t>
    </r>
    <r>
      <rPr>
        <sz val="10"/>
        <color rgb="FF4B494D"/>
        <rFont val="Arial"/>
        <family val="2"/>
      </rPr>
      <t>aga</t>
    </r>
  </si>
  <si>
    <r>
      <rPr>
        <sz val="10"/>
        <color rgb="FF26262A"/>
        <rFont val="Arial"/>
        <family val="2"/>
      </rPr>
      <t xml:space="preserve">Potensi </t>
    </r>
    <r>
      <rPr>
        <sz val="10"/>
        <color rgb="FF38383B"/>
        <rFont val="Arial"/>
        <family val="2"/>
      </rPr>
      <t>R</t>
    </r>
    <r>
      <rPr>
        <sz val="10"/>
        <color rgb="FF151518"/>
        <rFont val="Arial"/>
        <family val="2"/>
      </rPr>
      <t>i</t>
    </r>
    <r>
      <rPr>
        <sz val="10"/>
        <color rgb="FF38383B"/>
        <rFont val="Arial"/>
        <family val="2"/>
      </rPr>
      <t>siko yang d</t>
    </r>
    <r>
      <rPr>
        <sz val="10"/>
        <color rgb="FF626266"/>
        <rFont val="Arial"/>
        <family val="2"/>
      </rPr>
      <t>i</t>
    </r>
    <r>
      <rPr>
        <sz val="10"/>
        <color rgb="FF26262A"/>
        <rFont val="Arial"/>
        <family val="2"/>
      </rPr>
      <t>timbu</t>
    </r>
    <r>
      <rPr>
        <sz val="10"/>
        <color theme="1"/>
        <rFont val="Arial"/>
        <family val="2"/>
      </rPr>
      <t>l</t>
    </r>
    <r>
      <rPr>
        <sz val="10"/>
        <color rgb="FF38383B"/>
        <rFont val="Arial"/>
        <family val="2"/>
      </rPr>
      <t xml:space="preserve">kan </t>
    </r>
    <r>
      <rPr>
        <sz val="10"/>
        <color rgb="FF4B494D"/>
        <rFont val="Arial"/>
        <family val="2"/>
      </rPr>
      <t>o</t>
    </r>
    <r>
      <rPr>
        <sz val="10"/>
        <color theme="1"/>
        <rFont val="Arial"/>
        <family val="2"/>
      </rPr>
      <t>l</t>
    </r>
    <r>
      <rPr>
        <sz val="10"/>
        <color rgb="FF4B494D"/>
        <rFont val="Arial"/>
        <family val="2"/>
      </rPr>
      <t xml:space="preserve">eh </t>
    </r>
    <r>
      <rPr>
        <sz val="10"/>
        <color rgb="FF38383B"/>
        <rFont val="Arial"/>
        <family val="2"/>
      </rPr>
      <t xml:space="preserve">proses </t>
    </r>
    <r>
      <rPr>
        <sz val="10"/>
        <color rgb="FF4B494D"/>
        <rFont val="Arial"/>
        <family val="2"/>
      </rPr>
      <t>ya</t>
    </r>
    <r>
      <rPr>
        <sz val="10"/>
        <color rgb="FF26262A"/>
        <rFont val="Arial"/>
        <family val="2"/>
      </rPr>
      <t>n</t>
    </r>
    <r>
      <rPr>
        <sz val="10"/>
        <color rgb="FF4B494D"/>
        <rFont val="Arial"/>
        <family val="2"/>
      </rPr>
      <t xml:space="preserve">g </t>
    </r>
    <r>
      <rPr>
        <sz val="10"/>
        <color rgb="FF26262A"/>
        <rFont val="Arial"/>
        <family val="2"/>
      </rPr>
      <t>l</t>
    </r>
    <r>
      <rPr>
        <sz val="10"/>
        <color rgb="FF4B494D"/>
        <rFont val="Arial"/>
        <family val="2"/>
      </rPr>
      <t xml:space="preserve">emah </t>
    </r>
    <r>
      <rPr>
        <vertAlign val="superscript"/>
        <sz val="10"/>
        <color rgb="FF4B494D"/>
        <rFont val="Arial"/>
        <family val="2"/>
      </rPr>
      <t xml:space="preserve">atau  </t>
    </r>
    <r>
      <rPr>
        <sz val="10"/>
        <color rgb="FF4B494D"/>
        <rFont val="Arial"/>
        <family val="2"/>
      </rPr>
      <t>gaga!</t>
    </r>
    <r>
      <rPr>
        <sz val="10"/>
        <color rgb="FF626266"/>
        <rFont val="Arial"/>
        <family val="2"/>
      </rPr>
      <t xml:space="preserve">,  </t>
    </r>
    <r>
      <rPr>
        <vertAlign val="superscript"/>
        <sz val="10"/>
        <color rgb="FF4B494D"/>
        <rFont val="Arial"/>
        <family val="2"/>
      </rPr>
      <t>atau  pe</t>
    </r>
    <r>
      <rPr>
        <vertAlign val="superscript"/>
        <sz val="10"/>
        <color rgb="FF26262A"/>
        <rFont val="Arial"/>
        <family val="2"/>
      </rPr>
      <t>r</t>
    </r>
    <r>
      <rPr>
        <vertAlign val="superscript"/>
        <sz val="10"/>
        <color rgb="FF4B494D"/>
        <rFont val="Arial"/>
        <family val="2"/>
      </rPr>
      <t>ist</t>
    </r>
    <r>
      <rPr>
        <vertAlign val="superscript"/>
        <sz val="10"/>
        <color rgb="FF151518"/>
        <rFont val="Arial"/>
        <family val="2"/>
      </rPr>
      <t>i</t>
    </r>
    <r>
      <rPr>
        <vertAlign val="superscript"/>
        <sz val="10"/>
        <color rgb="FF4B494D"/>
        <rFont val="Arial"/>
        <family val="2"/>
      </rPr>
      <t>wa  ya</t>
    </r>
    <r>
      <rPr>
        <vertAlign val="superscript"/>
        <sz val="10"/>
        <color rgb="FF26262A"/>
        <rFont val="Arial"/>
        <family val="2"/>
      </rPr>
      <t>n</t>
    </r>
    <r>
      <rPr>
        <vertAlign val="superscript"/>
        <sz val="10"/>
        <color rgb="FF4B494D"/>
        <rFont val="Arial"/>
        <family val="2"/>
      </rPr>
      <t>g  menggangg</t>
    </r>
    <r>
      <rPr>
        <vertAlign val="superscript"/>
        <sz val="10"/>
        <color rgb="FF626266"/>
        <rFont val="Arial"/>
        <family val="2"/>
      </rPr>
      <t xml:space="preserve">u   </t>
    </r>
    <r>
      <rPr>
        <vertAlign val="superscript"/>
        <sz val="10"/>
        <color rgb="FF4B494D"/>
        <rFont val="Arial"/>
        <family val="2"/>
      </rPr>
      <t>p</t>
    </r>
    <r>
      <rPr>
        <vertAlign val="superscript"/>
        <sz val="10"/>
        <color rgb="FF626266"/>
        <rFont val="Arial"/>
        <family val="2"/>
      </rPr>
      <t>r</t>
    </r>
    <r>
      <rPr>
        <vertAlign val="superscript"/>
        <sz val="10"/>
        <color rgb="FF4B494D"/>
        <rFont val="Arial"/>
        <family val="2"/>
      </rPr>
      <t>os</t>
    </r>
    <r>
      <rPr>
        <vertAlign val="superscript"/>
        <sz val="10"/>
        <color rgb="FF626266"/>
        <rFont val="Arial"/>
        <family val="2"/>
      </rPr>
      <t>e</t>
    </r>
    <r>
      <rPr>
        <vertAlign val="superscript"/>
        <sz val="10"/>
        <color rgb="FF4B494D"/>
        <rFont val="Arial"/>
        <family val="2"/>
      </rPr>
      <t xml:space="preserve">s </t>
    </r>
    <r>
      <rPr>
        <sz val="10"/>
        <color rgb="FF4B494D"/>
        <rFont val="Arial"/>
        <family val="2"/>
      </rPr>
      <t>perniagaan seca</t>
    </r>
    <r>
      <rPr>
        <sz val="10"/>
        <color rgb="FF26262A"/>
        <rFont val="Arial"/>
        <family val="2"/>
      </rPr>
      <t>r</t>
    </r>
    <r>
      <rPr>
        <sz val="10"/>
        <color rgb="FF4B494D"/>
        <rFont val="Arial"/>
        <family val="2"/>
      </rPr>
      <t>a keselu</t>
    </r>
    <r>
      <rPr>
        <sz val="10"/>
        <color rgb="FF626266"/>
        <rFont val="Arial"/>
        <family val="2"/>
      </rPr>
      <t>r</t>
    </r>
    <r>
      <rPr>
        <sz val="10"/>
        <color rgb="FF4B494D"/>
        <rFont val="Arial"/>
        <family val="2"/>
      </rPr>
      <t>uha</t>
    </r>
    <r>
      <rPr>
        <sz val="10"/>
        <color rgb="FF26262A"/>
        <rFont val="Arial"/>
        <family val="2"/>
      </rPr>
      <t>n</t>
    </r>
  </si>
  <si>
    <r>
      <rPr>
        <sz val="10"/>
        <color rgb="FF4B494D"/>
        <rFont val="Arial"/>
        <family val="2"/>
      </rPr>
      <t xml:space="preserve">a.   </t>
    </r>
    <r>
      <rPr>
        <sz val="10"/>
        <color rgb="FF26262A"/>
        <rFont val="Arial"/>
        <family val="2"/>
      </rPr>
      <t>ln</t>
    </r>
    <r>
      <rPr>
        <sz val="10"/>
        <color rgb="FF4B494D"/>
        <rFont val="Arial"/>
        <family val="2"/>
      </rPr>
      <t>efis</t>
    </r>
    <r>
      <rPr>
        <sz val="10"/>
        <color rgb="FF151518"/>
        <rFont val="Arial"/>
        <family val="2"/>
      </rPr>
      <t>i</t>
    </r>
    <r>
      <rPr>
        <sz val="10"/>
        <color rgb="FF4B494D"/>
        <rFont val="Arial"/>
        <family val="2"/>
      </rPr>
      <t>ens</t>
    </r>
    <r>
      <rPr>
        <sz val="10"/>
        <color rgb="FF000000"/>
        <rFont val="Arial"/>
        <family val="2"/>
      </rPr>
      <t xml:space="preserve">i </t>
    </r>
    <r>
      <rPr>
        <sz val="10"/>
        <color rgb="FF4B494D"/>
        <rFont val="Arial"/>
        <family val="2"/>
      </rPr>
      <t>st</t>
    </r>
    <r>
      <rPr>
        <sz val="10"/>
        <color rgb="FF626266"/>
        <rFont val="Arial"/>
        <family val="2"/>
      </rPr>
      <t>r</t>
    </r>
    <r>
      <rPr>
        <sz val="10"/>
        <color rgb="FF38383B"/>
        <rFont val="Arial"/>
        <family val="2"/>
      </rPr>
      <t xml:space="preserve">ategi </t>
    </r>
    <r>
      <rPr>
        <sz val="10"/>
        <color rgb="FF26262A"/>
        <rFont val="Arial"/>
        <family val="2"/>
      </rPr>
      <t>p</t>
    </r>
    <r>
      <rPr>
        <sz val="10"/>
        <color rgb="FF4B494D"/>
        <rFont val="Arial"/>
        <family val="2"/>
      </rPr>
      <t>enjua</t>
    </r>
    <r>
      <rPr>
        <sz val="10"/>
        <color rgb="FF151518"/>
        <rFont val="Arial"/>
        <family val="2"/>
      </rPr>
      <t>l</t>
    </r>
    <r>
      <rPr>
        <sz val="10"/>
        <color rgb="FF4B494D"/>
        <rFont val="Arial"/>
        <family val="2"/>
      </rPr>
      <t>a</t>
    </r>
    <r>
      <rPr>
        <sz val="10"/>
        <color rgb="FF626266"/>
        <rFont val="Arial"/>
        <family val="2"/>
      </rPr>
      <t xml:space="preserve">n </t>
    </r>
    <r>
      <rPr>
        <sz val="10"/>
        <color rgb="FF38383B"/>
        <rFont val="Arial"/>
        <family val="2"/>
      </rPr>
      <t xml:space="preserve">dan </t>
    </r>
    <r>
      <rPr>
        <sz val="10"/>
        <color rgb="FF4B494D"/>
        <rFont val="Arial"/>
        <family val="2"/>
      </rPr>
      <t>pemasara</t>
    </r>
    <r>
      <rPr>
        <sz val="10"/>
        <color rgb="FF626266"/>
        <rFont val="Arial"/>
        <family val="2"/>
      </rPr>
      <t xml:space="preserve">n
</t>
    </r>
    <r>
      <rPr>
        <sz val="10"/>
        <color rgb="FF38383B"/>
        <rFont val="Arial"/>
        <family val="2"/>
      </rPr>
      <t xml:space="preserve">b.   </t>
    </r>
    <r>
      <rPr>
        <vertAlign val="superscript"/>
        <sz val="10"/>
        <color rgb="FF4B494D"/>
        <rFont val="Arial"/>
        <family val="2"/>
      </rPr>
      <t>Kegag</t>
    </r>
    <r>
      <rPr>
        <vertAlign val="superscript"/>
        <sz val="10"/>
        <color rgb="FF626266"/>
        <rFont val="Arial"/>
        <family val="2"/>
      </rPr>
      <t>a</t>
    </r>
    <r>
      <rPr>
        <vertAlign val="superscript"/>
        <sz val="10"/>
        <color rgb="FF38383B"/>
        <rFont val="Arial"/>
        <family val="2"/>
      </rPr>
      <t xml:space="preserve">lan </t>
    </r>
    <r>
      <rPr>
        <vertAlign val="superscript"/>
        <sz val="10"/>
        <color rgb="FF4B494D"/>
        <rFont val="Arial"/>
        <family val="2"/>
      </rPr>
      <t>diversi</t>
    </r>
    <r>
      <rPr>
        <vertAlign val="superscript"/>
        <sz val="10"/>
        <color rgb="FF626266"/>
        <rFont val="Arial"/>
        <family val="2"/>
      </rPr>
      <t>fi</t>
    </r>
    <r>
      <rPr>
        <vertAlign val="superscript"/>
        <sz val="10"/>
        <color rgb="FF38383B"/>
        <rFont val="Arial"/>
        <family val="2"/>
      </rPr>
      <t>kas</t>
    </r>
    <r>
      <rPr>
        <vertAlign val="superscript"/>
        <sz val="10"/>
        <color rgb="FF626266"/>
        <rFont val="Arial"/>
        <family val="2"/>
      </rPr>
      <t>i porto</t>
    </r>
    <r>
      <rPr>
        <vertAlign val="superscript"/>
        <sz val="10"/>
        <color rgb="FF4B494D"/>
        <rFont val="Arial"/>
        <family val="2"/>
      </rPr>
      <t>fo</t>
    </r>
    <r>
      <rPr>
        <vertAlign val="superscript"/>
        <sz val="10"/>
        <color rgb="FF26262A"/>
        <rFont val="Arial"/>
        <family val="2"/>
      </rPr>
      <t>l</t>
    </r>
    <r>
      <rPr>
        <vertAlign val="superscript"/>
        <sz val="10"/>
        <color rgb="FF4B494D"/>
        <rFont val="Arial"/>
        <family val="2"/>
      </rPr>
      <t xml:space="preserve">io niaga
</t>
    </r>
    <r>
      <rPr>
        <sz val="10"/>
        <color rgb="FF4B494D"/>
        <rFont val="Arial"/>
        <family val="2"/>
      </rPr>
      <t>C</t>
    </r>
    <r>
      <rPr>
        <sz val="10"/>
        <color rgb="FF26262A"/>
        <rFont val="Arial"/>
        <family val="2"/>
      </rPr>
      <t xml:space="preserve">.     </t>
    </r>
    <r>
      <rPr>
        <sz val="10"/>
        <color rgb="FF626266"/>
        <rFont val="Arial"/>
        <family val="2"/>
      </rPr>
      <t>(</t>
    </r>
    <r>
      <rPr>
        <sz val="10"/>
        <color rgb="FF4B494D"/>
        <rFont val="Arial"/>
        <family val="2"/>
      </rPr>
      <t>dapat ditam</t>
    </r>
    <r>
      <rPr>
        <sz val="10"/>
        <color rgb="FF626266"/>
        <rFont val="Arial"/>
        <family val="2"/>
      </rPr>
      <t>b</t>
    </r>
    <r>
      <rPr>
        <sz val="10"/>
        <color rgb="FF4B494D"/>
        <rFont val="Arial"/>
        <family val="2"/>
      </rPr>
      <t>ahka</t>
    </r>
    <r>
      <rPr>
        <sz val="10"/>
        <color rgb="FF626266"/>
        <rFont val="Arial"/>
        <family val="2"/>
      </rPr>
      <t xml:space="preserve">n </t>
    </r>
    <r>
      <rPr>
        <sz val="10"/>
        <color rgb="FF4B494D"/>
        <rFont val="Arial"/>
        <family val="2"/>
      </rPr>
      <t>sesuai kontek</t>
    </r>
    <r>
      <rPr>
        <sz val="10"/>
        <color rgb="FF626266"/>
        <rFont val="Arial"/>
        <family val="2"/>
      </rPr>
      <t xml:space="preserve">s </t>
    </r>
    <r>
      <rPr>
        <sz val="10"/>
        <color rgb="FF4B494D"/>
        <rFont val="Arial"/>
        <family val="2"/>
      </rPr>
      <t>pe</t>
    </r>
    <r>
      <rPr>
        <sz val="10"/>
        <color rgb="FF757479"/>
        <rFont val="Arial"/>
        <family val="2"/>
      </rPr>
      <t>ri</t>
    </r>
    <r>
      <rPr>
        <sz val="10"/>
        <color rgb="FF4B494D"/>
        <rFont val="Arial"/>
        <family val="2"/>
      </rPr>
      <t>s</t>
    </r>
    <r>
      <rPr>
        <sz val="10"/>
        <color rgb="FF626266"/>
        <rFont val="Arial"/>
        <family val="2"/>
      </rPr>
      <t>t</t>
    </r>
    <r>
      <rPr>
        <sz val="10"/>
        <color rgb="FF26262A"/>
        <rFont val="Arial"/>
        <family val="2"/>
      </rPr>
      <t>i</t>
    </r>
    <r>
      <rPr>
        <sz val="10"/>
        <color rgb="FF626266"/>
        <rFont val="Arial"/>
        <family val="2"/>
      </rPr>
      <t>w</t>
    </r>
    <r>
      <rPr>
        <sz val="10"/>
        <color rgb="FF4B494D"/>
        <rFont val="Arial"/>
        <family val="2"/>
      </rPr>
      <t xml:space="preserve">a </t>
    </r>
    <r>
      <rPr>
        <sz val="10"/>
        <color rgb="FF38383B"/>
        <rFont val="Arial"/>
        <family val="2"/>
      </rPr>
      <t>risi</t>
    </r>
    <r>
      <rPr>
        <sz val="10"/>
        <color rgb="FF626266"/>
        <rFont val="Arial"/>
        <family val="2"/>
      </rPr>
      <t>k</t>
    </r>
    <r>
      <rPr>
        <sz val="10"/>
        <color rgb="FF4B494D"/>
        <rFont val="Arial"/>
        <family val="2"/>
      </rPr>
      <t>o pa</t>
    </r>
    <r>
      <rPr>
        <sz val="10"/>
        <color rgb="FF26262A"/>
        <rFont val="Arial"/>
        <family val="2"/>
      </rPr>
      <t>d</t>
    </r>
    <r>
      <rPr>
        <sz val="10"/>
        <color rgb="FF4B494D"/>
        <rFont val="Arial"/>
        <family val="2"/>
      </rPr>
      <t>a sa</t>
    </r>
    <r>
      <rPr>
        <sz val="10"/>
        <color rgb="FF26262A"/>
        <rFont val="Arial"/>
        <family val="2"/>
      </rPr>
      <t>tu</t>
    </r>
    <r>
      <rPr>
        <sz val="10"/>
        <color rgb="FF4B494D"/>
        <rFont val="Arial"/>
        <family val="2"/>
      </rPr>
      <t>an ker</t>
    </r>
    <r>
      <rPr>
        <sz val="10"/>
        <color rgb="FF26262A"/>
        <rFont val="Arial"/>
        <family val="2"/>
      </rPr>
      <t>i</t>
    </r>
    <r>
      <rPr>
        <sz val="10"/>
        <color rgb="FF4B494D"/>
        <rFont val="Arial"/>
        <family val="2"/>
      </rPr>
      <t xml:space="preserve">a </t>
    </r>
    <r>
      <rPr>
        <sz val="10"/>
        <color rgb="FF38383B"/>
        <rFont val="Arial"/>
        <family val="2"/>
      </rPr>
      <t>masi</t>
    </r>
    <r>
      <rPr>
        <sz val="10"/>
        <color rgb="FF626266"/>
        <rFont val="Arial"/>
        <family val="2"/>
      </rPr>
      <t>nq</t>
    </r>
    <r>
      <rPr>
        <sz val="10"/>
        <color rgb="FF000000"/>
        <rFont val="Arial"/>
        <family val="2"/>
      </rPr>
      <t>-</t>
    </r>
    <r>
      <rPr>
        <sz val="10"/>
        <color rgb="FF4B494D"/>
        <rFont val="Arial"/>
        <family val="2"/>
      </rPr>
      <t>mas</t>
    </r>
    <r>
      <rPr>
        <sz val="10"/>
        <color rgb="FF626266"/>
        <rFont val="Arial"/>
        <family val="2"/>
      </rPr>
      <t>in</t>
    </r>
    <r>
      <rPr>
        <sz val="10"/>
        <color rgb="FF38383B"/>
        <rFont val="Arial"/>
        <family val="2"/>
      </rPr>
      <t>g)</t>
    </r>
  </si>
  <si>
    <r>
      <t xml:space="preserve">Jenis </t>
    </r>
    <r>
      <rPr>
        <b/>
        <i/>
        <sz val="8"/>
        <color theme="0"/>
        <rFont val="Arial"/>
        <family val="2"/>
      </rPr>
      <t>Existing Control</t>
    </r>
  </si>
  <si>
    <t>Diisi dengan Taksonomi Risiko yang berlaku pada masing-masing BUMN</t>
  </si>
  <si>
    <t>1. Nomor risiko harus konsisten pada saat pelaporan.
2. Apabila terdapat risiko yang bertambah manak nomornya melanjutkan sesuai dengan urutan terakhir</t>
  </si>
  <si>
    <t>Risiko Operasional (Pembangkitan dan Transmisi)</t>
  </si>
  <si>
    <t>Terjadi pemadaman meluas pada sistem Batam Bintan</t>
  </si>
  <si>
    <t>Terjadinya pemadaman meluas dan atau blackout di sistem kelistrikan batam bintan, yang dapat disebabkan oleh gangguan pembangkit dan transmisi, selain itu juga disebabkan kejadian alam.</t>
  </si>
  <si>
    <t xml:space="preserve">P1. Gangguan Pembangkit PLTGU Tanjung Uncang </t>
  </si>
  <si>
    <t>EAF PLTGU TGU #01 (GT) (+)
EAF PLTGU TGU #02 (GT) (+)
EAF PLTGU TGU #03 (ST) (+)</t>
  </si>
  <si>
    <t>&gt;94%
&gt;94%
&gt;94%</t>
  </si>
  <si>
    <t>&lt;94%
&lt;94%
&lt;94%</t>
  </si>
  <si>
    <t>&lt;92%
&lt;92%
&lt;92%</t>
  </si>
  <si>
    <t xml:space="preserve">'Prosedur Pengoperasian dan Pemeliharaan PLTGU </t>
  </si>
  <si>
    <t>Cukup dan Efektif Sebagian</t>
  </si>
  <si>
    <t>Dampak Kuantitatif</t>
  </si>
  <si>
    <t xml:space="preserve">1. Target SAIDI SAIFI tidak tercapai 
</t>
  </si>
  <si>
    <t>Jan - Des 2024</t>
  </si>
  <si>
    <t>b</t>
  </si>
  <si>
    <t>P2. Gangguan Pembangkit PLTMG Panaran</t>
  </si>
  <si>
    <t xml:space="preserve">Instruksi Kerja Pengoperasian Turbin PLTGU </t>
  </si>
  <si>
    <t>Cukup dan Efektif</t>
  </si>
  <si>
    <t>2. Tidak tercapainya keandalan sistem</t>
  </si>
  <si>
    <t>c</t>
  </si>
  <si>
    <t>P3. Gangguan Gardu Induk</t>
  </si>
  <si>
    <t xml:space="preserve">Prosedur Pengoperasian dan Pemeliharaan Chlorination Plant PLTGU </t>
  </si>
  <si>
    <t>3. Kompensasi TMP</t>
  </si>
  <si>
    <t>d</t>
  </si>
  <si>
    <t>P4. Sistem Proteksi Gardu Induk tidak efektif</t>
  </si>
  <si>
    <t xml:space="preserve">Prosedur Performance Test PLTGU </t>
  </si>
  <si>
    <t>4. Pendapatan menurun</t>
  </si>
  <si>
    <t>e</t>
  </si>
  <si>
    <t>P5. Manajemen Pengelolaan Gardu Induk tidak efektif</t>
  </si>
  <si>
    <t xml:space="preserve">Prosedur Pengoperasian dan Pemeliharaan WTP PLTGU </t>
  </si>
  <si>
    <t>f</t>
  </si>
  <si>
    <t>P6. Overload pada Sistem Transmisi Batam</t>
  </si>
  <si>
    <t>Prosedur Analisa Kerja Dan Laporan Pengusahaan Pembangkit</t>
  </si>
  <si>
    <t>g</t>
  </si>
  <si>
    <t>P7. Gangguan Sistem Transmisi Batam</t>
  </si>
  <si>
    <t xml:space="preserve">EAF PLTMG Panaran #01 
EAF PLTMG Panaran #02 
EAF PLTMG Panaran #03 </t>
  </si>
  <si>
    <t xml:space="preserve">Prosedur Pengoperasian dan Pemeliharaan PLTMG </t>
  </si>
  <si>
    <t>h</t>
  </si>
  <si>
    <t>P8. Defense Scheme tidak berfungsi efektif dan optimal</t>
  </si>
  <si>
    <t xml:space="preserve">Prosedur Pemeliharaan Engine PLTMG, dan Instruksi Kerja Pengoperasian Engine PLTMG </t>
  </si>
  <si>
    <t>i</t>
  </si>
  <si>
    <t>P9. Kompetensi SDM tidak optimal</t>
  </si>
  <si>
    <t xml:space="preserve">Prosedur Performance Test PLTMG Panaran </t>
  </si>
  <si>
    <t>j</t>
  </si>
  <si>
    <t>P10. Performa pembangkit IPP tidak optimal (Force Outage, kordinasi sistem proteksi pembangkit IPP tidak sesuai)</t>
  </si>
  <si>
    <t>TROF (-)</t>
  </si>
  <si>
    <t>Kali/Unit/Tahun</t>
  </si>
  <si>
    <t>&lt;0.80 Kali/Unit/Tahun</t>
  </si>
  <si>
    <t>&gt;0.80 Kali/Unit/Tahun</t>
  </si>
  <si>
    <t>&gt;1.00 Kali/Unit/Tahun</t>
  </si>
  <si>
    <t>Prosedur Pemeliharaan Proteksi dan Meter, dan Prosedur Analisa Kinerja Proteksi dan Meter</t>
  </si>
  <si>
    <t>k</t>
  </si>
  <si>
    <t xml:space="preserve">P11. Kinerja transmisi dan gardu induk di Pulau Bintan </t>
  </si>
  <si>
    <t>TROD (-)</t>
  </si>
  <si>
    <t>Jam/Unit/Tahun</t>
  </si>
  <si>
    <t>Prosedur Pengoperasian dan Pemeliharaan PLTMG</t>
  </si>
  <si>
    <t>l</t>
  </si>
  <si>
    <t>P12. Gangguan pasokan gas (penurunan pressure gas secara signifikan dengan tiba-tiba)</t>
  </si>
  <si>
    <t>P5. Overload pada Sistem Transmisi Batam</t>
  </si>
  <si>
    <t>P6. Gangguan Sistem Transmisi Batam</t>
  </si>
  <si>
    <t>TLOF (-)</t>
  </si>
  <si>
    <t>Kali/100 kms/Tahun</t>
  </si>
  <si>
    <t>&lt;4 Kali/100 kms/Tahun</t>
  </si>
  <si>
    <t>&gt;4 Kali/100 kms/Tahun</t>
  </si>
  <si>
    <t>&gt;8 Kali/100 kms/Tahun</t>
  </si>
  <si>
    <t>TLOD (-)</t>
  </si>
  <si>
    <t>Jam/100 kms/Tahun</t>
  </si>
  <si>
    <t>&lt;2 Jam/100 kms/Tahun</t>
  </si>
  <si>
    <t>&gt;2 Jam/100 kms/Tahun</t>
  </si>
  <si>
    <t>&gt;4 Jam/100 kms/Tahun</t>
  </si>
  <si>
    <t>P7. Defense Scheme tidak berfungsi efektif dan optimal</t>
  </si>
  <si>
    <t>P8. Kompetensi SDM tidak optimal</t>
  </si>
  <si>
    <t>P9. Performa pembangkit IPP tidak optimal (Force Outage, kordinasi sistem proteksi pembangkit IPP tidak sesuai)</t>
  </si>
  <si>
    <t xml:space="preserve">P10. Kinerja transmisi dan gardu induk di Pulau Bintan </t>
  </si>
  <si>
    <t>P11. Gangguan pasokan gas (penurunan pressure gas secara signifikan dengan tiba-tiba)</t>
  </si>
  <si>
    <t>Terjadinya Defisit Daya pada Sistem Kelistrikan Batam-Bintan</t>
  </si>
  <si>
    <t>Operasional dan jaringan distribusi tidak berfungsi optimal</t>
  </si>
  <si>
    <t>Ketersediaan material utama (MTU dan MDU) tidak memenuhi kebutuhan operasional &amp; pemeliharaan transmisi dan distribusi, serta pemasaran</t>
  </si>
  <si>
    <t>AI</t>
  </si>
  <si>
    <t>AO</t>
  </si>
  <si>
    <t>HAR</t>
  </si>
  <si>
    <t>ADM</t>
  </si>
  <si>
    <r>
      <t xml:space="preserve">Diisi dengan pilihan jenis rencana perlakuan risiko:
- Peningkatan Kecukupan Desain Control
- Peningkatan Efektivitas Pelaksanaan Control
- Perbaikan Melalui </t>
    </r>
    <r>
      <rPr>
        <i/>
        <sz val="8"/>
        <color theme="1"/>
        <rFont val="Arial"/>
        <family val="2"/>
      </rPr>
      <t xml:space="preserve">Breakthrough Project
- </t>
    </r>
    <r>
      <rPr>
        <sz val="8"/>
        <color theme="1"/>
        <rFont val="Arial"/>
        <family val="2"/>
      </rPr>
      <t xml:space="preserve">Lainnya
</t>
    </r>
  </si>
  <si>
    <r>
      <t>1. Setiap perlakuan risiko di-</t>
    </r>
    <r>
      <rPr>
        <i/>
        <sz val="8"/>
        <color theme="1"/>
        <rFont val="Arial"/>
        <family val="2"/>
      </rPr>
      <t xml:space="preserve">break down </t>
    </r>
    <r>
      <rPr>
        <sz val="8"/>
        <color theme="1"/>
        <rFont val="Arial"/>
        <family val="2"/>
      </rPr>
      <t>dalam aktivitas-aktivitas yang lebih detail
2. [rule] Setiap unique ID penyebab risiko memiliki minimal 1 perlakuan risiko</t>
    </r>
  </si>
  <si>
    <t>Peningkatan Efektivitas Pelaksanaan Kontrol</t>
  </si>
  <si>
    <t>1. Meningkatkan keandalan PLTGU dalam sistem kelistrikan Batam-Bintan :</t>
  </si>
  <si>
    <t>a. Melanjutkan Pengadaan suku cadang HGPI GT#2 (emergency finding parts) (P1)</t>
  </si>
  <si>
    <t>Tersedianya material suku cadang dan terlaksananya pemeliharaan PLTGU Tg Uncang tepat waktu</t>
  </si>
  <si>
    <t>SM UBKITRANS</t>
  </si>
  <si>
    <t>b. Melaksanakan Level C Inspection GT#1 PLTGU Tanjung Uncang  (P1)</t>
  </si>
  <si>
    <t>Terlaksananya mayor overhaul 50K STG Tg Uncang</t>
  </si>
  <si>
    <t>c. Melaksanakan Level C Inspection GT#2 PLTGU Tanjung Uncang  (P1)</t>
  </si>
  <si>
    <t xml:space="preserve">Tersedianya cadangan blower ventilation PLTGU Tg Uncang </t>
  </si>
  <si>
    <t>d. Melaksanakan Major Overhaul 50K STG PLTGU Tanjung Uncang   (P1</t>
  </si>
  <si>
    <t>Terlaksananya pemeliharaan terencana preventive dan corrective PLTGU Tg Uncang 2024</t>
  </si>
  <si>
    <t>2. Meningkatkan keandalan PLTMG Panaran dalam sistem kelistrikan Batam-Bintan :</t>
  </si>
  <si>
    <t xml:space="preserve">Meningkatkan keandalan PLTMG Panaran dalam sistem kelistrikan Batam-Bintan Pemeliharaan 60K Engine#1 dan Engine#3 PLTMG Panaran (P2)
</t>
  </si>
  <si>
    <t>Terlaksanakan pemeliharaan 60 K Engine #1 &amp; #3 PLTMG Panaran</t>
  </si>
  <si>
    <t xml:space="preserve">Meningkatkan keandalan PLTMG Panaran dalam sistem kelistrikan Batam-Bintan Pemeliharaan 60K Engine#2 PLTMG Panaran
</t>
  </si>
  <si>
    <t>Terlaksanakan pemeliharaan 60 K Engine #2 PLTMG Panaran</t>
  </si>
  <si>
    <t>3. Meningkatkan keandalan Gardu Induk dalam sistem Batam-Bintan :</t>
  </si>
  <si>
    <t>a. Melanjutkan Pengadaan &amp; Pemasangan Kubikel 20 kV GI Tersebar 2023 sampai 2025   (P3)</t>
  </si>
  <si>
    <t>b. Melaksanakan Upgrade Kubikel 20 kV GI Baloi Air Insulated ke Fully Insulated (19 Kubikel)   (P3)</t>
  </si>
  <si>
    <t>c. Melanjutkan Pengadaan dan Penggantian Peralatan Serandang GI 150 kV rusak tahun 2023 sampai 2025   (P3)</t>
  </si>
  <si>
    <t>d. Melanjutkan Pengadaan KWH Meter   (P3)</t>
  </si>
  <si>
    <t>e. Melanjutkan Pembangunan Bay Trafo 3 x 60 MVA Batam Tersebar, Tahap 1 dan Tahap 2 tahun 2023 sampai 2025   (P3)</t>
  </si>
  <si>
    <t>VP REN</t>
  </si>
  <si>
    <t>f. Melanjutkan Pembangunan Bay Trafo 2 GI Panaran, Relokasi Trafo dan MTU Dari GI Sengkuang Ke GI Panaran   (P3)</t>
  </si>
  <si>
    <t>g. Melakukan Pengadaan dan Pemasangan Charger dan Baterai 110 VDC GI 2024   (P3)</t>
  </si>
  <si>
    <t>4. Meningkatkan keandalan Sistem Proteksi Gardu Induk dalam sistem Batam-Bintan :</t>
  </si>
  <si>
    <t>a. Melanjutkan Pengadaan dan Pemasangan Charger dan Baterai 110 VDC GI 2023   (P4)</t>
  </si>
  <si>
    <t>b. Melanjutkan Optimalisasi Relai dan Meter 150 kV 2023   (P4)</t>
  </si>
  <si>
    <t>c. Melanjutkan Optimalisasi Sistem Proteksi 20 kV Gardu Induk  (P4)</t>
  </si>
  <si>
    <t>d. Melanjutkan Optimalisasi Relai Defense Scheme Sistem Batam   (P4)</t>
  </si>
  <si>
    <t>e. Mengganti Relay Proteksi 150 KV dan Meter 20 KV 2024-2025 (P4)</t>
  </si>
  <si>
    <t>f. Mengganti Relai AVR utk GI Tanpa Operator (Kasam, Sengkuang, Harapan   (P4)</t>
  </si>
  <si>
    <t>g. Melakukan Pengadaan alat uji sekunder 3 phasa   (P4)</t>
  </si>
  <si>
    <t>h. Melakukan Optimalisasi DFR 150 KV Terserbar 2024-2025   (P4)</t>
  </si>
  <si>
    <t>i. Implementasi Adaptif Defense Scheme 2024-2025  (P4)</t>
  </si>
  <si>
    <t>j. Melanjutkan Pengembangan Remote Station Gardu Distribusi di lokasi 70 Gardu Distribusi Tersebar  (P4)</t>
  </si>
  <si>
    <t>5. Meningkatkan efektifitas manajemen Gardu Induk :</t>
  </si>
  <si>
    <t>a. Melakukan Pengembangan smart monitoring GI, Pengadaan dan Pemasangan CCTV Gardu Induk dan Pembangkit serta update NVR  (P5)</t>
  </si>
  <si>
    <t>6. Meningkatkan efektifitas manajemen Gardu Induk :</t>
  </si>
  <si>
    <t>a. Melanjutkan Pengadaan Transmisi 150 kV GI Batu Besar - GI Nongsa   (P6)</t>
  </si>
  <si>
    <t>b. Melakukan Pembangunan SUTT Tj Uncang - Phi Con Sagulung - Harapan  (P6)</t>
  </si>
  <si>
    <t>c. Melakukan Pembangunan SUTT Nongsa-Nongsa Digital Park  (P6)</t>
  </si>
  <si>
    <t>d. Melakukan Pembangunan Double Phi Connection Batu Besar-Kabil- Tanjung Kasam  (P6)</t>
  </si>
  <si>
    <t>7. Memperkuat keandalan Sistem Transmisi Batam :</t>
  </si>
  <si>
    <t>a. Melanjutkan Reroute/Penguatan Tapak Tower Transmisi Tersebar (Sagulung - Panaran T38 s/d T47)   (P7)</t>
  </si>
  <si>
    <t>b. Melaksanakan pengadaan &amp; penggantian Material Transmisi Utama 150kV Serandang GI 2024  (P7)</t>
  </si>
  <si>
    <t>8. Memperkuat efektifitas Manajemen Sistem Operasi Batam-Bintan :</t>
  </si>
  <si>
    <t>a. Melakukan Integrasi AGC (Automatic Generation Control) Penggantian Remote Station Pembangkit dan Penggantian Fasilitas Operasi Sistem (Redesign BCC)   (P7)</t>
  </si>
  <si>
    <t>b. Melakukan Pengadaan Software untuk Aplikasi Manajemen Energi &amp; Aplikasi Analisa Operasi Sistem Realtime (Digsilent)   (P7)</t>
  </si>
  <si>
    <t>9. Evaluasi Difense Scheme</t>
  </si>
  <si>
    <t>a. Melakukan evaluasi dengan melakukan review dan update Defense Scheme, dan melakukan pengujian atas Defense Scheme beserta peralatan pendukungnya secara berkala (triwulanan/semester)  (P8)</t>
  </si>
  <si>
    <t>10. Meningkatkan kompetensi SDM yang terkait dengan O&amp;M pembangkit, transmisi, GI dan proteksi</t>
  </si>
  <si>
    <t>a. Memberikan pelatihan dan sertifikasi yang diperlukan kepada SDM yang terkait dengan O&amp;M pembangkit, transmisi, GI dan proteksi (P9)</t>
  </si>
  <si>
    <t>11. Komunikasi dan koordinasi rutin dengan IPP</t>
  </si>
  <si>
    <t>a. Komunikasi dan koordinasi rutin dengan IPP melalui Rapat mingguan terkait kinerja IPP (P10)</t>
  </si>
  <si>
    <t>b. Koordinasi pelaksanaan pemeliharaan pembangkit dan perbaikan gangguan pembangkit (P10)</t>
  </si>
  <si>
    <t>c. Evaluasi dan monitoring penyelesaian pekerjaan pemeliharaan dan perbaikan gangguan (P10)</t>
  </si>
  <si>
    <t>d. Assesment bersama pengujian black start dan uji fungsi relay proteksi (P10)</t>
  </si>
  <si>
    <t>e. Koordinasi dalam pelaksanaa pengujian rutin island operation dan line charging (P10)</t>
  </si>
  <si>
    <t>12. Komunikasi dan koordinasi rutin dengan PLN RKR Tanjungpinang</t>
  </si>
  <si>
    <t>a. Komunikasi dan koordinasi rutin dengan PLN RKR Tanjungpinang melalui Rapat mingguan terkait transmisi dan gardu induk di Pulau Bintan (P11)</t>
  </si>
  <si>
    <t>13. Koordinasi keandalan pasokan gas dengan pihak sumur, TGI dan PGN</t>
  </si>
  <si>
    <t>a. Melakukan koordinasi keandalan pasokan gas dengan pihak sumur, TGI dan PGN secara rutin (P12)</t>
  </si>
  <si>
    <t>14. Komunikasi dan koordinasi rutin dengan peserta stakeholder gas</t>
  </si>
  <si>
    <t>a. Mengikuti pertemuan rutin dengan peserta stakeholder gas (SKK Migas, pihak sumur, transporter dan pengguna gas) melalui Coordination Meeting (GCM) Sumatera bagian tengah (Sumbagteng) (PIC: SM UBKITTRAN, VP OPS) (P12)</t>
  </si>
  <si>
    <t>P1. Kapasitas Pembangkitan tidak mencukupi pertumbuhan kelistrikan di sistem Batam - Bintan</t>
  </si>
  <si>
    <t>1. Menambah kapasitas pembangkitan dalam sistem kelistrikan Batam-Bintan</t>
  </si>
  <si>
    <t>a. Melanjutkan FS PLTGU 120 MW Dan AMDAL (PIC: VP REN) (Juni 2024 - Des 2024) (P1)</t>
  </si>
  <si>
    <t>b. Melaksanakan pengadaan EPC PLTGU 120 MW (PIC: VP REN) (Juni 2024 - Jun 2026) (P1)</t>
  </si>
  <si>
    <t>c. Melakukan pembangunan EPC Pembangkit PLTGU 180 MW &amp; Evakuasi Daya (PIC: VP REN) (Jan 2025 - Des 2027) (P1)</t>
  </si>
  <si>
    <t>d. Melanjutkan Pembangunan EPC Pembangkit PLTMG Batam 50 MW (P1)</t>
  </si>
  <si>
    <t>P2. Perencanaan kapasitas pembangkitan tidak akurat</t>
  </si>
  <si>
    <t>2. Melakukan Perencanaan yang komprehensif</t>
  </si>
  <si>
    <t>a. Melakukan perencanaan pembangkitan untuk kebutuhan sistem Batam-Bintan dengan melibatkan semua pihak terkait dengan mempertimbangkan growth rate, load factor, dan sebagainya, dengan target reserve margin 30% (P2)</t>
  </si>
  <si>
    <t>P3. Keterlambatan pembangunan pembangkit baru</t>
  </si>
  <si>
    <t>3. Melakukan koordinasi rutin terkait progress pembangunan pembangkit</t>
  </si>
  <si>
    <t>a. Melakukan koordinasi rutin untuk memastikan Pembangkit baru baik milik PLN Batam maupun IPP, realisasi COD sesuai dengan waktu yang ada di kontrak EPC atau PJBTL (P3)</t>
  </si>
  <si>
    <t>P4. Keluarnya pembangkit dari sistem Batam - Bintan tidak sesuai dengan rencana</t>
  </si>
  <si>
    <t>4. Memastikan realisasi jadwal pemeliharaan pembangkit PLN Batam sesuai dengan rencana yang sudah disepakati dalam ROT atau ROB</t>
  </si>
  <si>
    <t>a. Memastikan realisasi jadwal pemeliharaan pembangkit PLN Batam sesuai dengan rencana yang sudah disepakati dalam ROT atau ROB (P4)</t>
  </si>
  <si>
    <t>P5. Terjadi gangguan pembangkit IPP bersamaan dengan periode pemeliharaan pembangkit lainnya.</t>
  </si>
  <si>
    <t>5. Komunikasi dan koordinasi rutin dengan IPP</t>
  </si>
  <si>
    <t>a. Komunikasi dan koordinasi rutin dengan IPP melalui Rapat mingguan terkait kinerja IPP (P5)</t>
  </si>
  <si>
    <t>P6. Perencanaan pengembangan pembangkitan sistem Batam – Bintan tidak sesuai dengan pertumbuhan beban (realisasi pemasaran melebihi kapasitas pembangkitan yang tersedia)</t>
  </si>
  <si>
    <t>6. Memastikan penambahan pelanggan baru sesuai dengan ketersediaan cadangan daya Sistem Batam - Bintan</t>
  </si>
  <si>
    <t>a. Melakukan koordinasi lintas bidang terkait penambahan pelanggan baru yang disesuaikan dengan ketersediaan cadangan daya Sistem Batam - Bintan  (P6)</t>
  </si>
  <si>
    <t>P7. Gangguan pasokan gas (penurunan pressure gas secara signifikan dengan tiba-tiba)"</t>
  </si>
  <si>
    <t>7. Koordinasi keandalan pasokan gas dengan pihak sumur, TGI dan PGN</t>
  </si>
  <si>
    <t>a. Melakukan koordinasi keandalan pasokan gas dengan pihak sumur, TGI dan PGN secara rutin (P7)</t>
  </si>
  <si>
    <t>8. Komunikasi dan koordinasi rutin dengan peserta stakeholder gas</t>
  </si>
  <si>
    <t>b. Mengikuti pertemuan rutin dengan peserta stakeholder gas (SKK Migas, pihak sumur, transporter dan pengguna gas) melalui Coordination Meeting (GCM) Sumatera bagian tengah (Sumbagteng) (PIC: SM UBKITTRAN, VP OPS) (P7)</t>
  </si>
  <si>
    <t>P1. Jaringan Distribusi Jaringan Tegangan Menengah (JTM) tidak berfungsi optimal</t>
  </si>
  <si>
    <t>Meningkatkan Mutu dan Keandalan (MUDAL) Jaringan Tegangan Menengah (JTM) (P1):</t>
  </si>
  <si>
    <t>Melakukan program Pecah Beban Feeder BAKAU (P1) SM UBDISYAN</t>
  </si>
  <si>
    <t>Melakukan program Pecah Beban Feeder VIOLET (P1) SM UBDISYAN</t>
  </si>
  <si>
    <t>Melakukan program Pecah Beban Feeder ROSELLA (P1) SM UBDISYAN</t>
  </si>
  <si>
    <t>Melakukan program Pecah Beban Feeder NONG ISA  (P1) SM UBDISYAN</t>
  </si>
  <si>
    <t>Melakukan program Pecah Beban Feeder GARUDA (P1) SM UBDISYAN</t>
  </si>
  <si>
    <t>Melakukan program Pecah Beban Feeder ELANG  (P1) SM UBDISYAN</t>
  </si>
  <si>
    <t>Melakukan program Pecah Beban Feeder SEDAP MALAM  (P1) SM UBDISYAN</t>
  </si>
  <si>
    <t>Melakukan program Pecah Beban Feeder DAHLIA  (P1) SM UBDISYAN</t>
  </si>
  <si>
    <t>Melakukan program Pecah Beban Feeder KELINCI/ZEBRA  (P1) SM UBDISYAN</t>
  </si>
  <si>
    <t>Melakukan program Pecah Beban Feeder AKASIA (P1) SM UBDISYAN</t>
  </si>
  <si>
    <t>Melakukan program Pecah Beban Feeder LUMBA-LUMBA (P1) SM UBDISYAN</t>
  </si>
  <si>
    <t>P2. Jaringan Distribusi Jaringan Tegangan Menengah &amp; Tegangan Rendah (JTM &amp; JTR) tidak berfungsi optimal</t>
  </si>
  <si>
    <t>Meningkatkan Keandalan Jaringan Tegangan Menegah &amp; Tegangan Rendah (JTM &amp; JTR) untuk mengurangi SAIDI (P2, P4, P5, P6, P7):</t>
  </si>
  <si>
    <t>Melanjutkan Program SAIDI 2023 (P2) SM UBDISYAN</t>
  </si>
  <si>
    <t>Program SAIDI - Pemasangan Recloser 2024-2025 (P2) SM UBDISYAN</t>
  </si>
  <si>
    <t>Program SAIDI - Upgrade Kubikel LBS menjadi CB di GT Existing (Keypoint) 2024-2025 (P2) SM UBDISYAN</t>
  </si>
  <si>
    <t>Program SAIDI - Upgrade Kubikel GH (Pemasangan Kubikel Coupler) 2024-2025 (P2) SM UBDISYAN</t>
  </si>
  <si>
    <t>Program SAIDI - Pemasangan GD Kios untuk GD Portal 2024-2025 (P2) SM UBDISYAN</t>
  </si>
  <si>
    <t>Meningkatkan Keandalan Jaringan Tegangan Menengah &amp; Tegangan Rendah (JTM &amp; JTR) untuk mengurangi SAIFI (P2, P4, P5, P6, P7):</t>
  </si>
  <si>
    <t>Melanjutkan Program SAIFI 2023 (P2) SM UBDISYAN</t>
  </si>
  <si>
    <t>Program SAIFI - Upgrade Kubikel Air Insulated / VM6-MG &amp; Siemens RMU / Gas habis / Macet 2024-2025 (P2) SM UBDISYAN</t>
  </si>
  <si>
    <t>Program SAIFI - Upgrade Arester &amp; FCO/Arester dan Pemasangan grounding pentanahan pada Gardu Portal 2024-2025 (P2) SM UBDISYAN</t>
  </si>
  <si>
    <t>Program SAIFI - Upgrade SUTM Menjadi SKTM 2024-2025  (P2) SM UBDISYAN</t>
  </si>
  <si>
    <t>Program SAIFI - Upgrade Jaringan Distribusi (rekonduktor tegangan drop, pecah beban jurusan, upgrade JTR dan SR Berderet) 2024-2025 (P2) SM UBDISYAN</t>
  </si>
  <si>
    <t>Program SAIFI - Upgrade &amp; Sisip Trafo Distribusi akibat beban Overload (P2) SM UBDISYAN</t>
  </si>
  <si>
    <t>Program SAIFI - Penataan Utilitas sehubungan dengan pembangunan dan pelebaran jalan di kota Batam (P2) SM UBDISYAN</t>
  </si>
  <si>
    <t>P3. Master Station tidak berfungsi optimal</t>
  </si>
  <si>
    <t>Progam optimalisasi Master Station</t>
  </si>
  <si>
    <t>Melakukan Kajian Penggantian Master Station (P3) SM KITRANS</t>
  </si>
  <si>
    <t>Mengganti Master Station berbasis EMS, DMS dan DTS (Dispatcher Training Simulator)  (P3) SM KITRANS</t>
  </si>
  <si>
    <t>Melakukan Penggantian Kubikel Motorized (P3) SM UBDISYAN</t>
  </si>
  <si>
    <t>Melakukan Penarikan Jalur Komunikasi FO (P3) SM UBDISYAN</t>
  </si>
  <si>
    <t>Meningkatkan monitoring Jaringan Distribusi dan menindaklanjuti hasil monitoring</t>
  </si>
  <si>
    <t>Melakukan Inspeksi dan pemeliharaan jaringan distribusi secara komprehensif dan perabasan pohon di sekitar ROW SUTM (P4) SM UBDISYAN</t>
  </si>
  <si>
    <t>Melakukan Inspeksi gardu secara komprehensif (tier 1, tier 2 dan tier 3) untuk rencana pemeliharaan atau usulan peremajaan (P4) SM UBDISYAN</t>
  </si>
  <si>
    <t>Melakukan Inspeksi rutin untuk rencana peremajaan relay proteksi distribusi (P4) SM UBDISYAN</t>
  </si>
  <si>
    <t>Berkoordinasi dengan pihak-pihak terkait untuk lokasi prioritas pecah beban penyulang atau penambahan GH  (P4) SM UBDISYAN</t>
  </si>
  <si>
    <t>SM UBKITTRAN""</t>
  </si>
  <si>
    <t>Melakukan Inspeksi rutin dan pemeliharaan Jaringan Distribusi 20 kV yang masih Radial  (P4) SM UBDISYAN</t>
  </si>
  <si>
    <t>Melakukan pembatasan penambahan beban pada feeder yang overload (P4) SM UBDISYAN</t>
  </si>
  <si>
    <t>P1. Perencanaan kebutuhan MTU tidak akurat</t>
  </si>
  <si>
    <t>1. Memetakan dan mengevaluasi gap proyeksi pertumbuhan pelanggan dengan realisasi.</t>
  </si>
  <si>
    <t>Koordinasi bulanan proyeksi pertumbuhan pelanggan dengan salah satu output apakah diperlukan penyesuaian kebutuhan material. (P1) VP AGA</t>
  </si>
  <si>
    <t>P2. Perencanaan kebutuhan MDU tidak akurat</t>
  </si>
  <si>
    <t>2. Memetakan dan mengevaluasi gap proyeksi pertumbuhan pelanggan dengan realisasi.</t>
  </si>
  <si>
    <t>Koordinasi bulanan proyeksi pertumbuhan pelanggan dengan salah satu output apakah diperlukan penyesuaian kebutuhan material. (P2) VP AGA</t>
  </si>
  <si>
    <t>Usulan pembuatan aplikasi online monitoring kebutuhan material dan stock gudang. (P2) SM UBDISYAN</t>
  </si>
  <si>
    <t>Pembuatan aplikasi online monitoring kebutuhan material dan stock gudang. (P2) SM INFRA</t>
  </si>
  <si>
    <t>P3. Penyesuaian anggaran investasi untuk penyediaan MTU dan MDU memerlukan waktu proses kurang lebih 1-3 bulan.</t>
  </si>
  <si>
    <t xml:space="preserve">3. Mempercepat proses perencanaan dan pengajuan anggaran penyediaan MTU dan MDU </t>
  </si>
  <si>
    <t>Memastikan pelaksanaan pengadaan untuk kebutuhan MTU dan MDU sudah dilakukan sebelum tahun berjalan. (P3) VP STRADA</t>
  </si>
  <si>
    <t>Mengajukan proses penyesuaian anggaran investasi secara terjadwal selambatnya di bulan April dan Juli sesuai hasil koordinasi terkait proyeksi pertumbuhan pelanggan. (P3) VP KEU</t>
  </si>
  <si>
    <t>P4. Terjadinya tender gagal untuk pengadaan MTU dan MDU</t>
  </si>
  <si>
    <t>4. HPS disusun berdasarkan referensi KHS PLN Pusat</t>
  </si>
  <si>
    <t>Menyusun HPS berdasarkan referensi harga pasar dan KHS PLN Pusat. (P4) VP STRADA</t>
  </si>
  <si>
    <t xml:space="preserve">5. Mengikuti pengadaan KHS MTU/MDU terpusat dan JPROC di unit PLN lain </t>
  </si>
  <si>
    <t>- Komunikasi dengan PLN Pusat terkait informasi jadwal pengadaan MDU (P5) VP STRADA</t>
  </si>
  <si>
    <t>Pengadaan MTU dan MDU dengan skema unit price dengan mengatur schedule pengiriman sesuai proyeksi kebutuhan.</t>
  </si>
  <si>
    <t>Melakukan tender pengadaan MTU dan MDU dengan skema unit price serta mengatur schedule pengiriman sesuai proyeksi kebutuhan. (P5) VP STRADA</t>
  </si>
  <si>
    <t>6. Perencanaan kebutuhan MDU dan MTU lebih matang dan akurat.</t>
  </si>
  <si>
    <t>- Menyusun schedule penyerapan material berdasarkan hasil koordinasi bulanan. (P6) SM UBDISYAN</t>
  </si>
  <si>
    <t>- Penyediaan MTU dan MDU oleh multi suplier.</t>
  </si>
  <si>
    <t>- Melakukan tender KHS MTU dan MDU dengan pemenang lebih dari 1 untuk masing-masing item MTU dan MDU. (P6) VP STRADA</t>
  </si>
  <si>
    <t>P1. Konsumsi Gas pembangkit tidak efisien</t>
  </si>
  <si>
    <t>1. Menjaga tingkat NPHR PLN Batam yang dipengaruhi oleh 83% ST PLTGU TJ Uncang, 15% PLTMG Panaran dan 2% PLTD</t>
  </si>
  <si>
    <t>P2. Manajemen energi tidak optimal</t>
  </si>
  <si>
    <t>a.Menjaga kehandalan Unit Steam Turbin PLTGU Tanjung Uncang (P1) SM UBKITTRAN</t>
  </si>
  <si>
    <t>P3. Konsumsi Batubara pembangkit tidak efisien</t>
  </si>
  <si>
    <t>b.Menjaga Performance HRSG PLTGU Tanjung Uncang (P1) SM UBKITTRAN</t>
  </si>
  <si>
    <t>c.Menjaga Performance Vacuum Kondensor  (P1) SM UBKITTRAN</t>
  </si>
  <si>
    <t>d.Melakukan RCFA terjadinya back pressure yg menyebabkan LP steam tdk dapat beroperasi masuk ke Steam Turbin (P1) SM UBKITTRAN</t>
  </si>
  <si>
    <t>e.Rutin melakukan kalibrasi EVC (Electrical Volume Corrector)  pada sistem supply Gas untuk Gas Turbin (P1) SM UBKITTRAN</t>
  </si>
  <si>
    <t>f.Optimasi kecukupan pasokan Gas dari penyaluran berbasis multidestinasi  (P1) SM UBKITTRAN</t>
  </si>
  <si>
    <t>g.VP REN""</t>
  </si>
  <si>
    <t>2. Mengelola Manajemen energi secara optimal</t>
  </si>
  <si>
    <t>a.Mengatur jadwal pemeliharaan untuk menjaga kecukupan daya sehingga dapat menekan pengoperasian pembangkit mahal seperti PLTD &amp; PLTG  (P2) SM UBKITTRAN</t>
  </si>
  <si>
    <t>b.VP OPS""</t>
  </si>
  <si>
    <t>c.Mengoperasikan pembangkit dalam sistem Batam dengan mengikuti pola merit order berdasarkan economy dispatch (P2) SM UBKITTRAN</t>
  </si>
  <si>
    <t>d.Melakukan evaluasi downtime pembangkit dalam Rapat Koordinasi Operasi Sistem Rutin Bulanan (P2) SM UBKITTRAN</t>
  </si>
  <si>
    <t>e.Program penambahan kapasitas pembangkit yang lebih efiesien (terpenuhinya N-2) untuk menekan pengoperasian pembangkit peaker (PLTD &amp; PLTG) seiring pertumbuhan demand kelistrikan (P2) VP REN</t>
  </si>
  <si>
    <t>3Antisipasi naiknya nilai tukar USD terhadap IDR melebihi target RKAP</t>
  </si>
  <si>
    <t>a.Membeli USD secara bertahap dengan momentum yang tepat untuk mengantisipasi fluktuasi nilai kurs Rupiah terhadap USD  (P3) VP KEU</t>
  </si>
  <si>
    <t>b.Melakukan hedging USD dengan berkoordinasi kepada PLN Pusat (P3) VP KEU</t>
  </si>
  <si>
    <t>4Antisipasi naiknya harga BBM sebagai komponen utama transportasi</t>
  </si>
  <si>
    <t>a.Mengoptimalkan porsi supply Batu Bara dari Sumatera (pertimbangan jarak  &amp; biaya transportasi) dengan tetap mempertimbangkan kualitas BB (P4) VP OPS</t>
  </si>
  <si>
    <t xml:space="preserve">P1. PJBG Petrochina berakhir pada April 2024 </t>
  </si>
  <si>
    <t>1. Antisipasi kekurangan pasaokan gas akibat PJBG Petrochina yang akan berakhir pada April 2024</t>
  </si>
  <si>
    <t>a. Melakukan negosiasi perpanjangan Kontrak PJBG Petrochina (P1) VP REN</t>
  </si>
  <si>
    <t>b. Melakukan negosiasi penambahan voleme kontrak PJBG eksisting (PGN, ELB)  (P1) VP REN</t>
  </si>
  <si>
    <t>c. Memastikan kontrak pasokan gas baru dengan Jadestone di April 2024  (P1) VP REN</t>
  </si>
  <si>
    <t>d. Mencari tambahan pasokan gas baru dari produsen gas lainnya (P1) VP REN</t>
  </si>
  <si>
    <t>P2. Keterlambatan penerbitan SBLC (Jaminan pembayaran) gas</t>
  </si>
  <si>
    <t>2. Memastikan penerbitan SBLC (Jaminan pembayaran) gas terbit sesuai jadwal</t>
  </si>
  <si>
    <t>a. Melakukan monitoring dan meminta kepada produsen gas agar dapat memberitahukan ke PLN Batam lebih awal (3 bulan sebelum expired date) perihal penerbitan SBLC, mengingat proses penerbitan SBLC memerlukan proses yang panjang ke PLN Persero (P2) VP KEU</t>
  </si>
  <si>
    <t>P3. Volume gas pada PJBG PGN Multi destinasi Amandemen IX tidak mencukupi</t>
  </si>
  <si>
    <t>3. Melakukan novasi kontrak PJBG PGN Multi Destinasi kepada PLN EPI untuk mengalihkan risiko kurang pasok gas, dimana PLN EPI memiliki alokasi gas dari Pemerintah untuk pembangkit di Jawa dan Sumatera</t>
  </si>
  <si>
    <t>a. Melakukan negosiasi agar volume pada PJBG PGN Multi Destinasi Amandemen IX tersedia dengan menggunakan harga HGBT (KEPMEN ESDM) (P3) VP REN</t>
  </si>
  <si>
    <t>b. Melakukan negosiasi dengan PLN EPI untuk fee Kontrak Jasa Manajemen (P3) VP REN</t>
  </si>
  <si>
    <t>P4. PLTU Batu bara shutdown/trip (PO,MO,FO) sehingga membutuhkan volume gas lebih besar</t>
  </si>
  <si>
    <t>4. Koordinasi penjadwalan pemeliharaan tahunan, bulanan (ROT, ROB)</t>
  </si>
  <si>
    <t>a. Melakukan penyusunan jadwal pemeliharaan pembangkit dengan memperhatikan DMP dan ketersediaan gas yang cukup (P4) SM UBKITRANS</t>
  </si>
  <si>
    <t>b. Melakukan manajemen account stock pada line pack TGI  (P4) SM UBKITRANS</t>
  </si>
  <si>
    <t>P5. Perubahan regulasi terkait alokasi gas</t>
  </si>
  <si>
    <t>5. Melakukan stakeholder manajemen</t>
  </si>
  <si>
    <t>a. Koordinasi dan komunikasi rutin dengan regulator, produsen gas, Transporter gas dan PLN Persero (P5) VP REN, VP OPS, SEKPER</t>
  </si>
  <si>
    <t>P6. Kenaikan harga gas</t>
  </si>
  <si>
    <t>6. Melakukan stakeholder manajemen</t>
  </si>
  <si>
    <t>a. Koordinasi dan komunikasi rutin dengan regulator, produsen gas dan PLN Persero untuk mendapatkan harga gas murah (P6) VP REN, VP OPS, SEKPER</t>
  </si>
  <si>
    <t xml:space="preserve">P7. Gangguan sumur, pipa atau pressure Drop (Penurunan tekanan) pada pipa Transportasi gas </t>
  </si>
  <si>
    <t>7. Monitoring kinerja sumur dan pipa secara rutin</t>
  </si>
  <si>
    <t>a. Melakukan monitoring periodik terhadap jadwal pemeliharaan sumur &amp; pipa gas serta mengatur jadwal pemeliharaan pembangkit berbahan bakar non-gas tidak bersamaan dengan periode pemeliharaan sumur Gas atau pipa Gas (P7) VP REN, VP OPS</t>
  </si>
  <si>
    <t>P1. Adanya kewajiban pemenuhan volume kontrak meskipun kebutuhan batubara lebih rendah dari volume kontrak</t>
  </si>
  <si>
    <t>1. Amandemen Kontrak</t>
  </si>
  <si>
    <t>a. Menggunakan istilah "Volume Proyeksi" sebagai istilah dalam kontrak pengadaan batubara tahunan sehingga volume kontrak tidak akan membebani PLN Batam atas kewajiban atau keharusan membeli batubara sesuai volume kontrak (P1) VP OPS, SEKPER</t>
  </si>
  <si>
    <t>P2. Stok rata-rata harian batubara tidak mencukupi kebutuhan harian</t>
  </si>
  <si>
    <t>2. Memastikan stok rata-rata harian batubara sesuai dengan kebutuhan harian</t>
  </si>
  <si>
    <t>a. Mempertahankan "stok rata-rata harian" batubara pada volume 15.000 - 20.000 Mton (P2) VP OPS</t>
  </si>
  <si>
    <t>b. Mengajukan penugasan DMO ke tambang-tambang untuk alokasi batubara PLTU Tanjung Kasam kepada ke DITJEN MINERBA dengan bantuan dari PLN EPI  (P2) VP OPS</t>
  </si>
  <si>
    <t>c. Melakukan monitoring dan koordinasi harian dan bulanan untuk memastikan pasokan batubara tiba on schedule dan sesuai kebutuhan, mulai dari koordinasi awal untuk rencana supply dengan pemasok, monitoring loading batubara ke kapal, monitoring perjalanan kapal pengangkut batubara, hingga proses unloading dan quality control batubara di PLTU Tanjung Kasam dengan menggunakan Form Monitoring Tahapan Pengiriman Batubara yang memberikan informasi tanggal ETA Jetty Tanjung Kasam, nama kapal, volume muatan, Port Loading, tanggal start dan finish Loading serta tanggal Sailing, update status atau progress tahapan pengiriman batubara sejak tahapan Loading Batubara ke PLN Batam  (P2) VP OPS</t>
  </si>
  <si>
    <t>d. Menambahkan jumlah pemasok batubara pada pengadaan batubara tahunan sebagai tambahan alternatif pemasok saat terdapat kendala pasokan dari salah satu pemasok batubara (P2) VP OPS</t>
  </si>
  <si>
    <t>e. Melakukan evaluasi realisasi dan penyusunan perencanaan batubara untuk kebutuhan operasional PLTU Tanjung Kasam dengan mempertimbangkan faktor trend demand, jadwal pemeliharaan pembangkit dalam sistem Batam-Bintan, jadwal pemeliharaan sumur, pipa dan fasilitas gas, serta alokasi AFpm PLTU Tanjung Kasam  (P2) VP OPS</t>
  </si>
  <si>
    <t>P3. Konsumsi batubara pembangkit tidak efisien</t>
  </si>
  <si>
    <t>3. Mengoptimalkan pasokan batubara Sumatera melalui Novasi seluruh Kontrak Batubara ke PLN EPI</t>
  </si>
  <si>
    <t>a. Mengoptimalkan pasokan batubara Sumatera melalui Novasi seluruh Kontrak Batubara ke PLN EPI  (P3) VP OPS</t>
  </si>
  <si>
    <t>P4. Kinerja pemasok batubara tidak optimal</t>
  </si>
  <si>
    <t>4. Mengoptimalkan manajemen pengelolaan kedatangan pasokan batubara</t>
  </si>
  <si>
    <t>a. Mengevaluasi kinerja pemasok Batubara setiap Triwulan berdasarkan pada kualitas kandungan dan fisik batubara yang dipasok serta ketepatan jadwal pengiriman, dan hasil penilaian menjadi pertimbangan keputusan nominasi bulanan batubara para pemasok  (P4) VP OPS</t>
  </si>
  <si>
    <t>b. Melakukan monitoring jadwal dan realisasi pasokan batubara dan penggunaan batubara melalui Rapat Koordinasi Perencanaan dan Pasokan Batubara Bulanan (P4) VP OPS</t>
  </si>
  <si>
    <t>c. Mengoptimalkan pasokan batubara dari pulau Sumatera dengan blending komposisi batubara Sumatera dan batubara Kideco Kalimantan agar sesuai PERMEN LHK No. P.15/MENLHK/SETJEN/KUM.1/4/2019 tentang Baku Mutu Emisi Pembangkit Listrik Tenaga Termal, dengan target komposisi Kideco-Sumatera sebesar 50% - 50% sampai 65% - 35% (P4) VP OPS</t>
  </si>
  <si>
    <t>d. Menjaga kehandalan fasilitas unloading batubara dengan melaksanakan pemeliharan rutin periodik (P4) VP OPS</t>
  </si>
  <si>
    <t>e. Penambahan kapasitas stock pile batu bara TJK dari 30.000 mTon menjadi 45.000 mTon  (P4) VP OPS</t>
  </si>
  <si>
    <t>P1. Kapasitas jaringan Distribusi (TM &amp; TR), termasuk Gardu dan Peralatannya tidak mencukupi kebutuhan pelanggan eksisting dan calon pelanggan</t>
  </si>
  <si>
    <t>1. Melakukan pecah beban</t>
  </si>
  <si>
    <t>a. Melakukan pecah beban feeder untuk beban di atas 80% (P1) SM UBDISYAN</t>
  </si>
  <si>
    <t>b. Melakukan Upgrade kapasitas trafo untuk trafo dengan beban di atas 80% (P1) SM UBDISYAN</t>
  </si>
  <si>
    <t>P2. Tingginya susut jaringan distribusi</t>
  </si>
  <si>
    <t>2. Optimalisasi program susut Teknis</t>
  </si>
  <si>
    <t>a. Program Susut Distribusi - Gardu Sisipan (Beton, Portal, Kios) 2024-2025  (P2) SM UBDISYAN</t>
  </si>
  <si>
    <t>b. Program Susut Distribusi - Upgrade Peralatan Distribusi dan APP Pelanggan TM 2024-2025 (P2) SM UBDISYAN</t>
  </si>
  <si>
    <t>3. Optimalisasi program susut Non Teknis</t>
  </si>
  <si>
    <t>a. Program Susut Distribusi - Program Upgrade Modem Pelanggan AMR 2024-2025  (P2) SM UBDISYAN</t>
  </si>
  <si>
    <t>b. Program Susut Distribusi - Program Upgrade KWH Meter Tua 2024-2025 (P2) SM UBDISYAN</t>
  </si>
  <si>
    <t>c. Melaksanakan P2TL regular dan gabungan (P2) SM UBDISYAN</t>
  </si>
  <si>
    <t>d. Mengupayakan migrasi Pelanggan Prabayar mutasi menjadi Pelanggan Pasca Bayar (P2) SM UBDISYAN</t>
  </si>
  <si>
    <t>e. Melakukan evaluasi dan Sampling DLPD pelanggan Prabayar (P2) SM UBDISYAN</t>
  </si>
  <si>
    <t>f. Penggantian kWh rusak/Buram  H+1 (P2) SM UBDISYAN</t>
  </si>
  <si>
    <t>P3. Keterbatasan material (MDU) untuk program pemasaran</t>
  </si>
  <si>
    <t>4. Mencantumkan persyaratan Pada dokumen pengadaan KHS MDU "Calon Penyedia Material harus memiliki ketersediaan stok minimum material di Batam</t>
  </si>
  <si>
    <t>a. Mencantumkan persyaratan Pada dokumen pengadaan KHS MDU "Calon Penyedia Material harus memiliki ketersediaan stok minimum material di Batam"  (P3) SM UBDISYAN</t>
  </si>
  <si>
    <t>b. Mengikuti pengadaan KHS MDU terpusat dan JPROC di unit PLN lain  (P3) SM UB DISYAN</t>
  </si>
  <si>
    <t>P4. Pelanggan TM lebih memilih captive power</t>
  </si>
  <si>
    <t>5. Malakukan upaya akuisisi captive power</t>
  </si>
  <si>
    <t>a. Proaktif melaksanakan Customer Visit sebagai pendekatan ke Pelanggan TM agar segera melakukan Proses Aktivasi dan Pelanggan Captive Power agar beralih ke Grid di sistem PLN Batam (P4) VP AGA, SM UBDISYAN</t>
  </si>
  <si>
    <t>P5. Pemerintah tidak menyetujui usulan Penyesuaian Tarif Listrik Batam (TLB) maupun penyesuaian Tarif Listrik Batam (PTLB)</t>
  </si>
  <si>
    <t>6. Meningkatkan stakeholder management dalam penetapan tariff dan pemberlakuan Tariff Adjustment</t>
  </si>
  <si>
    <t>a. Melakukan evaluasi periodik atas struktur tariff lisrik PLN Batam serta pengukuran Tariff Adjustment  nya (P5) VP AGA, SEKPER</t>
  </si>
  <si>
    <t>P6. Pelanggan tidak puas dengan kinerja pelayanan pelanggan</t>
  </si>
  <si>
    <t>7. Upaya mendapatkan persetujuan tariff adjustment dan perubahan struktur tarif tenaga listrik</t>
  </si>
  <si>
    <t>a. Menyusun kajian struktur tarif tenaga listrik oleh lembaga akademisi (P5) VP AGA</t>
  </si>
  <si>
    <t>b. Penyampaian usulan penyesuaian Tarif Listrik Batam (TLB) (P5) VP AGA</t>
  </si>
  <si>
    <t>c. Penyampaian usulan Penyesuaian Tarif Listrik Berkala (PTLB) setiap 3 bulan (P5) VP AGA</t>
  </si>
  <si>
    <t>8. Peningkatan customer engagement</t>
  </si>
  <si>
    <t>a. Pemberian apresiasi pelanggan (P6) VP AGA, SM UBDISYAN</t>
  </si>
  <si>
    <t>9. Memberi kemudahan layanan dan komunikasi antara pelanggan dengan PLN Batam</t>
  </si>
  <si>
    <t>a. Impelentasi PLN Mobile (P6) SM UBDISYAN</t>
  </si>
  <si>
    <t>P1. Keandalan pembangkit MPP tidak optimal</t>
  </si>
  <si>
    <t>1. Meningkatkan keandalan pembangkit MPP 500 MW</t>
  </si>
  <si>
    <t>a. Melanjutkan perbaikan LPT dan TMF Engine S/N 679-230 Ex. TM#2 PLTG MPP Balaipungut (P1) SM UBBES</t>
  </si>
  <si>
    <t>b. Melakukan Integrasi Fire System area Pembangkit, Trafo Redundan &amp; Compressor Gas pada PLTG MPP Lampung (P1) SM UBBES</t>
  </si>
  <si>
    <t>c. Melakukan Pengadaan Alat Uji dan Special Tools (P1) SM UBBES</t>
  </si>
  <si>
    <t>P2. Pemeliharaan Periodik MPP 500 MW tidak sesuai jadwal dan tidak optimal</t>
  </si>
  <si>
    <t>2. Pelaksanaan Pemeliharaan sesuai dengan SOP &amp; Manual book</t>
  </si>
  <si>
    <t>d. Melakukan pemeliharaan MO 50K jam Operasi unit #1 Air Anyir Bangka (P2) SM UBBES</t>
  </si>
  <si>
    <t>e. Melakukan Pemeliharaan MO 50K jam Operasi unit #1 PLTG MPP Suge Belitung  (P2) SM UBBES</t>
  </si>
  <si>
    <t>f. Melakukan Pemeliharaan MO 50K jam Operasi unit #4, unit #2 dan unit #3 PLTG MPP Tarahan Lampung  (P2) SM UBBES</t>
  </si>
  <si>
    <t>g. Memonitor secara berkala indikator operasi sesuai SOP, Implementasi Digitalisasi Dashboard Operasi &amp; Pemeliharaan serta Percepatan EAM Tata Kelola Pembangkit (P2) SM UBBES</t>
  </si>
  <si>
    <t>h. Melakukan Pemeliharaan rutin &amp; tepat waktu sesuai ROT/ROB mengacu pada standar pabrik (pelaksanaan &amp; penyelesaian) (P2) SM UBBES</t>
  </si>
  <si>
    <t>i. Melakukan analisa dengan pendekatan pola operasi, sistem kelistrikan setempat, kondisi mesin, monitoring TRH, manajemen Roll in Roll Out dalam penyusunan jadwal pemeliharaan. Serta membuat prioritas/urutan pengoperasian, sehingga jadwal pemeliharaan tidak bersamaan satu mesin dengan mesin lainnya (P2) SM UBBES</t>
  </si>
  <si>
    <t>j. Melaksanakan program LTSA Pemeliharaan PLTG MPP terhadap seluruh unit mesin MPP 500MW dengan melakukan monitoring Running Hours, manajemen roll in roll out, memperbaharuhi Jadwal Pemeliharaan, dan mengkomunikasikan/mengkoordinasikan dengan rekanan dan PLN setempat terkait teknis pelaksanaan pemeliharaan  (P2) SM UBBES</t>
  </si>
  <si>
    <t>k. Meningkatkan persentase Strategi Pemeliharaan (Conditioning Monitoring/ PdM) dengan penambahan Teknologi PdM yang sesuai Best Practice Bisnis Pembangkitan seperti Vibration Analysis, Tribologi (Analisa Kualitas Minyak Pelumas), Analisa Kualitas HSD B0, Thermograph, dsb (P2) SM UBBES</t>
  </si>
  <si>
    <t>P3. Ketersediaan suku cadang (slow moving material dan fast moving material) pembangkit MPP dan PLTD AMC tidak optimal</t>
  </si>
  <si>
    <t>3. Memastikan ketersediaan suku cadang MPP 500 MW</t>
  </si>
  <si>
    <t>a. Melakukan perjanjian KHS untuk material fast moving (P3) SM UBBES</t>
  </si>
  <si>
    <t>b. Mengatasi kekurangan Sparepart saat pemeliharaan dengan Stock Bersama (transfer stock dari site lain yang tersedia (P3) SM UBBES</t>
  </si>
  <si>
    <t>c. Mengadakan Material slow moving Balance of Plan (BOP) dan peralatan utama elektrikal dan control sebagai backup eksisting (P3) SM UBBES</t>
  </si>
  <si>
    <t>d. Membuat usulan Strategic SparePart dan Usulan Strategic SPARE ENGINE &amp; HSM (P3) SM UBBES</t>
  </si>
  <si>
    <t>e. Melakukan Pengadaan 1 Set Fuel Noozle  (P3) SM UBBES</t>
  </si>
  <si>
    <t>P4. Keandalan pembangkit PLTD AMC tidak optimal</t>
  </si>
  <si>
    <t>4. Meningkatkan keandalan pembangkit AMC</t>
  </si>
  <si>
    <t>a. Memonitor secara berkala indikator operasi sesuai SOP &amp; Implementasi Digitalisasi Dashboard Operasi &amp; Pemeliharaan  (P4) SM UBBES</t>
  </si>
  <si>
    <t>b. Melakukan Pemeliharaan rutin &amp; tepat waktu ROB/ROT merujuk pada  standar pabrik  (P4) SM UBBES</t>
  </si>
  <si>
    <t>c. Optimalisasi daya mampu melalui perbaikan sistem bahan bakar, pelumas dan pendingin (P4) SM UBBES</t>
  </si>
  <si>
    <t>d. Mengusulkan untuk mengeluarkan data Pembangkit Rusak Berat (Tidak bisa diperbaiki) dari Data Pengusahaan. (P4) VP OPS</t>
  </si>
  <si>
    <t>e. Balance Load System dengan melakukan manajemen unit Pembangkit  (termasuk relokasi dan penambahan unit pembangkit jika diperlukan)  yang sesuai.  (P4) SM UBBES</t>
  </si>
  <si>
    <t>P5. Kompetensi SDM</t>
  </si>
  <si>
    <t>5. Peningkatan Kompetensi SDM</t>
  </si>
  <si>
    <t>a. Sertifikasi Kompetensi Pegawai (Nasional maupun Internasional) sesuai Tugas dan Tanggung Jawab. contoh : Sertifikasi Ahli Kualitas Energi Primer, Sertifikasi NFPA dll  (P5) VP HCGA</t>
  </si>
  <si>
    <t>P6. Kesulitan pasokan bahan bakar HSD B0 untuk MPP 500 MW yang belum tersedia gas</t>
  </si>
  <si>
    <t>6. Meningkatkan security of supply EP HSD B0 untuk MPP yang belum tersedia gas</t>
  </si>
  <si>
    <t>a. Pengusulan pembuatan  Tanki Timbun/Storage Tank (1800kL) untuk meningkatkan security of supply EP HSD B0 di beberapa lokasi, diantaranya Pontianak, Bangka, dan Lombok kepada PLN Persero (P6) SM UBBES</t>
  </si>
  <si>
    <t>P7. Gangguan terhadap operasional MPP 500 MW dan PLTD AMC  oleh masyarakat sekitar</t>
  </si>
  <si>
    <t>7. Manajemen stakeholder terhadap masyarakat sekitar MPP 500 MW dan PLTD AMC</t>
  </si>
  <si>
    <t>a. Membina hubungan baik &amp; komunikasi dengan masyarakat sekitar (P7) SM UBBES</t>
  </si>
  <si>
    <t>b. Melaksanakan program CSR untuk masyarakat sekitar (P7) SM UBBES</t>
  </si>
  <si>
    <t>P1. Naiknya nilai tukar USD terhadap IDR melebihi asumsi RKAP</t>
  </si>
  <si>
    <t>1. Mengurangi dampak negatif atas naiknya nilai tukar USD terhadap IDR melebihi asumsi RKAP</t>
  </si>
  <si>
    <t>a. Membeli USD secara bertahap dengan momentum yang tepat untuk mengantisipasi pelemahan nilai tukar Rupiah terhadap USD  (P1) VP KEU</t>
  </si>
  <si>
    <t>b. Melakukan hedging USD menggunakan fasilitas PLN Pusat dalam kondisi pelaksanaan hedging diperkirakan memberikan manfaat ekonomis bagi PLN Batam (P1) VP KEU</t>
  </si>
  <si>
    <t>P2. Naiknya umur piutang usaha, melebihi target RKAP</t>
  </si>
  <si>
    <t>2. Memastikan piutang penjualan listrik on-grid tertagihkan sesuai dengan target</t>
  </si>
  <si>
    <t>a. Mempertahankan program Zero tunggakan untuk pelanggan di UB DISYAN (P2) SM UBDISYAN</t>
  </si>
  <si>
    <t>b. Melanjutkan kerjasama dengan tim Legalisasi TNI Polri dalam penagihan piutang pelanggan TNI Polri. (P2) SM UBDISYAN</t>
  </si>
  <si>
    <t>3. Memastikan piutang penjualan listrik on-grid dan off-grid pelanggan PLN Group tertagihkan sesuai dengan target</t>
  </si>
  <si>
    <t>a. Melaksanakan optimalisasi proses penagihan penjualan listrik kepada PLN Pusat untuk tagihan MPP 500 MW dengan target 60 hari (P2) SM UBBES</t>
  </si>
  <si>
    <t>b. Menyusun dan melaksanakan SOP penagihan jasa AMC PLTD Isolated tersebar kepada PLN Pusat untuk tagihan AMC dengan target 60 hari (P2) SM UBBES/SM AMC</t>
  </si>
  <si>
    <t>c. Melaksanakan optimalisasi proses penagihan penjualan listrik kepada PLN RKR untuk tagihan interkoneksi Bintan, Belakang Padang, Pulau Sambu, pasokan untuk Sembulang, dan lainnya dengan target 45 hari (P2) VP AGA</t>
  </si>
  <si>
    <t>4. Memastikan piutang sewa infrastruktur kelistrikan ke pelanggan PLN Group dan Non PLN Group ditagihkan sesuai target</t>
  </si>
  <si>
    <t>a. Menyusun SOP penagihan sewa pembangkit dan infrastruktur (sewa sulawesi, DRUPS, Muko-muko, Marine Vessel dll) kepada PLN Pusat dengan target 60 hari (P2) VP BIS</t>
  </si>
  <si>
    <t>b. Melaksanakan SOP penagihan sewa pembangkit dan infrastruktur (sewa sulawesi, DRUPS, Muko-muko, Marine Vessel dll) kepada PLN Pusat dengan target 60 hari (P2) VP OPS</t>
  </si>
  <si>
    <t>5. Memastikan piutang sewa infrastruktur penunjang kelistrikan ke pelanggan sesuai target</t>
  </si>
  <si>
    <t>a. Melaksanakan SOP penagihan sewa infrastruktur kelistrikan (sewa tiang, server, data centre dll) kepada pelanggan dengan target 30 hari (P2) SM INFRA</t>
  </si>
  <si>
    <t>P3. Terjadi kerugian finansial akibat kerusakan pada aset-aset utama perusahaan</t>
  </si>
  <si>
    <t>6. Memastikan aset-aset utama perusahaan diasuransikan.</t>
  </si>
  <si>
    <t>a. Melakukan pengadaan asuransi untuk aset-aset utama perusahaan sesuai dengan apetite management (P3) VP KEU</t>
  </si>
  <si>
    <t>b. Melaksanakan perbaikan operasional atas aset-aset yang diasuransikan sesuai hasil risk surveyor asuransi. (P3) VP OPS</t>
  </si>
  <si>
    <t xml:space="preserve">P4. Perusahaan mengalami sengketa hukum dengan konsekuensi nilai ekonomis yang material </t>
  </si>
  <si>
    <t>7. Memastikan bahwa kontrak strategis yang akan dijalankan perusahaan tidak akan menyebabkan dampak kerugian di masa mendatang.</t>
  </si>
  <si>
    <t>a. Melakukan kajian legal atas kontrak strategis perusahaan yang akan dijalankan  (P4) SEKPER</t>
  </si>
  <si>
    <t>P5. Perusahaan terkena sanksi/denda perpajakan dalam jumlah material</t>
  </si>
  <si>
    <t>8. Melaksanakan Manajemen perpajakan yang optimal</t>
  </si>
  <si>
    <t>a. Melibatkan BID KEU (SBID Pajak) dalam proses perencanaan dan pelaksanaan pengadaan melalui Value for Money Committee  (P5) VP STRADA</t>
  </si>
  <si>
    <t>b. Melakukan kajian perpajakan atas program pengembangan usaha perusahaan serta kontrak strategis untuk transaksi baru bagi perusahaan yang akan dijalankan (P5) VP KEU</t>
  </si>
  <si>
    <t>P1. Tanggap Darurat bahaya kebakaran tidak optimal</t>
  </si>
  <si>
    <t>1. Fasilitas penanggulangan bahaya kebakaran tidak lengkap dan tidak optimal</t>
  </si>
  <si>
    <t>a. Membuat dan memasang System Pompa Hydrant dan Bak Air untuk Hydrant di Gardu Induk Baloi, Nongsa dan Sei Harapan (P1) SM UBKITTRAN</t>
  </si>
  <si>
    <t xml:space="preserve">P2. Peralatan ketenagalistrikan tidak diperiksa dan tidak tersertifikasi kelayakan operasinya. </t>
  </si>
  <si>
    <t>2. Monitoring kebutuhan SLO</t>
  </si>
  <si>
    <t>a. Mengidentifikasi dan monitoring kebutuhan, serta pemenuhan sertifikasi layak operasi (SLO) (P2) SM UBKITTRAN, SM UBDISYAN, SM UBINFRA, SM UBBES, VP MANPRO, VP HCGA</t>
  </si>
  <si>
    <t>P3. Terjadinya Kondisi Tidak Aman (unsafe condition) dan Tindakan Tidak Aman (unsafe action) dalam lingkungan kerja</t>
  </si>
  <si>
    <t>3. Pengecekan rutin Kondisi Tidak Aman (unsafe condition) dan Tindakan Tidak Aman (unsafe action) dalam lingkungan kerja</t>
  </si>
  <si>
    <t>a. Inspeksi K3 secara rutin dan tidak rutin untuk Kondisi Tidak Aman (unsafe condition) dan Tindakan Tidak Aman (unsafe action) dalam lingkungan kerja (P3) VP K3L, SM UBKITTRAN, SM UBDISYAN, SM UBINFRA, SM UBBES, VP MANPRO, VP HCGA</t>
  </si>
  <si>
    <t>b. Penyampaian Inspeksi K3 terhadap VP/SM yang ditemukan terjadi Kondisi Tidak Aman (unsafe condition) dan Tindakan Tidak Aman (unsafe action) dalam lingkungan kerjanya (P3) VP K3L</t>
  </si>
  <si>
    <t>c. Tindaklanjut dan laporan tindaklanjut atas Inspeksi K3 Kondisi Tidak Aman (unsafe condition) dan Tindakan Tidak Aman (unsafe action) (P3) SM UBKITTRAN, SM UBDISYAN, SM UBINFRA, SM UBBES, VP MANPRO, VP HCGA</t>
  </si>
  <si>
    <t>P4. Pedoman Keselamatan Kerja tidak dipahami dan tidak dilaksanakan dengan baik oleh Pelaksana Proses dan Stakeholder</t>
  </si>
  <si>
    <t>4. Memastikan Pedoman Keselamatan Kerja sudah tersedia, akurat, dipahami dan diterapkan dalam pekerjaan oleh Pelaksana Proses dan Stakeholder</t>
  </si>
  <si>
    <t>a. Mereview, menyusun, menerbitkan dan mensosialisasikan Pedoman Keselamatan Kerja sesuai kondisi saat ini  (P4) VP K3L</t>
  </si>
  <si>
    <t>b. Melaksanakan pekerjaan sesuai dengan pedoman keselamatan kerja, prosedur dan instruksi kerja  (P4) SM UBKITTRAN, SM UBDISYAN, SM UBINFRA, SM UBBES, VP MANPRO, VP HCGA</t>
  </si>
  <si>
    <t>c. Melakukan safety briefing sebelum memulai pekerjaan dan pengawasan/inspeksi selama pelaksanaan pekerjaan. (P4) SM UBKITTRAN, SM UBDISYAN, SM UBINFRA, SM UBBES, VP MANPRO, VP HCGA</t>
  </si>
  <si>
    <t>d. Melaksanakan Sosialisasi ketentuan K3 (Klausul Safey), pedoman keselamatan kerja, kedisiplinan pemakaian APD dalam bekerja, dan budaya K3 serta penanggulangan kebakaran di Bidang &amp; Unit Bisnis terkait secara rutin (P4) VP K3L</t>
  </si>
  <si>
    <t>e. Melakukan inspeksi atas penerapan K3 di unit kerja masing-masing (P4) SM UBKITTRAN, SM UBDISYAN, SM UBINFRA, SM UBBES, VP MANPRO, VP HCGA</t>
  </si>
  <si>
    <t>5. Tersedia nya pengawas pekerjaan yang bersertifikasi</t>
  </si>
  <si>
    <t>a. Pemenuhan personil pengawas K3 (P4) VPHCGA</t>
  </si>
  <si>
    <t>P5. Penggunaan APD dan peralatan kerja tidak sesuai ketentuan</t>
  </si>
  <si>
    <t>6. Memastikan APD dan peralatan kerja standar sudah tersedia, berfungsi efektif dan digunakan dalam pekerjaan oleh Pelaksana Proses dan Stakeholder</t>
  </si>
  <si>
    <t>a. Mengidentifikasi kebutuhan APD  (P5) VP K3L, SM UBKITTRAN, SM UBDISYAN, SM UBINFRA, SM UBBES, VP MANPRO, VP HCGA</t>
  </si>
  <si>
    <t>b. Memastikan ketersediaan APD (Alat Pelindung Diri) yang mencukupi kebutuhan dan penggunaan APD yang layak (P5) SM UBKITTRAN, SM UBDISYAN, SM UBINFRA, SM UBBES, VP MANPRO, VP HCGA</t>
  </si>
  <si>
    <t>P6. Tim Tanggap Darurat bahaya kebakaran belum optimal.</t>
  </si>
  <si>
    <t>7. Melaksanakan Simulasi Tanggap Darurat 2 kali setahun di setiap lokasi</t>
  </si>
  <si>
    <t>a. Melaksanakan Simulasi Tanggap Darurat 2 kali setahun di setiap lokasi  (P6) VP K3L, SM UBKITTRAN, SM UBDISYAN, SM UBINFRA, SM UBBES, VP HCGA</t>
  </si>
  <si>
    <t>P7. Pihak vendor/kontraktor tidak memiliki keahlian di bidang pekerjaan</t>
  </si>
  <si>
    <t>8. Menerapkan persyaratan pemenuhan K3 yang ketat kepada Pihak vendor/kontraktor</t>
  </si>
  <si>
    <t>a. Memastikan klausul safety terdapat dalam dokumen pengadaan Barang/Jasa pada setiap kegiatan Operasional &amp; pemeliharaan di Bidang dan unit bisnis terkait (P7) SM UBKITTRAN, SM UBDISYAN, SM UBINFRA, SM UBBES, VP MANPRO, VP HCGA, VP STRADA</t>
  </si>
  <si>
    <t>b. Menerapkan pemberian Izin Kerja sebelum pelaksanaan pekerjaan (P7) SM UBKITTRAN, SM UBDISYAN, SM UBINFRA, SM UBBES, VP MANPRO, VP HCGA</t>
  </si>
  <si>
    <t>P8. Masyarakat beraktivitas di dekat jaringan listrik</t>
  </si>
  <si>
    <t>9. Meningkatkan kesadaran K3 Masyarakat sekitar aset ketenagalistrikan yang memiliki potensi bahaya K3</t>
  </si>
  <si>
    <t>a. Melakukan sosialisasi kepada masyarakat terkait potensi bahaya kelistrikan (P8) VP K3L</t>
  </si>
  <si>
    <t>P1. Unit pembangkit gagal memperoleh kriteria proper biru karena pengelolaan lingkungan tidak sesuai dengan ketentuan atau peraturan yang berlaku</t>
  </si>
  <si>
    <t>P2. Personil tidak memenuhi sertifikasi lingkungan</t>
  </si>
  <si>
    <t>Penyebab Eksternal :</t>
  </si>
  <si>
    <t>P3. Perubahan-perubahan aturan dan ketentuan Lingkungan Hidup</t>
  </si>
  <si>
    <t>Risiko Inheren</t>
  </si>
  <si>
    <t>Asumsi Perhitungan Dampak</t>
  </si>
  <si>
    <t>Skala  Risiko</t>
  </si>
  <si>
    <t>Level  Risiko</t>
  </si>
  <si>
    <t>KBUMN</t>
  </si>
  <si>
    <t>Nilai dalam mata uang rupiah Rupiah/USD</t>
  </si>
  <si>
    <t>Diisi dengan peristiwa risiko yang ada pada tabel profil risiko</t>
  </si>
  <si>
    <t>Diisi penjelasan atas asumsi/pendekatan yang dipakai untuk menghitung nilai dampak.</t>
  </si>
  <si>
    <t>Nilai dampak dalam Rupiah/mata uang fungsional pembukuan</t>
  </si>
  <si>
    <t>Diisi dengan penilaian dampak Risiko Inheren dengan skala 1 s.d. 5</t>
  </si>
  <si>
    <t>Dikosongkan. Akan diisi oleh Kementerian BUMN</t>
  </si>
  <si>
    <t>Diisi dengan nilai probabilitas atas suatu Risiko dalam persentase</t>
  </si>
  <si>
    <t>Diisi dengan penilaian probabilitas Risiko Inheren dengan skala 1 s.d. 5</t>
  </si>
  <si>
    <t>Nilai dampak x nilai probabilitas.</t>
  </si>
  <si>
    <t>Diisi dengan skala Risiko BUMN yang merupakan koordinat Risiko sebagaimana acuan heatmap Kementerian BUMN pada Diagram 3 Peta Risiko (Heatmap)</t>
  </si>
  <si>
    <t>Diisi dengan pewarnaan risiko masing-masing BUMN yang terdiri dari:
- Sangat Tinggi
- Tinggi
- Menengah
- Rendah
- Sangat Rendah</t>
  </si>
  <si>
    <t>Nama peristiwa risiko harus sama persis dengan nama peristiwa risiko yang ada pada tabel profil risiko</t>
  </si>
  <si>
    <t>- Bagi unit kerja profit generator, dihitung sebesar potensi penurunan laba yang hilang jika Risiko terjadi (dapat menggunakan pendekatan gross profit, revenue dikalikan profit margin, EBITDA, atau net income).
- Bagi unit kerja non-profit generator, dihitung sebesar potensi penambahan biaya yang muncul yang belum dianggarkan jika Risiko tersebut terjadi.</t>
  </si>
  <si>
    <r>
      <t xml:space="preserve">Kriteria Skala Dampak Kuantitatif menggunakan acuan Tabel Kriteria Dampak Kuantitatif pada </t>
    </r>
    <r>
      <rPr>
        <b/>
        <sz val="8"/>
        <color theme="1"/>
        <rFont val="Arial"/>
        <family val="2"/>
      </rPr>
      <t xml:space="preserve">sheet Kriteria Dampak &amp; Probabilitas. </t>
    </r>
  </si>
  <si>
    <r>
      <t xml:space="preserve">Kriteria Skala Probabilitas  menggunakan acuan Tabel Kriteria Probabilitas pada </t>
    </r>
    <r>
      <rPr>
        <b/>
        <sz val="8"/>
        <color theme="1"/>
        <rFont val="Arial"/>
        <family val="2"/>
      </rPr>
      <t xml:space="preserve">sheet Kriteria Dampak &amp; Probabilitas. </t>
    </r>
  </si>
  <si>
    <t>Hasil perkalian akan menghasilkan nilai rupiah/mata uang fungsional pembukuan</t>
  </si>
  <si>
    <t>Masing-masing BUMN mendefinisikan level  risiko sesuai dengan penetapan masing-masing</t>
  </si>
  <si>
    <t>Level risiko KBUMN terdiri dari:
- Low
- Low to Moderate
- Moderate
- Moderate to High
- High</t>
  </si>
  <si>
    <t>Bila terjadi pemadaman meluas maka berpotensi kehilangan pendapatan sebesar 12,20</t>
  </si>
  <si>
    <t>Penjelasan Dampak Kualitatif</t>
  </si>
  <si>
    <t>Diisi penjelasan atas dampak kualitatif yang akan terjadi.</t>
  </si>
  <si>
    <t>Dapat dikosongkan</t>
  </si>
  <si>
    <t xml:space="preserve">Diisi dengan hasil perhitungan: skala Dampak x 1% Batasan Risiko  yang ditetapkan dalam strategi Risiko x nilai Probabilitas (%). </t>
  </si>
  <si>
    <r>
      <t xml:space="preserve">Diisi dengan </t>
    </r>
    <r>
      <rPr>
        <i/>
        <sz val="8"/>
        <color theme="1"/>
        <rFont val="Arial"/>
        <family val="2"/>
      </rPr>
      <t xml:space="preserve">leveling </t>
    </r>
    <r>
      <rPr>
        <sz val="8"/>
        <color theme="1"/>
        <rFont val="Arial"/>
        <family val="2"/>
      </rPr>
      <t>dan pewarnaan risiko masing-masing BUMN.</t>
    </r>
  </si>
  <si>
    <r>
      <t xml:space="preserve">Kriteria Skala Dampak Kualitatif menggunakan acuan Tabel Kriteria Dampak Kualitatif pada </t>
    </r>
    <r>
      <rPr>
        <b/>
        <sz val="8"/>
        <color theme="1"/>
        <rFont val="Arial"/>
        <family val="2"/>
      </rPr>
      <t xml:space="preserve">sheet Kriteria Dampak &amp; Probabilitas. </t>
    </r>
    <r>
      <rPr>
        <sz val="8"/>
        <color theme="1"/>
        <rFont val="Arial"/>
        <family val="2"/>
      </rPr>
      <t xml:space="preserve">
Apabila acuan kriteria dampak tidak tersedia pada tabel di atas, BUMN dapat menggunakan acuan tabel kriteria dampak kualitatif lainnya sesuai dengan pedoman masing-masing dan menyampaikannya dalam buku RKAP.</t>
    </r>
  </si>
  <si>
    <t>Masing-masing BUMN mendefinisikan skala 1-25 sesuai dengan penetapan masing-masing</t>
  </si>
  <si>
    <t>Masing-masing BUMN mendefinisikan level risiko sesuai dengan penetapan masing-masing</t>
  </si>
  <si>
    <t>Bila terjadi pemadaman meluas maka berpotensi kehilangan pendapatan sebesar 12,20
Sorotan stakeholder dan media yang memperburuk citra perusahaan
dan kinerja operasional tidak mencapai target</t>
  </si>
  <si>
    <t>Diisi dengan target perkiraan nilai dampak yang akan diterima per masing-masing triwulan dalam Rupiah atau mata uang fungsional pembukuan.</t>
  </si>
  <si>
    <t>Diisi dengan target skala dampak setiap triwulan</t>
  </si>
  <si>
    <t>Diisi dengan target probabilitas setiap triwulan</t>
  </si>
  <si>
    <t>Diisi dengan target skala probabilitas setiap triwulan</t>
  </si>
  <si>
    <t xml:space="preserve">Formula nilai dampak x nilai probabilitas </t>
  </si>
  <si>
    <t>Masing-masing BUMN mendefinisikan level risiko sesuai dengan skala masing-masing</t>
  </si>
  <si>
    <t>Moderat to High</t>
  </si>
  <si>
    <t>Diisi dengan hasil perhitungan: skala Dampak x 1% Batasan Risiko  yang ditetapkan dalam strategi Risiko x nilai Probabilitas (%).</t>
  </si>
  <si>
    <t>Risk Event</t>
  </si>
  <si>
    <t>Inherent Risk</t>
  </si>
  <si>
    <t>Residual Risk</t>
  </si>
  <si>
    <t>Impact</t>
  </si>
  <si>
    <t>Likelihood</t>
  </si>
  <si>
    <t>Kembali Bab III</t>
  </si>
  <si>
    <t>Lampiran III.A. Format Tabel Realisasi Risiko Residual Triwulanan dan Tahunan</t>
  </si>
  <si>
    <t>Realisasi Residual Risk</t>
  </si>
  <si>
    <t>Efektifitas Perlakuan Risiko</t>
  </si>
  <si>
    <t xml:space="preserve">Skala Nilai Risiko </t>
  </si>
  <si>
    <t>Nilai mata uang dalam Rupiah/USD</t>
  </si>
  <si>
    <t>BUMN agar menambahkan juga penjelasan atas asumsi/pendekatan yang dipakai untuk menghitung nilai dampak.</t>
  </si>
  <si>
    <r>
      <t xml:space="preserve">Agar diisikan dengan realisasi perkiraan nilai dampak yang akan diterima per masing-masing quarter dalam 1 tahun, baik dalam Rupiah atau </t>
    </r>
    <r>
      <rPr>
        <i/>
        <sz val="8"/>
        <color theme="1"/>
        <rFont val="Arial"/>
        <family val="2"/>
      </rPr>
      <t>currency</t>
    </r>
    <r>
      <rPr>
        <sz val="8"/>
        <color theme="1"/>
        <rFont val="Arial"/>
        <family val="2"/>
      </rPr>
      <t xml:space="preserve"> lainnya. Apabila nilai dampak bersifat kualitatif, maka kolom ini dapat diisikan dengan "0"</t>
    </r>
  </si>
  <si>
    <t>Masing-masing BUMN mendefinisikan skala 1-5 sesuai dengan skala masing-masing</t>
  </si>
  <si>
    <t>Agar BUMN mengisikan nilai probabilitas atas suatu risiko tersebut. Adapun, nilai probabilitas tersebut bisa bersifat nilai tengah dari suatu range</t>
  </si>
  <si>
    <t>Diisi dengan skala nilai Risiko BUMN yang merupakan koordinat Risiko sebagaimana acuan heatmap Kementerian BUMN pada Diagram III.C Peta Risiko (Heatmap)</t>
  </si>
  <si>
    <t>Diisi dengan pewarnaan risiko sesuai Diagram III.C Peta Risiko (Heatmap) berdasarkan Skala Nilai Risiko BUMN</t>
  </si>
  <si>
    <t>Efektivitas perlakuan risiko merupakan kombinasi dari ketepatan waktu &amp; kemampuan dalam menurunkan nilai eksposur risiko</t>
  </si>
  <si>
    <r>
      <t xml:space="preserve">Atas dampak yang bersifat kualitatif, agar dapat dilakuan </t>
    </r>
    <r>
      <rPr>
        <i/>
        <sz val="8"/>
        <color rgb="FF000000"/>
        <rFont val="Arial"/>
        <family val="2"/>
      </rPr>
      <t>average</t>
    </r>
  </si>
  <si>
    <t>Apabila Realisasi Skala Nilai Risiko BUMN &lt;= Skala Nilai Risiko BUMN pada Nilai Target Residual Risk, maka Perlakuan Risiko bersifat Efektif. Apabila Realisasi Skala Nilai Risiko BUMN &gt; Skala Nilai Risiko BUMN pada Nilai Target Residual Risk, maka Perlakuan Risiko bersifat Tidak Efektif</t>
  </si>
  <si>
    <t>Lampiran III.B. Format Tabel Realisasi Pelaksanaan Perlakuan Risiko dan Biaya</t>
  </si>
  <si>
    <t>Realisasi Rencana Perlakuan Risiko</t>
  </si>
  <si>
    <t>Realisasi Output atas masing-masing Breakdown Perlakuan Risiko</t>
  </si>
  <si>
    <t>Realisasi Biaya Perlakuan Risiko
(Rp/USD)</t>
  </si>
  <si>
    <t>Persentase Serapan Biaya</t>
  </si>
  <si>
    <t>Realisasi PIC</t>
  </si>
  <si>
    <t>Realisasi Timeline</t>
  </si>
  <si>
    <t>Realisasi Threshold KRI</t>
  </si>
  <si>
    <t>Status Rencana Perlakuan Risiko</t>
  </si>
  <si>
    <t>Penjelasan Status Rencana Perlakuan</t>
  </si>
  <si>
    <t>Progress Pelaksanaan Rencana Perlakuan</t>
  </si>
  <si>
    <t>Threshold</t>
  </si>
  <si>
    <t>Numerik (diisi nilai 1 jika mitigasi dilakukan pada bulan tertentu)</t>
  </si>
  <si>
    <t>BUMN agar mengisikan realisasi rencana perlakuan risiko yang telah dijalankan</t>
  </si>
  <si>
    <t>BUMN agar mengisikan realisasi output atas masing-masing rencana perlakuan risiko yang relevan</t>
  </si>
  <si>
    <t>Terhadap masing-masing perlakuan risiko agar diisikan juga atas realisasi biaya perlakuan risikonya. Harap diberikan keterangan satuan mata uang yang digunakan</t>
  </si>
  <si>
    <t>Diisi dengan rumus Realisasi Biaya Perlakuan Risiko dibagi Rencana Biaya Perlakuan Risiko</t>
  </si>
  <si>
    <t>Terhadap masing-masing perlakuan risiko per penyebab risiko, BUMN agar mengisikan timeline realisasi implementasinya. Apabila perlakuan risiko berlangsung sepanjang tahun, maka timeline harus diisi setiap bulan</t>
  </si>
  <si>
    <t>Sebagaimana sebuah risiko memiliki suatu indikator, maka BUMN diharapkan untuk mengisikan indikator yang relevan</t>
  </si>
  <si>
    <t>Realisasi threshold KRI merupakan realisasi atas KRI yang mengacu kepada kategori threshold KRI</t>
  </si>
  <si>
    <r>
      <t xml:space="preserve">Agar setiap rencana perlakuan risiko diberikan status terhadap implementasinya, yaitu:
- </t>
    </r>
    <r>
      <rPr>
        <i/>
        <sz val="8"/>
        <color theme="1"/>
        <rFont val="Arial"/>
        <family val="2"/>
      </rPr>
      <t>Discontinue</t>
    </r>
    <r>
      <rPr>
        <sz val="8"/>
        <color theme="1"/>
        <rFont val="Arial"/>
        <family val="2"/>
      </rPr>
      <t xml:space="preserve">: Apabila rencana perlakuan risiko tidak dapat diimplementasikan/tidak dapat memitigasi penyebab risiko yang ada/hanya berlaku pada periode tertentu
- Revisi: Apabila rencana perlakuan risiko digantikan dengan rencana perlakuan risiko yang lainnya
- </t>
    </r>
    <r>
      <rPr>
        <i/>
        <sz val="8"/>
        <color theme="1"/>
        <rFont val="Arial"/>
        <family val="2"/>
      </rPr>
      <t>Continue</t>
    </r>
    <r>
      <rPr>
        <sz val="8"/>
        <color theme="1"/>
        <rFont val="Arial"/>
        <family val="2"/>
      </rPr>
      <t xml:space="preserve">: Apabila rencana perlakuan risiko masih bersifat </t>
    </r>
    <r>
      <rPr>
        <i/>
        <sz val="8"/>
        <color theme="1"/>
        <rFont val="Arial"/>
        <family val="2"/>
      </rPr>
      <t>on the track</t>
    </r>
    <r>
      <rPr>
        <sz val="8"/>
        <color theme="1"/>
        <rFont val="Arial"/>
        <family val="2"/>
      </rPr>
      <t>/</t>
    </r>
    <r>
      <rPr>
        <i/>
        <sz val="8"/>
        <color theme="1"/>
        <rFont val="Arial"/>
        <family val="2"/>
      </rPr>
      <t>on progress</t>
    </r>
  </si>
  <si>
    <r>
      <t xml:space="preserve">Apabila rencana perlakuan risiko bersifat </t>
    </r>
    <r>
      <rPr>
        <i/>
        <sz val="8"/>
        <color theme="1"/>
        <rFont val="Arial"/>
        <family val="2"/>
      </rPr>
      <t xml:space="preserve">discontinue </t>
    </r>
    <r>
      <rPr>
        <sz val="8"/>
        <color theme="1"/>
        <rFont val="Arial"/>
        <family val="2"/>
      </rPr>
      <t>atau revisi, harap diberikan penjelasannya</t>
    </r>
  </si>
  <si>
    <t>Terhadap masing-masing perlakuan risiko yang sudah direncanakan, BUMN agar mengisikan progress pelaksanaan rencana perlakuan.</t>
  </si>
  <si>
    <t>Setiap top risk item dapat memiliki lebih dari satu KRI</t>
  </si>
  <si>
    <t>KRITERIA DAMPAK DAN PROBABILITAS</t>
  </si>
  <si>
    <t xml:space="preserve">A.	</t>
  </si>
  <si>
    <t>Kriteria Dampak Kuantitatif</t>
  </si>
  <si>
    <t xml:space="preserve">Risk Limit </t>
  </si>
  <si>
    <t>Triliyun</t>
  </si>
  <si>
    <t>Milyar</t>
  </si>
  <si>
    <r>
      <t xml:space="preserve">Range </t>
    </r>
    <r>
      <rPr>
        <sz val="10"/>
        <color rgb="FFFFFFFF"/>
        <rFont val="Arial"/>
        <family val="2"/>
      </rPr>
      <t>Dampak Finansial</t>
    </r>
  </si>
  <si>
    <t>Deskripsi Dampak </t>
  </si>
  <si>
    <t>X ≤ 20% 
dari Batasan Risiko</t>
  </si>
  <si>
    <t>Dampak sangat rendah yang dapat mengakibatkan kerusakan/ kerugian/ penurunan kurang dari 20% dari nilai Batasan Risiko</t>
  </si>
  <si>
    <t>20% &lt; X ≤ 40%
dari Batasan Risiko</t>
  </si>
  <si>
    <t>Dampak rendah yang dapat mengakibatkan kerusakan/kerugian/penurunan 20% &lt; X ≤ 40% dari nilai Batasan Risiko</t>
  </si>
  <si>
    <t>40% &lt; X ≤ 60%
dari Batasan Risiko</t>
  </si>
  <si>
    <t>Dampak kritis yang dapat mengakibatkan kerusakan/kerugian/penurunan 40% &lt; X ≤ 60% dari nilai Batasan Risiko</t>
  </si>
  <si>
    <t>60% &lt; X ≤ 80%
dari Batasan Risiko</t>
  </si>
  <si>
    <t>Dampak disruptif yang dapat mengakibatkan kerusakan/ kerugian/ penurunan 40% &lt; X ≤ 60% dari nilai Batasan Risiko</t>
  </si>
  <si>
    <t>X &gt; 80%
dari Batasan Risiko</t>
  </si>
  <si>
    <t>Dampak katastrofe yang dapat mengakibatkan kerusakan/ kerugian/ penurunan &gt; 80% dari nilai Batasan Risiko</t>
  </si>
  <si>
    <t>Keterangan:</t>
  </si>
  <si>
    <t>Nilai Batasan Risiko merupakan nilai Risk Limit di level enterprise sebagaimana yang telah ditetapkan dalam Strategi Risiko BUMN.</t>
  </si>
  <si>
    <t>B.</t>
  </si>
  <si>
    <t>Kriteria Dampak Kualitatif</t>
  </si>
  <si>
    <t>Risiko Strategis</t>
  </si>
  <si>
    <t>Dampak keterlambatan pencapaian program strategis</t>
  </si>
  <si>
    <t xml:space="preserve">Minimal 1 parameter target strategis yang harus selesai pada tahun ini tertunda kurang dari 1 bulan </t>
  </si>
  <si>
    <t xml:space="preserve">Minimal 1 parameter tujuan strategis yang harus selesai pada tahun ini tertunda antara 2 - 3 bulan </t>
  </si>
  <si>
    <t xml:space="preserve">Minimal 1 parameter tujuan strategis yang harus selesai pada tahun ini tertunda antara 3 - 6 bulan </t>
  </si>
  <si>
    <t xml:space="preserve">Minimal 1 parameter tujuan strategis yang harus selesai pada tahun ini tertunda antara 6 - 9 bulan </t>
  </si>
  <si>
    <t xml:space="preserve">Minimal 1 parameter tujuan strategis yang harus selesai pada tahun ini tertunda lebih dari 9 bulan </t>
  </si>
  <si>
    <t>Risiko Hukum</t>
  </si>
  <si>
    <t xml:space="preserve">Pelanggaran hukum </t>
  </si>
  <si>
    <t>Tidak ada somasi/ tuntutan hukum</t>
  </si>
  <si>
    <t xml:space="preserve">Perusahaan mendapat somasi. </t>
  </si>
  <si>
    <t xml:space="preserve">Perusahaan mendapat tuntutan hukum. </t>
  </si>
  <si>
    <t xml:space="preserve">Perusahaan diputuskan kalah di pengadilan tingkat pertama. </t>
  </si>
  <si>
    <t xml:space="preserve">Perusahaan diputuskan kalah di pengadilan tingkat selanjutnya. </t>
  </si>
  <si>
    <t>Risiko Kepatuhan</t>
  </si>
  <si>
    <r>
      <t xml:space="preserve">Regulator memberlaku-kan sanksi signifikan (misalkan </t>
    </r>
    <r>
      <rPr>
        <i/>
        <sz val="10"/>
        <color theme="1"/>
        <rFont val="Arial"/>
        <family val="2"/>
      </rPr>
      <t>delisting</t>
    </r>
    <r>
      <rPr>
        <sz val="10"/>
        <color theme="1"/>
        <rFont val="Arial"/>
        <family val="2"/>
      </rPr>
      <t xml:space="preserve"> saham, tidak diperkenan-kan mengikuti kliring, menarik produk yang beredar, dan lain-lain) </t>
    </r>
  </si>
  <si>
    <t>Risiko Reputasi</t>
  </si>
  <si>
    <r>
      <t xml:space="preserve">Keluhan pelanggan / nasabah / pembeli / </t>
    </r>
    <r>
      <rPr>
        <i/>
        <sz val="10"/>
        <color theme="1"/>
        <rFont val="Arial"/>
        <family val="2"/>
      </rPr>
      <t xml:space="preserve">supplier </t>
    </r>
  </si>
  <si>
    <t xml:space="preserve">Keluhan yang terisolasi dan dapat ditangani dalam 1 hari kerja </t>
  </si>
  <si>
    <t xml:space="preserve">Keluhan yang terisolasi dan dapat diselesaikan dalam 3 hari kerja </t>
  </si>
  <si>
    <t xml:space="preserve">Keluhan yang menyebar ke skala sektoral dan / atau diajukan secara kolektif yang dapat diselesaikan dalam waktu 7 hari kerja dan masih berada dalam kewenangan Pimpinan Cabang / Wilayah </t>
  </si>
  <si>
    <t xml:space="preserve">Keluhan yang menyebar ke skala nasional dan / atau diajukan secara kolektif yang dapat diselesaikan dalam waktu 10 hari kerja dan / atau memerlukan penanganan kewenangan Kantor Pusat </t>
  </si>
  <si>
    <t xml:space="preserve">Keluhan yang menyebar ke skala nasional / internasional dan / atau diajukan secara kolektif yang diselesaikan melebihi 10 hari kerja dan / atau memerlukan penanganan kewenangan Kantor Pusat </t>
  </si>
  <si>
    <t xml:space="preserve">Pemberitaan negatif di media </t>
  </si>
  <si>
    <t xml:space="preserve">Publikasi negatif yg terisolasi di wilayah sektoral melalui media konvensional (misalkan Radio lokal, TV lokal, Surat Kabar daerah) </t>
  </si>
  <si>
    <t xml:space="preserve">Publikasi negatif yang lintas sektoral / wilayah / provinsi namun masih tersebar media konvensional. </t>
  </si>
  <si>
    <t xml:space="preserve">Publikasi negatif skala nasional yang tersebar di media konvensional </t>
  </si>
  <si>
    <t xml:space="preserve">Publikasi negatif mencapai skala nasional yang tersebar di sosial media dan / atau memerlukan penanganan kewenangan Kantor Pusat </t>
  </si>
  <si>
    <t xml:space="preserve">Publikasi negatif mencapai skala internasional yang tersebar di sosial media dan / atau memerlukan penanganan kewenangan Kantor Pusat </t>
  </si>
  <si>
    <t xml:space="preserve">Kehilangan daya saing </t>
  </si>
  <si>
    <t xml:space="preserve">Penurunan pangsa pasar sampai dengan 5% </t>
  </si>
  <si>
    <t xml:space="preserve">Penurunan pangsa pasar antara 5% sampai dengan 10% </t>
  </si>
  <si>
    <t xml:space="preserve">Penurunan pangsa pasar antara 10% sampai dengan 15% </t>
  </si>
  <si>
    <t xml:space="preserve">Penurunan pangsa pasar antara 15% sampai dengan 20% </t>
  </si>
  <si>
    <t xml:space="preserve">Penurunan pangsa pasar lebih dari 20% </t>
  </si>
  <si>
    <t>Risiko Sumber Daya Manusia</t>
  </si>
  <si>
    <t xml:space="preserve">Keluhan karyawan </t>
  </si>
  <si>
    <t xml:space="preserve">Terdapat keluhan karyawan yang disalurkan sampai tingkat SP Unit namun dapat diisolir dan diselesaikan oleh Pemimpin Unit </t>
  </si>
  <si>
    <t xml:space="preserve">Terdapat keluhan karyawan yang perlu diselesaikan oleh Penyelia Pemimpin Unit </t>
  </si>
  <si>
    <t xml:space="preserve">Terdapat keluhan yang disalurkan mencapai tingkat sektoral / wilayah / provinsi. </t>
  </si>
  <si>
    <t xml:space="preserve">Unjuk rasa karyawan yang mengganggu aktivitas perusahaan dan / atau disertai terjadinya cedera serius / cacat permanen </t>
  </si>
  <si>
    <t xml:space="preserve">Demonstrasi terkoordinasi, terjadinya kematian karyawan saat kerja </t>
  </si>
  <si>
    <r>
      <t>Turn over</t>
    </r>
    <r>
      <rPr>
        <sz val="10"/>
        <rFont val="Arial"/>
        <family val="2"/>
      </rPr>
      <t xml:space="preserve"> karyawan bertalenta </t>
    </r>
  </si>
  <si>
    <r>
      <t>Turn over</t>
    </r>
    <r>
      <rPr>
        <sz val="10"/>
        <color theme="1"/>
        <rFont val="Arial"/>
        <family val="2"/>
      </rPr>
      <t xml:space="preserve"> pegawai bertalenta kurang dari 1% setahun </t>
    </r>
  </si>
  <si>
    <r>
      <t>Turn over</t>
    </r>
    <r>
      <rPr>
        <sz val="10"/>
        <color theme="1"/>
        <rFont val="Arial"/>
        <family val="2"/>
      </rPr>
      <t xml:space="preserve"> pegawai bertalenta dari 1% sampai dengan 5% setahun </t>
    </r>
  </si>
  <si>
    <r>
      <t>Turn over</t>
    </r>
    <r>
      <rPr>
        <sz val="10"/>
        <color theme="1"/>
        <rFont val="Arial"/>
        <family val="2"/>
      </rPr>
      <t xml:space="preserve"> pegawai bertalenta antara 5% sampai dengan 10% setahun </t>
    </r>
  </si>
  <si>
    <r>
      <t>Turn over</t>
    </r>
    <r>
      <rPr>
        <sz val="10"/>
        <color theme="1"/>
        <rFont val="Arial"/>
        <family val="2"/>
      </rPr>
      <t xml:space="preserve"> pegawai bertalenta antara 10% sampai dengan 15% setahun </t>
    </r>
  </si>
  <si>
    <r>
      <t>Turn over</t>
    </r>
    <r>
      <rPr>
        <sz val="10"/>
        <color theme="1"/>
        <rFont val="Arial"/>
        <family val="2"/>
      </rPr>
      <t xml:space="preserve"> pegawai bertalenta &gt;15% setahun </t>
    </r>
  </si>
  <si>
    <r>
      <t>(regretted turnover</t>
    </r>
    <r>
      <rPr>
        <sz val="10"/>
        <color theme="1"/>
        <rFont val="Arial"/>
        <family val="2"/>
      </rPr>
      <t xml:space="preserve">) </t>
    </r>
  </si>
  <si>
    <t xml:space="preserve">Gangguan aplikasi infrastruktur pendukung </t>
  </si>
  <si>
    <t xml:space="preserve">Aplikasi &amp; Infrastruktur pendukung yang kurang penting tidak berfungsi selama 1 hari </t>
  </si>
  <si>
    <t xml:space="preserve">Aplikasi dan Infrastruktur pendukung yang kurang penting tidak berfungsi selama lebih dari 1 hari s/d 3 hari </t>
  </si>
  <si>
    <r>
      <t xml:space="preserve">Infrastruktur vital yang penting tidak berfungsi selama &lt; 1 jam (misalkan Listrik, air, jaringan komunikasi &amp; </t>
    </r>
    <r>
      <rPr>
        <i/>
        <sz val="10"/>
        <color theme="1"/>
        <rFont val="Arial"/>
        <family val="2"/>
      </rPr>
      <t>online system</t>
    </r>
    <r>
      <rPr>
        <sz val="10"/>
        <color theme="1"/>
        <rFont val="Arial"/>
        <family val="2"/>
      </rPr>
      <t xml:space="preserve">) </t>
    </r>
  </si>
  <si>
    <r>
      <t xml:space="preserve">Infrastruktur vital yang penting tidak berfungsi selama 2 s/d 6 jam (misalkan Listrik, air, jaringan komunikasi &amp; </t>
    </r>
    <r>
      <rPr>
        <i/>
        <sz val="10"/>
        <color theme="1"/>
        <rFont val="Arial"/>
        <family val="2"/>
      </rPr>
      <t>online system</t>
    </r>
    <r>
      <rPr>
        <sz val="10"/>
        <color theme="1"/>
        <rFont val="Arial"/>
        <family val="2"/>
      </rPr>
      <t xml:space="preserve">) </t>
    </r>
  </si>
  <si>
    <r>
      <t xml:space="preserve">Infrastruktur vital yang penting tidak berfungsi selama lebih dari 6 jam (misalkan Listrik, air, jaringan komunikasi &amp; </t>
    </r>
    <r>
      <rPr>
        <i/>
        <sz val="10"/>
        <color theme="1"/>
        <rFont val="Arial"/>
        <family val="2"/>
      </rPr>
      <t>online system</t>
    </r>
    <r>
      <rPr>
        <sz val="10"/>
        <color theme="1"/>
        <rFont val="Arial"/>
        <family val="2"/>
      </rPr>
      <t xml:space="preserve">) </t>
    </r>
  </si>
  <si>
    <t xml:space="preserve">Serangan siber </t>
  </si>
  <si>
    <t>Jumlah rata-rata serangan siber per minggu di bawah 50 kali</t>
  </si>
  <si>
    <t>Jumlah rata-rata serangan siber per minggu 50-99 kali</t>
  </si>
  <si>
    <t>Jumlah rata-rata serangan siber per minggu 100-199 kali</t>
  </si>
  <si>
    <t>Jumlah rata-rata serangan siber per minggu 200-500 kali</t>
  </si>
  <si>
    <t>Jumlah rata-rata serangan siber per minggu lebih dari 500 kali</t>
  </si>
  <si>
    <r>
      <t xml:space="preserve">Hasil penilaian </t>
    </r>
    <r>
      <rPr>
        <i/>
        <sz val="10"/>
        <color theme="1"/>
        <rFont val="Arial"/>
        <family val="2"/>
      </rPr>
      <t>platform security</t>
    </r>
    <r>
      <rPr>
        <sz val="10"/>
        <color theme="1"/>
        <rFont val="Arial"/>
        <family val="2"/>
      </rPr>
      <t xml:space="preserve"> </t>
    </r>
  </si>
  <si>
    <t>X &gt; 90%</t>
  </si>
  <si>
    <t>90% ≥ X &gt; 80%</t>
  </si>
  <si>
    <t>80 % ≥ X &gt; 70%</t>
  </si>
  <si>
    <t>70% ≥ X &gt; 60%</t>
  </si>
  <si>
    <t>X ≤ 60%</t>
  </si>
  <si>
    <t>Risiko Operasional</t>
  </si>
  <si>
    <r>
      <t>Pelampauan pemenuhan SLA (</t>
    </r>
    <r>
      <rPr>
        <i/>
        <sz val="10"/>
        <color theme="1"/>
        <rFont val="Arial"/>
        <family val="2"/>
      </rPr>
      <t>Service Level Agreement</t>
    </r>
    <r>
      <rPr>
        <sz val="10"/>
        <color theme="1"/>
        <rFont val="Arial"/>
        <family val="2"/>
      </rPr>
      <t>)</t>
    </r>
  </si>
  <si>
    <t xml:space="preserve">&lt; 1% dari standard SLA yang telah ditetapkan (diukur dari waktu kekosongan atau ketidaksedia-an layanan produk atau tambahan biaya / ongkos) </t>
  </si>
  <si>
    <t xml:space="preserve">Dari 1% s/d 2,5% dari standard SLA yang telah ditetapkan (diukur dari waktu kekosongan atau ketidaksedia-an layanan produk atau tambahan biaya / ongkos) </t>
  </si>
  <si>
    <t xml:space="preserve">Antara 2,5% s/d 10% dari standard SLA yang telah ditetapkan (diukur dari waktu kekosongan atau ketidaksedia-an layanan produk atau tambahan biaya / ongkos) </t>
  </si>
  <si>
    <t xml:space="preserve">Antara 10% s/d 20% dari standard SLA yang telah ditetapkan (diukur dari waktu kekosongan atau ketidaksedia-an layanan produk atau tambahan biaya / ongkos) </t>
  </si>
  <si>
    <t xml:space="preserve">&gt;20% dari standard SLA yang telah ditetapkan (diukur dari waktu kekosongan atau ketidaksedia-an layanan produk atau tambahan biaya / ongkos) </t>
  </si>
  <si>
    <r>
      <t xml:space="preserve">Risiko </t>
    </r>
    <r>
      <rPr>
        <i/>
        <sz val="10"/>
        <color rgb="FF000000"/>
        <rFont val="Arial"/>
        <family val="2"/>
      </rPr>
      <t>Health, Safety, Security and Environmental</t>
    </r>
    <r>
      <rPr>
        <sz val="10"/>
        <color rgb="FF000000"/>
        <rFont val="Arial"/>
        <family val="2"/>
      </rPr>
      <t xml:space="preserve"> (HSSE) dan Sosial</t>
    </r>
  </si>
  <si>
    <t xml:space="preserve">Kerusakan Lingkungan </t>
  </si>
  <si>
    <t xml:space="preserve">Kerusakan terbatas pada area minimal dengan signifikansi rendah </t>
  </si>
  <si>
    <t xml:space="preserve">Efek minor pada lingkungan biologis atau fisik </t>
  </si>
  <si>
    <t xml:space="preserve">Efek jangka pendek (1-2 tahun) tetapi tidak mempenga-ruhi fungsi ekosistem </t>
  </si>
  <si>
    <t xml:space="preserve">Efek lingkungan jangka menengah (3-5 tahun) yang serius </t>
  </si>
  <si>
    <t xml:space="preserve">Sangat serius </t>
  </si>
  <si>
    <t xml:space="preserve">Kerusakan lingkungan jangka panjang (&gt;5 tahun) dari fungsi ekosistem </t>
  </si>
  <si>
    <t>Penurunan ESG rating Sustainalytic</t>
  </si>
  <si>
    <t>X &gt; 90% atau memperleh rating “0-10</t>
  </si>
  <si>
    <t>90% ≥ X &gt; 80% atau memperleh rating “10-20</t>
  </si>
  <si>
    <r>
      <t>80 % ≥ X &gt; 70% atau memperleh rating “20-30 (</t>
    </r>
    <r>
      <rPr>
        <i/>
        <sz val="10"/>
        <color theme="1"/>
        <rFont val="Arial"/>
        <family val="2"/>
      </rPr>
      <t>medium</t>
    </r>
    <r>
      <rPr>
        <sz val="10"/>
        <color theme="1"/>
        <rFont val="Arial"/>
        <family val="2"/>
      </rPr>
      <t>)”</t>
    </r>
  </si>
  <si>
    <t xml:space="preserve">70% ≥ X &gt; 60% atau memperleh rating “30-40 </t>
  </si>
  <si>
    <r>
      <t xml:space="preserve">X ≤ 60% </t>
    </r>
    <r>
      <rPr>
        <sz val="10"/>
        <color rgb="FF000000"/>
        <rFont val="Arial"/>
        <family val="2"/>
      </rPr>
      <t>atau memperleh rating</t>
    </r>
    <r>
      <rPr>
        <sz val="10"/>
        <rFont val="Arial"/>
        <family val="2"/>
      </rPr>
      <t xml:space="preserve"> “40+</t>
    </r>
    <r>
      <rPr>
        <sz val="8"/>
        <rFont val="Arial"/>
        <family val="2"/>
      </rPr>
      <t> </t>
    </r>
    <r>
      <rPr>
        <sz val="10"/>
        <rFont val="Arial"/>
        <family val="2"/>
      </rPr>
      <t xml:space="preserve"> </t>
    </r>
  </si>
  <si>
    <r>
      <t>(</t>
    </r>
    <r>
      <rPr>
        <i/>
        <sz val="10"/>
        <color theme="1"/>
        <rFont val="Arial"/>
        <family val="2"/>
      </rPr>
      <t>negligible</t>
    </r>
    <r>
      <rPr>
        <sz val="10"/>
        <color theme="1"/>
        <rFont val="Arial"/>
        <family val="2"/>
      </rPr>
      <t>)”</t>
    </r>
  </si>
  <si>
    <r>
      <t>(</t>
    </r>
    <r>
      <rPr>
        <i/>
        <sz val="10"/>
        <color theme="1"/>
        <rFont val="Arial"/>
        <family val="2"/>
      </rPr>
      <t>low</t>
    </r>
    <r>
      <rPr>
        <sz val="10"/>
        <color theme="1"/>
        <rFont val="Arial"/>
        <family val="2"/>
      </rPr>
      <t>)”</t>
    </r>
  </si>
  <si>
    <r>
      <t>(</t>
    </r>
    <r>
      <rPr>
        <i/>
        <sz val="10"/>
        <color theme="1"/>
        <rFont val="Arial"/>
        <family val="2"/>
      </rPr>
      <t>high</t>
    </r>
    <r>
      <rPr>
        <sz val="10"/>
        <color theme="1"/>
        <rFont val="Arial"/>
        <family val="2"/>
      </rPr>
      <t>)”</t>
    </r>
  </si>
  <si>
    <r>
      <t>(</t>
    </r>
    <r>
      <rPr>
        <i/>
        <sz val="10"/>
        <rFont val="Arial"/>
        <family val="2"/>
      </rPr>
      <t>severe</t>
    </r>
    <r>
      <rPr>
        <sz val="10"/>
        <rFont val="Arial"/>
        <family val="2"/>
      </rPr>
      <t>)”</t>
    </r>
  </si>
  <si>
    <t>Risiko Penyertaan Modal Negara (PMN)</t>
  </si>
  <si>
    <t>Penundaan pencairan PMN</t>
  </si>
  <si>
    <t>Diterima tepat waktu sesuai dengan RKAP</t>
  </si>
  <si>
    <t>Tertunda 1 bulan dari target RKAP</t>
  </si>
  <si>
    <t>Tertunda 2 bulan dari target RKAP</t>
  </si>
  <si>
    <t>Tertunda 3 bulan dari target RKAP</t>
  </si>
  <si>
    <t>Tertunda &gt; 4 bulan dari target RKAP</t>
  </si>
  <si>
    <t>Risiko Operasional Khusus Industri Perbankan</t>
  </si>
  <si>
    <r>
      <t xml:space="preserve">Total jumlah </t>
    </r>
    <r>
      <rPr>
        <i/>
        <sz val="10"/>
        <color theme="1"/>
        <rFont val="Arial"/>
        <family val="2"/>
      </rPr>
      <t xml:space="preserve">fraud </t>
    </r>
    <r>
      <rPr>
        <sz val="10"/>
        <color theme="1"/>
        <rFont val="Arial"/>
        <family val="2"/>
      </rPr>
      <t>internal dan eksternal</t>
    </r>
  </si>
  <si>
    <t>X &lt; 800</t>
  </si>
  <si>
    <t>800 ≤ X ≤ 1,000</t>
  </si>
  <si>
    <t>1,001 &lt; X ≤ 1,200</t>
  </si>
  <si>
    <t>1,201 &lt; X ≤ 1,400</t>
  </si>
  <si>
    <t>X &gt; 1,400</t>
  </si>
  <si>
    <t>Risiko Investasi Khusus Industri Asuransi</t>
  </si>
  <si>
    <t>Penurunan aset investasi berdasarkan rating surat utang atau Peringkat bank penerbit deposito</t>
  </si>
  <si>
    <r>
      <t xml:space="preserve">Instrumen pada </t>
    </r>
    <r>
      <rPr>
        <i/>
        <sz val="10"/>
        <color theme="1"/>
        <rFont val="Arial"/>
        <family val="2"/>
      </rPr>
      <t xml:space="preserve">investment grade </t>
    </r>
    <r>
      <rPr>
        <sz val="10"/>
        <color theme="1"/>
        <rFont val="Arial"/>
        <family val="2"/>
      </rPr>
      <t>100%,</t>
    </r>
  </si>
  <si>
    <r>
      <t xml:space="preserve">90% ≤ Instrumen pada </t>
    </r>
    <r>
      <rPr>
        <i/>
        <sz val="10"/>
        <color theme="1"/>
        <rFont val="Arial"/>
        <family val="2"/>
      </rPr>
      <t>Investment grade</t>
    </r>
    <r>
      <rPr>
        <sz val="10"/>
        <color theme="1"/>
        <rFont val="Arial"/>
        <family val="2"/>
      </rPr>
      <t xml:space="preserve"> &lt; 100%,</t>
    </r>
  </si>
  <si>
    <r>
      <t xml:space="preserve">80% ≤ Instrumen pada </t>
    </r>
    <r>
      <rPr>
        <i/>
        <sz val="10"/>
        <color theme="1"/>
        <rFont val="Arial"/>
        <family val="2"/>
      </rPr>
      <t>Investment grade</t>
    </r>
    <r>
      <rPr>
        <sz val="10"/>
        <color theme="1"/>
        <rFont val="Arial"/>
        <family val="2"/>
      </rPr>
      <t xml:space="preserve"> &lt; 90%,</t>
    </r>
  </si>
  <si>
    <r>
      <t xml:space="preserve">70% ≤ Instrumen pada </t>
    </r>
    <r>
      <rPr>
        <i/>
        <sz val="10"/>
        <color theme="1"/>
        <rFont val="Arial"/>
        <family val="2"/>
      </rPr>
      <t>Investment grade</t>
    </r>
    <r>
      <rPr>
        <sz val="10"/>
        <color theme="1"/>
        <rFont val="Arial"/>
        <family val="2"/>
      </rPr>
      <t xml:space="preserve"> &lt; 80%,</t>
    </r>
  </si>
  <si>
    <r>
      <t xml:space="preserve">Instrumen pada </t>
    </r>
    <r>
      <rPr>
        <i/>
        <sz val="10"/>
        <color theme="1"/>
        <rFont val="Arial"/>
        <family val="2"/>
      </rPr>
      <t xml:space="preserve">Investment grade </t>
    </r>
    <r>
      <rPr>
        <sz val="10"/>
        <color theme="1"/>
        <rFont val="Arial"/>
        <family val="2"/>
      </rPr>
      <t>&lt; 70%,</t>
    </r>
  </si>
  <si>
    <t>atau Peringkat AAA (yang setara)</t>
  </si>
  <si>
    <t>atau Peringkat AA (yang setara)</t>
  </si>
  <si>
    <t>atau Peringkat A (yang setara)</t>
  </si>
  <si>
    <t>atau Peringkat BBB (yang setara)</t>
  </si>
  <si>
    <t>atau Peringkat di bawah BBB (yang setara atau tidak diperingkat)</t>
  </si>
  <si>
    <t>Risiko Aktuarial</t>
  </si>
  <si>
    <t>Rasio Klaim</t>
  </si>
  <si>
    <t>Rasio klaim ≤ 75%</t>
  </si>
  <si>
    <t>75% &lt; Rasio klaim ≤ 82,5%</t>
  </si>
  <si>
    <t>82,5% &lt; Rasio klaim ≤ 90%</t>
  </si>
  <si>
    <t>90% &lt; Rasio klaim ≤ 100%</t>
  </si>
  <si>
    <t>Rasio klaim &gt; 100%</t>
  </si>
  <si>
    <t xml:space="preserve">Apabila acuan kriteria dampak tidak tersedia pada tabel di atas, BUMN dapat menggunakan acuan tabel kriteria dampak </t>
  </si>
  <si>
    <t>kualitatif lainnya sesuai dengan pedoman masing-masing dan menyampaikannya dalam buku RKAP.</t>
  </si>
  <si>
    <t>C.</t>
  </si>
  <si>
    <t>Kriteria Probabilitas</t>
  </si>
  <si>
    <t>DEFINISI MASING-MASING RISIKO PADA TAKSONOMI RISIKO KEMENTERIAN BUMN</t>
  </si>
  <si>
    <t>A.</t>
  </si>
  <si>
    <t>Taksonomi Risiko Kementerian BUMN Tingkat 1 (T1) mengandung 4 (empat) Tema Risiko sebagai berikut:</t>
  </si>
  <si>
    <r>
      <rPr>
        <b/>
        <sz val="11"/>
        <color theme="1"/>
        <rFont val="Arial"/>
        <family val="2"/>
      </rPr>
      <t>Tema Risiko Portofolio BUMN</t>
    </r>
    <r>
      <rPr>
        <sz val="11"/>
        <color theme="1"/>
        <rFont val="Arial"/>
        <family val="2"/>
      </rPr>
      <t>, merupakan kumpulan Risiko yang ditimbulkan oleh pelaksanaan peranan Kementerian BUMN sebagai pengelola Portofolio BUMN dan sebagai organisasi pemerintahan yang berkewajiban untuk menyelaraskan kebijakan-kebijakan pemerintahan di bidang pembinaan BUMN.</t>
    </r>
  </si>
  <si>
    <r>
      <rPr>
        <b/>
        <sz val="11"/>
        <color theme="1"/>
        <rFont val="Arial"/>
        <family val="2"/>
      </rPr>
      <t>Tema Risiko Struktur Korporasi dan Organisasi</t>
    </r>
    <r>
      <rPr>
        <sz val="11"/>
        <color theme="1"/>
        <rFont val="Arial"/>
        <family val="2"/>
      </rPr>
      <t>, merupakan kumpulan Risiko yang ditimbulkan oleh pilihan struktur korporasi dan struktur organisasi BUMN, terutama dilakukan oleh BUMN Induk terhadap Anak Perusahaan yang dapat mempengaruhi efektivitas dan efisiensi pengendalian, pemantauan, atau mitigasi Risiko bisnis.</t>
    </r>
  </si>
  <si>
    <r>
      <rPr>
        <b/>
        <sz val="11"/>
        <color theme="1"/>
        <rFont val="Arial"/>
        <family val="2"/>
      </rPr>
      <t>Tema Risiko Bisnis BUMN</t>
    </r>
    <r>
      <rPr>
        <sz val="11"/>
        <color theme="1"/>
        <rFont val="Arial"/>
        <family val="2"/>
      </rPr>
      <t>, merupakan kumpulan Risiko yang timbul dari kegiatan usaha masing-masing BUMN dan dikategorikan berdasarkan industri dan/atau klaster di mana BUMN tersebut beroperasi. Risiko pada tema ini memiliki karakteristik berupa peristiwa Risiko yang disebabkan oleh proses bisnis dan ketentuan sektoral.</t>
    </r>
  </si>
  <si>
    <r>
      <rPr>
        <b/>
        <sz val="11"/>
        <color theme="1"/>
        <rFont val="Arial"/>
        <family val="2"/>
      </rPr>
      <t>Tema Risiko Lainnya</t>
    </r>
    <r>
      <rPr>
        <sz val="11"/>
        <color theme="1"/>
        <rFont val="Arial"/>
        <family val="2"/>
      </rPr>
      <t>, kumpulan Risiko yang tidak masuk dalam ketiga tema Risiko di atas.</t>
    </r>
  </si>
  <si>
    <t>Definisi Kategori Risiko dari Taksonomi Risiko Kementerian BUMN Tingkat 2 (T2) mengandung 9 (sembilan) Kategori Risiko sebagai berikut:</t>
  </si>
  <si>
    <r>
      <rPr>
        <b/>
        <sz val="11"/>
        <color theme="1"/>
        <rFont val="Arial"/>
        <family val="2"/>
      </rPr>
      <t>Kategori Risiko Fiskal</t>
    </r>
    <r>
      <rPr>
        <sz val="11"/>
        <color theme="1"/>
        <rFont val="Arial"/>
        <family val="2"/>
      </rPr>
      <t xml:space="preserve"> yang mencakup semua peristiwa Risiko yang disebabkan oleh deviasi dari komitmen, kontribusi, serapan dan penggunaan dari APBN.</t>
    </r>
  </si>
  <si>
    <r>
      <rPr>
        <b/>
        <sz val="11"/>
        <color theme="1"/>
        <rFont val="Arial"/>
        <family val="2"/>
      </rPr>
      <t>Kategori Risiko Kebijakan</t>
    </r>
    <r>
      <rPr>
        <sz val="11"/>
        <color theme="1"/>
        <rFont val="Arial"/>
        <family val="2"/>
      </rPr>
      <t xml:space="preserve"> yang mencakup semua peristiwa Risiko yang disebabkan oleh ketidaksesuaian kebijakan-kebijakan, baik yang dikeluarkan oleh Kementerian BUMN dan/atau Kementerian Teknis. </t>
    </r>
  </si>
  <si>
    <r>
      <rPr>
        <b/>
        <sz val="11"/>
        <color theme="1"/>
        <rFont val="Arial"/>
        <family val="2"/>
      </rPr>
      <t xml:space="preserve">Kategori Risiko Komposisi </t>
    </r>
    <r>
      <rPr>
        <sz val="11"/>
        <color theme="1"/>
        <rFont val="Arial"/>
        <family val="2"/>
      </rPr>
      <t>yang mencakup semua peristiwa Risiko yang disebabkan oleh komposisi Portofolio BUMN.</t>
    </r>
  </si>
  <si>
    <r>
      <rPr>
        <b/>
        <sz val="11"/>
        <color theme="1"/>
        <rFont val="Arial"/>
        <family val="2"/>
      </rPr>
      <t>Kategori Risiko Struktur Korporasi</t>
    </r>
    <r>
      <rPr>
        <sz val="11"/>
        <color theme="1"/>
        <rFont val="Arial"/>
        <family val="2"/>
      </rPr>
      <t xml:space="preserve"> yang mencakup semua peristiwa Risiko yang disebabkan oleh Struktur Korporasi dan struktur organisasi masing-masing BUMN Konglomerasi yang dapat meningkatkan ketidakpastian pencapaian strategi BUMN Konglomerasi dan Portofolio BUMN secara material. </t>
    </r>
  </si>
  <si>
    <r>
      <rPr>
        <b/>
        <sz val="11"/>
        <color theme="1"/>
        <rFont val="Arial"/>
        <family val="2"/>
      </rPr>
      <t>Kategori Risiko Restrukturisasi dan Reorganisasi</t>
    </r>
    <r>
      <rPr>
        <sz val="11"/>
        <color theme="1"/>
        <rFont val="Arial"/>
        <family val="2"/>
      </rPr>
      <t xml:space="preserve"> yang mencakup semua peristiwa Risiko yang disebabkan oleh kegiatan restrukturisasi, merger dan akuisisi yang dilakukan pada tingkat BUMN Konglomerasi yang dapat meningkatkan ketidakpastian pencapaian strategi BUMN Konglomerasi dan Portofolio BUMN secara material.</t>
    </r>
  </si>
  <si>
    <r>
      <rPr>
        <b/>
        <sz val="11"/>
        <color theme="1"/>
        <rFont val="Arial"/>
        <family val="2"/>
      </rPr>
      <t>Kategori Risiko Industri Umum</t>
    </r>
    <r>
      <rPr>
        <sz val="11"/>
        <color theme="1"/>
        <rFont val="Arial"/>
        <family val="2"/>
      </rPr>
      <t xml:space="preserve"> yang mencakup semua peristiwa Risiko yang timbul dari kegiatan BUMN sebagai perusahaan yang dapat meningkatkan ketidakpastian pencapaian strategi Portofolio BUMN secara material.</t>
    </r>
  </si>
  <si>
    <r>
      <rPr>
        <b/>
        <sz val="11"/>
        <color theme="1"/>
        <rFont val="Arial"/>
        <family val="2"/>
      </rPr>
      <t>Kategori Risiko Industri Perbankan</t>
    </r>
    <r>
      <rPr>
        <sz val="11"/>
        <color theme="1"/>
        <rFont val="Arial"/>
        <family val="2"/>
      </rPr>
      <t xml:space="preserve"> yang mencakup semua peristiwa Risiko yang timbul dari kegiatan BUMN pada Klaster Jasa Keuangan sebagai perusahaan yang dapat meningkatkan ketidakpastian pencapaian strategi Portofolio BUMN secara material.</t>
    </r>
  </si>
  <si>
    <r>
      <rPr>
        <b/>
        <sz val="11"/>
        <color theme="1"/>
        <rFont val="Arial"/>
        <family val="2"/>
      </rPr>
      <t>Kategori Risiko Industri Asuransi</t>
    </r>
    <r>
      <rPr>
        <sz val="11"/>
        <color theme="1"/>
        <rFont val="Arial"/>
        <family val="2"/>
      </rPr>
      <t xml:space="preserve"> yang mencakup semua peristiwa Risiko yang timbul dari kegiatan BUMN pada Klaster Asuransi sebagai perusahaan yang dapat meningkatkan ketidakpastian pencapaian strategi Portofolio BUMN secara material.</t>
    </r>
  </si>
  <si>
    <r>
      <rPr>
        <b/>
        <sz val="11"/>
        <color theme="1"/>
        <rFont val="Arial"/>
        <family val="2"/>
      </rPr>
      <t xml:space="preserve">Kategori Risiko lainnya </t>
    </r>
    <r>
      <rPr>
        <sz val="11"/>
        <color theme="1"/>
        <rFont val="Arial"/>
        <family val="2"/>
      </rPr>
      <t>yang mencakup peristiwa Risiko yang tidak masuk dalam kedelapan kategori di atas.</t>
    </r>
  </si>
  <si>
    <t>Definisi Peristiwa Risiko dari Taksonomi Risiko Kementerian BUMN Taksonomi Risiko Kementerian BUMN Tingkat 3 (T3) mengandung 21 (dua puluh satu) Kelompok Peristiwa Risiko Agregasi sebagai berikut:</t>
  </si>
  <si>
    <r>
      <rPr>
        <b/>
        <sz val="11"/>
        <color theme="1"/>
        <rFont val="Arial"/>
        <family val="2"/>
      </rPr>
      <t>Peristiwa Risiko terkait Dividen</t>
    </r>
    <r>
      <rPr>
        <sz val="11"/>
        <color theme="1"/>
        <rFont val="Arial"/>
        <family val="2"/>
      </rPr>
      <t xml:space="preserve"> adalah peristiwa Risiko yang disebabkan oleh kegagalan dan ketidakmampuan dalam membayar dividen kepada APBN.</t>
    </r>
  </si>
  <si>
    <r>
      <rPr>
        <b/>
        <sz val="11"/>
        <color theme="1"/>
        <rFont val="Arial"/>
        <family val="2"/>
      </rPr>
      <t>Peristiwa Risiko terkait Penyertaan Modal Negara (PMN)</t>
    </r>
    <r>
      <rPr>
        <sz val="11"/>
        <color theme="1"/>
        <rFont val="Arial"/>
        <family val="2"/>
      </rPr>
      <t xml:space="preserve"> adalah peristiwa Risiko yang disebabkan oleh ketidakcukupan besaran PMN, keterlambatan pencairan dana PMN dan kegagalan pelaksanaan proyek PMN.</t>
    </r>
  </si>
  <si>
    <r>
      <rPr>
        <b/>
        <sz val="11"/>
        <color rgb="FF000000"/>
        <rFont val="Arial"/>
        <family val="2"/>
      </rPr>
      <t>Peristiwa Risiko terkait Subsidi dan Kompensasi</t>
    </r>
    <r>
      <rPr>
        <sz val="11"/>
        <color rgb="FF000000"/>
        <rFont val="Arial"/>
        <family val="2"/>
      </rPr>
      <t xml:space="preserve"> adalah peristiwa Risiko yang disebabkan oleh kekurangan, keterlambatan, dan kerugian penerimaan subsidi dan kompensasi serta ketidakmampuan merealisasikan </t>
    </r>
    <r>
      <rPr>
        <i/>
        <sz val="11"/>
        <color rgb="FF000000"/>
        <rFont val="Arial"/>
        <family val="2"/>
      </rPr>
      <t>supply</t>
    </r>
    <r>
      <rPr>
        <sz val="11"/>
        <color rgb="FF000000"/>
        <rFont val="Arial"/>
        <family val="2"/>
      </rPr>
      <t xml:space="preserve"> volume penyaluran subsidi dan kompensasi.</t>
    </r>
  </si>
  <si>
    <r>
      <rPr>
        <b/>
        <sz val="11"/>
        <color theme="1"/>
        <rFont val="Arial"/>
        <family val="2"/>
      </rPr>
      <t>Peristiwa Risiko terkait Kebijakan SDM</t>
    </r>
    <r>
      <rPr>
        <sz val="11"/>
        <color theme="1"/>
        <rFont val="Arial"/>
        <family val="2"/>
      </rPr>
      <t xml:space="preserve"> adalah peristiwa Risiko yang disebabkan oleh penerapan kebijakan pemilihan, pengangkatan dan penetapan KPI Direksi dan Dekom atau Dewan Pengawas BUMN serta kebijakan SDM BUMN yang bersifat strategis.</t>
    </r>
  </si>
  <si>
    <r>
      <rPr>
        <b/>
        <sz val="11"/>
        <color theme="1"/>
        <rFont val="Arial"/>
        <family val="2"/>
      </rPr>
      <t>Peristiwa Risiko terkait Kebijakan Sektoral</t>
    </r>
    <r>
      <rPr>
        <sz val="11"/>
        <color theme="1"/>
        <rFont val="Arial"/>
        <family val="2"/>
      </rPr>
      <t xml:space="preserve"> adalah peristiwa Risiko yang disebabkan oleh ketidakselarasan kebijakan yang dikeluarkan oleh Kementerian Teknis dan lembaga regulator yang dapat mempengaruhi ketidakpastian penerimaan atau operasi BUMN secara material.</t>
    </r>
  </si>
  <si>
    <r>
      <rPr>
        <b/>
        <sz val="11"/>
        <color theme="1"/>
        <rFont val="Arial"/>
        <family val="2"/>
      </rPr>
      <t>Peristiwa Risiko terkait Konsentrasi Portofolio</t>
    </r>
    <r>
      <rPr>
        <sz val="11"/>
        <color theme="1"/>
        <rFont val="Arial"/>
        <family val="2"/>
      </rPr>
      <t xml:space="preserve"> adalah peristiwa Risiko yang ditimbulkan oleh komposisi Portofolio BUMN yang terkonsentrasi pada industri tertentu;</t>
    </r>
  </si>
  <si>
    <r>
      <rPr>
        <b/>
        <sz val="11"/>
        <color theme="1"/>
        <rFont val="Arial"/>
        <family val="2"/>
      </rPr>
      <t>Peristiwa Risiko terkait Struktur Korporasi</t>
    </r>
    <r>
      <rPr>
        <sz val="11"/>
        <color theme="1"/>
        <rFont val="Arial"/>
        <family val="2"/>
      </rPr>
      <t xml:space="preserve"> adalah peristiwa Risiko kerugian yang ditimbulkan dari Anak Perusahaan BUMN dan/atau Perusahaan Afiliasi BUMN.</t>
    </r>
  </si>
  <si>
    <r>
      <rPr>
        <b/>
        <sz val="11"/>
        <color rgb="FF000000"/>
        <rFont val="Arial"/>
        <family val="2"/>
      </rPr>
      <t>Peristiwa Risiko terkait Penggabungan, Pengambilalihan, Peleburan, Pemisahan, Pembubaran, Likuidasi, Kemitraan, dan Restrukturisasi</t>
    </r>
    <r>
      <rPr>
        <sz val="11"/>
        <color rgb="FF000000"/>
        <rFont val="Arial"/>
        <family val="2"/>
      </rPr>
      <t xml:space="preserve"> adalah peristiwa Risiko yang disebabkan oleh transaksi aksi korporasi atas Penggabungan, Pengambilalihan, Peleburan, Pemisahan, Pembubaran, Likuidasi, Kemitraan, dan Restrukturisasi yang material yang dapat mempengaruhi posisi strategis BUMN di masa yang akan datang.</t>
    </r>
  </si>
  <si>
    <r>
      <rPr>
        <b/>
        <sz val="11"/>
        <color rgb="FF000000"/>
        <rFont val="Arial"/>
        <family val="2"/>
      </rPr>
      <t>Peristiwa Risiko terkait Formulasi Strategis</t>
    </r>
    <r>
      <rPr>
        <sz val="11"/>
        <color rgb="FF000000"/>
        <rFont val="Arial"/>
        <family val="2"/>
      </rPr>
      <t xml:space="preserve"> adalah peristiwa Risiko yang disebabkan oleh ketidakpastian kondisi BUMN dalam peta industri di mana BUMN tersebut beroperasi, termasuk ketidaktepatan arahan kebijakan strategis masing-masing BUMN yang dapat memberikan dampak yang material terhadap posisi BUMN dalam industri di mana BUMN tersebut beroperasi.</t>
    </r>
  </si>
  <si>
    <r>
      <rPr>
        <b/>
        <sz val="11"/>
        <color rgb="FF000000"/>
        <rFont val="Arial"/>
        <family val="2"/>
      </rPr>
      <t>Peristiwa Risiko terkait Pasar dan Makro Ekonomi</t>
    </r>
    <r>
      <rPr>
        <sz val="11"/>
        <color rgb="FF000000"/>
        <rFont val="Arial"/>
        <family val="2"/>
      </rPr>
      <t xml:space="preserve"> adalah peristiwa Risiko yang disebabkan oleh pergerakan-pergerakan variabel makro ekonomi global seperti pergerakan tingkat bunga referensi, pergerakan nilai tukar Rupiah, dan/atau pergerakan harga-harga komoditas yang tidak dapat dikendalikan oleh BUMN.</t>
    </r>
  </si>
  <si>
    <r>
      <rPr>
        <b/>
        <sz val="11"/>
        <color rgb="FF000000"/>
        <rFont val="Arial"/>
        <family val="2"/>
      </rPr>
      <t>Peristiwa Risiko terkait Keuangan</t>
    </r>
    <r>
      <rPr>
        <sz val="11"/>
        <color rgb="FF000000"/>
        <rFont val="Arial"/>
        <family val="2"/>
      </rPr>
      <t xml:space="preserve"> adalah peristiwa Risiko yang disebabkan oleh struktur dan akses pendanaan, terkait perpajakan, anggaran, akuntansi, piutang, pengelolaan modal kerja dan arus kas serta Risiko integritas atas penyusunan dan pelaporan keuangan.</t>
    </r>
  </si>
  <si>
    <r>
      <rPr>
        <b/>
        <sz val="11"/>
        <color rgb="FF000000"/>
        <rFont val="Arial"/>
        <family val="2"/>
      </rPr>
      <t>Peristiwa Risiko terkait Hukum, Reputasi dan Kepatuhan</t>
    </r>
    <r>
      <rPr>
        <sz val="11"/>
        <color rgb="FF000000"/>
        <rFont val="Arial"/>
        <family val="2"/>
      </rPr>
      <t xml:space="preserve"> adalah peristiwa Risiko yang disebabkan oleh tindakan dan/atau tuntutan hukum, kecurangan dalam konteks korupsi, kolusi dan nepotisme, perburukan reputasi BUMN dan ketidakpatuhan pada peraturan perundang-undangan yang berlaku yang dapat berpengaruh terhadap reputasi dan kinerja BUMN.</t>
    </r>
  </si>
  <si>
    <r>
      <rPr>
        <b/>
        <sz val="11"/>
        <color theme="1"/>
        <rFont val="Arial"/>
        <family val="2"/>
      </rPr>
      <t>Peristiwa Risiko terkait Proyek</t>
    </r>
    <r>
      <rPr>
        <sz val="11"/>
        <color theme="1"/>
        <rFont val="Arial"/>
        <family val="2"/>
      </rPr>
      <t xml:space="preserve"> yaitu peristiwa Risiko yang disebabkan oleh proyek-proyek yang dijalankan oleh BUMN mulai dari proses pemilihan proyek, pemilihan konsorsium, Risiko kontraktual proyek, Risiko eksekusi proyek dan penyelesaian proyek. Risiko ini terutama berasal dari BUMN yang memiliki sumber pendapatan yang berasal dari kontrak-kontrak jangka panjang, dan atau BUMN yang sedang menjalankan proyek jangka panjang untuk kepentingan ekspansi.</t>
    </r>
  </si>
  <si>
    <r>
      <rPr>
        <b/>
        <sz val="11"/>
        <color theme="1"/>
        <rFont val="Arial"/>
        <family val="2"/>
      </rPr>
      <t>Peristiwa Risiko terkait Teknologi Informasi dan Keamanan Siber</t>
    </r>
    <r>
      <rPr>
        <sz val="11"/>
        <color theme="1"/>
        <rFont val="Arial"/>
        <family val="2"/>
      </rPr>
      <t xml:space="preserve"> adalah Risiko yang disebabkan oleh kegagalan perangkat lunak, perangkat keras, jaringan, atau sistem teknologi informasi lainnya pada BUMN termasuk Risiko yang diakibatkan oleh serangan siber (</t>
    </r>
    <r>
      <rPr>
        <i/>
        <sz val="11"/>
        <color theme="1"/>
        <rFont val="Arial"/>
        <family val="2"/>
      </rPr>
      <t>cyber attacks</t>
    </r>
    <r>
      <rPr>
        <sz val="11"/>
        <color theme="1"/>
        <rFont val="Arial"/>
        <family val="2"/>
      </rPr>
      <t>), kehilangan data, pelanggaran privasi, manipulasi data berbahaya, dan/atau pengelolaan akses data.</t>
    </r>
  </si>
  <si>
    <r>
      <rPr>
        <b/>
        <sz val="11"/>
        <color theme="1"/>
        <rFont val="Arial"/>
        <family val="2"/>
      </rPr>
      <t>Peristiwa Risiko terkait Sosial dan Lingkungan</t>
    </r>
    <r>
      <rPr>
        <sz val="11"/>
        <color theme="1"/>
        <rFont val="Arial"/>
        <family val="2"/>
      </rPr>
      <t xml:space="preserve"> adalah potensi eksposur yang disebabkan oleh peristiwa perubahan iklim fisik, dan/atau Risiko transisi terkait perubahan kebijakan lingkungan, Risiko terkait hubungan yang tidak baik dengan komunitas/masyarakat sekitar dan </t>
    </r>
    <r>
      <rPr>
        <i/>
        <sz val="11"/>
        <color theme="1"/>
        <rFont val="Arial"/>
        <family val="2"/>
      </rPr>
      <t>social engagement</t>
    </r>
    <r>
      <rPr>
        <sz val="11"/>
        <color theme="1"/>
        <rFont val="Arial"/>
        <family val="2"/>
      </rPr>
      <t>.</t>
    </r>
  </si>
  <si>
    <r>
      <rPr>
        <b/>
        <sz val="11"/>
        <color rgb="FF000000"/>
        <rFont val="Arial"/>
        <family val="2"/>
      </rPr>
      <t>Peristiwa Risiko terkait Operasional</t>
    </r>
    <r>
      <rPr>
        <sz val="11"/>
        <color rgb="FF000000"/>
        <rFont val="Arial"/>
        <family val="2"/>
      </rPr>
      <t xml:space="preserve"> adalah potensi kerugian yang disebabkan oleh proses internal, kegagalan sistem, kecelakaan dalam kesehatan keselamatan kerja, kesalahan manusia, atau kejadian eksternal (seperti gangguan rantai pasok, logistik, dan lain sebagainya) yang mempengaruhi operasi bisnis sehari-hari.</t>
    </r>
  </si>
  <si>
    <r>
      <rPr>
        <b/>
        <sz val="11"/>
        <color theme="1"/>
        <rFont val="Arial"/>
        <family val="2"/>
      </rPr>
      <t>Peristiwa Risiko terkait Kredit</t>
    </r>
    <r>
      <rPr>
        <sz val="11"/>
        <color theme="1"/>
        <rFont val="Arial"/>
        <family val="2"/>
      </rPr>
      <t xml:space="preserve"> adalah peristiwa Risiko yang disebabkan oleh potensi debitur gagal membayar utang yang diwajibkan secara tepat waktu, yang mengakibatkan keterlambatan dan/atau penundaan pembayaran.</t>
    </r>
  </si>
  <si>
    <r>
      <rPr>
        <b/>
        <sz val="11"/>
        <color theme="1"/>
        <rFont val="Arial"/>
        <family val="2"/>
      </rPr>
      <t>Peristiwa Risiko terkait Likuiditas</t>
    </r>
    <r>
      <rPr>
        <sz val="11"/>
        <color theme="1"/>
        <rFont val="Arial"/>
        <family val="2"/>
      </rPr>
      <t xml:space="preserve"> adalah Risiko ketidakmampuan Bank BUMN untuk memenuhi kewajiban yang jatuh tempo dari sumber pendanaan arus kas dan/atau dari aset likuid yang dapat dengan mudah dikonversi menjadi kas, tanpa mengganggu aktivitas dan kondisi keuangan Bank BUMN.</t>
    </r>
  </si>
  <si>
    <r>
      <rPr>
        <b/>
        <sz val="11"/>
        <color rgb="FF000000"/>
        <rFont val="Arial"/>
        <family val="2"/>
      </rPr>
      <t>Peristiwa Risiko terkait Investasi</t>
    </r>
    <r>
      <rPr>
        <sz val="11"/>
        <color rgb="FF000000"/>
        <rFont val="Arial"/>
        <family val="2"/>
      </rPr>
      <t xml:space="preserve"> adalah kemungkinan kerugian atau terganggunya likuiditas Perusahaan, akibat dari aktivitas investasi, yang disebabkan terdapat </t>
    </r>
    <r>
      <rPr>
        <i/>
        <sz val="11"/>
        <color rgb="FF000000"/>
        <rFont val="Arial"/>
        <family val="2"/>
      </rPr>
      <t>concentration risk, default risk, settlement risk, general market risk,</t>
    </r>
    <r>
      <rPr>
        <sz val="11"/>
        <color rgb="FF000000"/>
        <rFont val="Arial"/>
        <family val="2"/>
      </rPr>
      <t xml:space="preserve"> atau </t>
    </r>
    <r>
      <rPr>
        <i/>
        <sz val="11"/>
        <color rgb="FF000000"/>
        <rFont val="Arial"/>
        <family val="2"/>
      </rPr>
      <t>specific market risk</t>
    </r>
    <r>
      <rPr>
        <sz val="11"/>
        <color rgb="FF000000"/>
        <rFont val="Arial"/>
        <family val="2"/>
      </rPr>
      <t>, Risiko konsentrasi investasi (kurangnya diversifikasi/akumulasi Risiko dalam buku penjaminan/</t>
    </r>
    <r>
      <rPr>
        <i/>
        <sz val="11"/>
        <color rgb="FF000000"/>
        <rFont val="Arial"/>
        <family val="2"/>
      </rPr>
      <t>underwriting</t>
    </r>
    <r>
      <rPr>
        <sz val="11"/>
        <color rgb="FF000000"/>
        <rFont val="Arial"/>
        <family val="2"/>
      </rPr>
      <t>), investasi, dan lain-lain;</t>
    </r>
  </si>
  <si>
    <r>
      <rPr>
        <b/>
        <sz val="11"/>
        <color rgb="FF000000"/>
        <rFont val="Arial"/>
        <family val="2"/>
      </rPr>
      <t>Peristiwa Risiko terkait Aktuarial</t>
    </r>
    <r>
      <rPr>
        <sz val="11"/>
        <color rgb="FF000000"/>
        <rFont val="Arial"/>
        <family val="2"/>
      </rPr>
      <t xml:space="preserve"> adalah potensi kegagalan Perusahaan untuk memenuhi kewajiban kepada pemegang polis, akibat kelemahan aktivitas aktuaria, yang disebabkan ketidakakuratan asumsi aktuaria/modelling yang digunakan, ketidakcukupan premi/ kontribusi yang ditetapkan, ketidakcukupan pembentukan cadangan teknis, atau volatilitas yang tidak terduga dalam faktor-faktor utama (seperti perubahan demografi, bencana luar biasa, tingkat kematian, tingkat harapan hidup, tingkat kecacatan, biaya kesehatan, biaya operasional, dan sebagainya).</t>
    </r>
  </si>
  <si>
    <r>
      <rPr>
        <b/>
        <sz val="11"/>
        <color theme="1"/>
        <rFont val="Arial"/>
        <family val="2"/>
      </rPr>
      <t>Peristiwa Risiko lainnya</t>
    </r>
    <r>
      <rPr>
        <sz val="11"/>
        <color theme="1"/>
        <rFont val="Arial"/>
        <family val="2"/>
      </rPr>
      <t xml:space="preserve"> adalah peristiwa Risiko yang tidak masuk dalam 20 kategori di atas.</t>
    </r>
  </si>
  <si>
    <t>PETUNJUK PENGISIAN DATA PERENCANAAN KEUANGAN 
PADA SIM KBUMN MELALUI PLATFORM ANAPLAN</t>
  </si>
  <si>
    <t>Petunjuk Pengisian RKAP</t>
  </si>
  <si>
    <t>Pada bagian homepage, tekan menu Home dan pilih Apps.</t>
  </si>
  <si>
    <t>Buka Apps [PROD] KBUMN - Financial Reporting, Consolidation &amp; Planning.</t>
  </si>
  <si>
    <t>Pada tampilan Apps yang telah dibuka, pilih menu 20. Home – Financial Planning RKAP RJPP.</t>
  </si>
  <si>
    <t>Pada tampilan Navigation Pane, pilih 10. Corporate Annual Planning and Budgeting.</t>
  </si>
  <si>
    <t xml:space="preserve">Isi data Posisi Keuangan Aset Lancar (IDR dalam Juta). </t>
  </si>
  <si>
    <t>Pilih BUMN yang akan diinput.</t>
  </si>
  <si>
    <t>Pastikan data keuangan yang diinput sesuai dengan periode posisi keuangan yang dimaksud.</t>
  </si>
  <si>
    <t>Contoh:
Q4 FY22: Prognosa 2022 (Jan-Des)
Q1 FY23 – Q4 FY23: RKAP 2023 (YTD untuk setiap quarter)
Q4 FY24: RJPP 2024 (Jan-Des)
Q4 FY25: RJPP 2025 (Jan-Des)</t>
  </si>
  <si>
    <t>Input data keuangan sesuai dengan akun MSOE dan periode keuangan yang dimaksud.</t>
  </si>
  <si>
    <t>Menunjukkan data historis (jika kosong maka menunjukkan data historis dengan saldo 0/tidak ada).</t>
  </si>
  <si>
    <t>Pastikan total Aset Lancar sesuai dengan yang diinput.</t>
  </si>
  <si>
    <t>Isi data Posisi Keuangan Aset Lembaga Keuangan dan Investasi Surat Berharga (IDR dalam Juta).</t>
  </si>
  <si>
    <t>Pastikan total Aset Lembaga Keuangan dan Investasi Surat Berharga sesuai dengan yang diinput.</t>
  </si>
  <si>
    <t xml:space="preserve">Isi data Posisi Keuangan Aset Tidak Lancar (IDR dalam Juta). </t>
  </si>
  <si>
    <t>Contoh :
Q4 FY22: Prognosa 2022 (Jan-Des)
Q1 FY23 – Q4 FY23: RKAP 2023 (YTD untuk setiap quarter)
Q4 FY24: RJPP 2024 (Jan-Des)
Q4 FY25: RJPP 2025 (Jan-Des)</t>
  </si>
  <si>
    <t>Pastikan total Aset Tidak Lancar dan Total Aset sesuai dengan yang diinput; Total Aset = Aset Lancar + Aset Lembaga Keuangan + Aset Tidak Lancar.</t>
  </si>
  <si>
    <t xml:space="preserve">Isi data Posisi Keuangan Liabilitas Jangka Pendek (IDR dalam Juta). </t>
  </si>
  <si>
    <t>a.      Pastikan data keuangan yang diinput sesuai dengan periode posisi keuangan yang dimaksud.</t>
  </si>
  <si>
    <t>b.      Input data keuangan sesuai dengan akun MSOE dan periode keuangan yang dimaksud.</t>
  </si>
  <si>
    <t>c.      Menunjukkan data historis (jika kosong maka menunjukkan data historis dengan saldo 0/tidak ada).</t>
  </si>
  <si>
    <t>d.      Pastikan total Liabilitas Jangka Pendek sesuai dengan yang diinput.</t>
  </si>
  <si>
    <t xml:space="preserve">Isi data Posisi Keuangan Liabilitas Lembaga Keuangan (IDR dalam Juta). </t>
  </si>
  <si>
    <t>d.      Pastikan total Liabilitas Lembaga Keuangan sesuai dengan yang diinput.</t>
  </si>
  <si>
    <t>10     </t>
  </si>
  <si>
    <t xml:space="preserve"> Isi data Posisi Keuangan Liabilitas Jangka Panjang (IDR dalam Juta). </t>
  </si>
  <si>
    <t>d.      Pastikan total Liabilitas Jangka Panjang dan Total Liabilitas sesuai dengan yang diinput; Total Liabilitas = Liabilitas Jangka Pendek + Liabilitas Lembaga Keuangan + Liabilitas Jangka Panjang.</t>
  </si>
  <si>
    <t xml:space="preserve"> Isi data Posisi Keuangan Ekuitas (IDR dalam Juta).</t>
  </si>
  <si>
    <t>d.      Pastikan total Ekuitas sesuai dengan yang diinput. Pastikan pula Aset – (Liabilitas + Ekuitas) = 0.</t>
  </si>
  <si>
    <t>Isi data Posisi Keuangan Pendapatan Usaha (IDR dalam Juta).</t>
  </si>
  <si>
    <t>d.      Pastikan total Pendapatan Usaha sesuai dengan yang diinput.</t>
  </si>
  <si>
    <t xml:space="preserve">Isi data Posisi Keuangan Beban Pokok Pendapatan (IDR dalam Juta). </t>
  </si>
  <si>
    <t>d.     Pastikan total Beban Pokok Pendapatan dan Laba Kotor sesuai dengan yang diinput; Laba Kotor = Pendapatan Usaha – Beban Pokok Pendapatan.</t>
  </si>
  <si>
    <t xml:space="preserve">Isi data Posisi Keuangan Beban Usaha (IDR dalam Juta). </t>
  </si>
  <si>
    <t>d.      Pastikan total Beban Usaha dan Laba Usaha sesuai dengan yang diinput; Laba Usaha = Laba Kotor – Beban Usaha.</t>
  </si>
  <si>
    <t xml:space="preserve">Isi data Posisi Keuangan Pendapatan dan Beban Non Usaha (IDR dalam Juta). </t>
  </si>
  <si>
    <t>d.      Pastikan total Pendapatan dan Beban Non Usaha dan Laba Bersih sesuai dengan yang diinput; Laba Bersih = Laba Usaha – Pendapatan dan Beban Non Usaha.</t>
  </si>
  <si>
    <t xml:space="preserve">Isi data Posisi Keuangan Depresiasi dan Amortisasi di Beban Pokok (IDR dalam Juta). </t>
  </si>
  <si>
    <t>b.      Input data Depresiasi dan Amortisasi di Beban Pokok (untuk keperluan menghitung EBITDA) sesuai dengan periode waktu yang dimaksud.</t>
  </si>
  <si>
    <t xml:space="preserve"> Isi data Posisi Keuangan Arus Kas (IDR dalam Juta). </t>
  </si>
  <si>
    <t>c.      Pastikan total Sanity Check = 0, dimana Sanity Check yaitu: Kas dan Bank Pada Akhir Tahun = Kas dan Bank pada Awal Tahun + Kenaikan Kas dan Bank + Pengaruh Selisih Kurs.</t>
  </si>
  <si>
    <t>B</t>
  </si>
  <si>
    <t xml:space="preserve">Petunjuk Pengisian Data Target Dividen </t>
  </si>
  <si>
    <t>1.      Input Saldo laba yang di cadangkan pada retained earnings per akhir Desember tahun sebelumnya.</t>
  </si>
  <si>
    <t>2.      Input Saldo Modal yang ditempatkan dan disetor per akhir Desember tahun sebelumnya.</t>
  </si>
  <si>
    <t>3.      Persentase cadangan saldo laba tahun sebelumnya = Saldo laba yang di cadangkan pada retained earnings per akhir Desember tahun sebelumnya ÷ Saldo modal yang ditempatkan dan disetor per akhir Desember tahun sebelumnya: c = a ÷ b.</t>
  </si>
  <si>
    <t>4.      Input Persentase saham RI.</t>
  </si>
  <si>
    <t>5.      Input Pay Out Ratio (POR).</t>
  </si>
  <si>
    <t>6.      Total Dividen = Laba bersih tahun sebelumnya × POR.</t>
  </si>
  <si>
    <t>7.      Dividen ke RI = Total Dividen × Persentase saham RI.</t>
  </si>
  <si>
    <t>8.      Jika telah selesai menginput data Corporate Annual Planning and Budgeting, klik 20. CAPEX Planning untuk input data selanjutnya.</t>
  </si>
  <si>
    <t xml:space="preserve">Petunjuk Pengisian Data Perencanaan CAPEX </t>
  </si>
  <si>
    <t>1.      Pilih BUMN dan Periode Isian data</t>
  </si>
  <si>
    <t>a.      Pilih BUMN yang akan diinput.</t>
  </si>
  <si>
    <t>b.      Pilih periode pengisian waktu. Pastikan pilih FY23_Final_Version_BUMN.</t>
  </si>
  <si>
    <t>2.      Isi data CAPEX</t>
  </si>
  <si>
    <t>a.      Isi data CAPEX melalui Upload file CSV:</t>
  </si>
  <si>
    <t xml:space="preserve">1)     Klik Upload Capex Data Via CSV </t>
  </si>
  <si>
    <t>2)     Klik Choose File untuk upload</t>
  </si>
  <si>
    <t>3)     Klik Run Process</t>
  </si>
  <si>
    <t xml:space="preserve">Detail Step 2a: Isi data CAPEX melalui Upload file CSV </t>
  </si>
  <si>
    <t>Langkah dalam mempersiapkan file CAPEX yang akan diupload, yaitu:</t>
  </si>
  <si>
    <t>-     Isi data pada Sheet1</t>
  </si>
  <si>
    <t>1)     Project code = merupakan rumus/formula</t>
  </si>
  <si>
    <t>2)     Version = Disesuaikan dengan periode dan versi bersangkutan</t>
  </si>
  <si>
    <t>3)     Name of Capex = Nama Capex</t>
  </si>
  <si>
    <t>4)     Characteristic terdapat tiga pilihan, yaitu</t>
  </si>
  <si>
    <t>Project Capex</t>
  </si>
  <si>
    <t>: Capex baru yang belum pernah dilaksanakan (Pembangunan Gedung Baru)</t>
  </si>
  <si>
    <t>Maintenance Capex</t>
  </si>
  <si>
    <t>: Pemeliharaan aset tetap lama</t>
  </si>
  <si>
    <t>Expansion Capex</t>
  </si>
  <si>
    <t>: Penambahan nilai aset tetap lama, misalnya penambahan tingkatan lantai baru pada gedung lama</t>
  </si>
  <si>
    <t>5)     Asset Type terdapat beberapa pilihan, yaitu</t>
  </si>
  <si>
    <t>Land</t>
  </si>
  <si>
    <t>: Tanah</t>
  </si>
  <si>
    <t>Building</t>
  </si>
  <si>
    <t>: Bangunan</t>
  </si>
  <si>
    <t>Factory</t>
  </si>
  <si>
    <t>: Pabrik</t>
  </si>
  <si>
    <t>Machinery, Plants &amp; Equipment</t>
  </si>
  <si>
    <t>: Mesin, Pembangkit, &amp; Perlengkapan</t>
  </si>
  <si>
    <t>Vehicles</t>
  </si>
  <si>
    <t>: Kendaraan</t>
  </si>
  <si>
    <t>IT Equipment</t>
  </si>
  <si>
    <t>: Perlengkapan TI</t>
  </si>
  <si>
    <t>Other Tangible Aset</t>
  </si>
  <si>
    <t>: Aset Tetap Lainnya</t>
  </si>
  <si>
    <t>Concessions</t>
  </si>
  <si>
    <t>: Konsesi</t>
  </si>
  <si>
    <t>Mining, Oil &amp; Gas Assets</t>
  </si>
  <si>
    <t>: Aset Minyak dan Gas</t>
  </si>
  <si>
    <t>Other Intangible Assets</t>
  </si>
  <si>
    <t>: Aset Tak Berwujud Lainnya</t>
  </si>
  <si>
    <t>6)     Asset Useful Life</t>
  </si>
  <si>
    <t>7)     Depreciation Start Year</t>
  </si>
  <si>
    <t>8)     Allocation of Depreciation terdapat dua pilihan yaitu</t>
  </si>
  <si>
    <t>Direct Cost</t>
  </si>
  <si>
    <t>: Beban Pokok Pendapatan</t>
  </si>
  <si>
    <t>Operating Cost</t>
  </si>
  <si>
    <t>: Beban Umum dan Administrasi</t>
  </si>
  <si>
    <t>9)     Source of Funds terdapat dua pilihan yaitu</t>
  </si>
  <si>
    <t>General</t>
  </si>
  <si>
    <t>: Pendanaan Internal</t>
  </si>
  <si>
    <t>Project Funding</t>
  </si>
  <si>
    <t>: Pinjaman/PMN</t>
  </si>
  <si>
    <t>10)   Justification = Keterangan</t>
  </si>
  <si>
    <t>-     Save as Sheet1 ke dalam CSV file format. Format file untuk diupload merupakan format CSV dan hanya bisa terdapat 1 sheet.</t>
  </si>
  <si>
    <t>b.      Isi data CAPEX dengan input melalui form:</t>
  </si>
  <si>
    <t>1)     Klik Add CAPEX Items</t>
  </si>
  <si>
    <t xml:space="preserve">2)     Isi Form (tanda * menunjukkan wajib untuk diisi) </t>
  </si>
  <si>
    <t>3)     Klik Submit</t>
  </si>
  <si>
    <t>3.      Review data CAPEX yang telah diinput</t>
  </si>
  <si>
    <t>a.      Menunjukkan data yang telah diupload atau diinput</t>
  </si>
  <si>
    <t>b.      Untuk menghapus CAPEX:</t>
  </si>
  <si>
    <t>1)     Pilih item CAPEX/baris yang akan dihapus</t>
  </si>
  <si>
    <t>2)     Klik Delete Selected Project(s)</t>
  </si>
  <si>
    <t xml:space="preserve"> Isi data CAPEX Cost Projection (IDR dalam Juta) </t>
  </si>
  <si>
    <t>a.      Pastikan data keuangan yang diinput sesuai dengan periode posisi keuangan yang dimaksud</t>
  </si>
  <si>
    <t>FY23</t>
  </si>
  <si>
    <t>FY24 (jika multi years)</t>
  </si>
  <si>
    <t>FY25 (jika multi years)</t>
  </si>
  <si>
    <t>b.      Input Spend dan Funding setiap CAPEX sesuai dengan periode. Pastikan Sanity Check = 0 dimana Sanity Check = Capex Spend – (Debt Funding + Internal Funding + PMN Funding)</t>
  </si>
  <si>
    <t>Tick periode yang sudah selesai diinput</t>
  </si>
  <si>
    <t>ILUSTRASI CONTOH PERHITUNGAN AMBANG RISIKO 
DAN POLA INTEGRASI RISIKO</t>
  </si>
  <si>
    <t>Terdapat sebuah perusahaan manufaktur yang melakukan perhitungan Risiko dan proses integrasi Risiko sebagi berikut:</t>
  </si>
  <si>
    <t>Strategi Risiko (Penetapan Ambang Batas Risiko)</t>
  </si>
  <si>
    <t>Perusahaan Manufaktur A menggunakan data historis realisasi 3-5 tahun terakhir dan data RKAP 202X sebagai acuan dalam menentukan Kapasitas Risiko, Selera Risiko, Toleransi Risiko, dan Limit Risiko Tahun 202X. Untuk memudahkan pemahaman, berikut adalah ilustrasi data finansial RKAP Tahun 2023 (data dummy) untuk menghitung Kapasitas Risiko, Selera Risiko, Toleransi Risiko, dan Limit Risiko Tahun 2023.</t>
  </si>
  <si>
    <t>Tabel Neraca RKAP Tahun 2023 (USD Juta)</t>
  </si>
  <si>
    <t xml:space="preserve">Aset lancar </t>
  </si>
  <si>
    <t>Liabilitas jangka pendek</t>
  </si>
  <si>
    <t xml:space="preserve">Aset tidak lancar  </t>
  </si>
  <si>
    <t>Liabilitas jangka panjang</t>
  </si>
  <si>
    <t>Ekuitas</t>
  </si>
  <si>
    <t xml:space="preserve">Total Aset </t>
  </si>
  <si>
    <t>Total Liabilitas &amp; Ekuitas</t>
  </si>
  <si>
    <t>Tabel  Laba Rugi RKAP Tahun 2023 (USD Juta)</t>
  </si>
  <si>
    <t>HPP</t>
  </si>
  <si>
    <t>Laba kotor</t>
  </si>
  <si>
    <t>Biaya administrasi dan lain-lain</t>
  </si>
  <si>
    <t>Laba bersih sebelum pajak</t>
  </si>
  <si>
    <t>Pajak</t>
  </si>
  <si>
    <t>Laba bersih setelah pajak</t>
  </si>
  <si>
    <t>Berdasarkan data di atas, dilakukan perhitungan ambang Risiko sebagai berikut:</t>
  </si>
  <si>
    <t xml:space="preserve">1.    </t>
  </si>
  <si>
    <t xml:space="preserve">Kapasitas Risiko </t>
  </si>
  <si>
    <t>Perusahaan Manufaktur A menggunakan pendekatan Net Working Capital (NWC) dalam menghitung Kapasitas Risiko, sehingga nilai Kapasitas Risiko Perusahaan Manufaktur A Tahun 2023 dapat dhitung sebagai berikut:</t>
  </si>
  <si>
    <t>Aset Lancar</t>
  </si>
  <si>
    <t>USD 30.000 juta</t>
  </si>
  <si>
    <t>Liabilitas Jangka Pendek</t>
  </si>
  <si>
    <t>USD 25.000 juta</t>
  </si>
  <si>
    <t>Kapasitas Risiko / Net Working Capital</t>
  </si>
  <si>
    <t>USD   5.000 juta</t>
  </si>
  <si>
    <t xml:space="preserve">2.    </t>
  </si>
  <si>
    <t xml:space="preserve">Selera Risiko </t>
  </si>
  <si>
    <t>Dalam menetapkan Selera Risiko, terdapat beberapa pendekatan yang dijadikan sebagai acuan, di antaranya:</t>
  </si>
  <si>
    <t>a    </t>
  </si>
  <si>
    <t xml:space="preserve">Judgement atau pertimbangan manajemen; </t>
  </si>
  <si>
    <t xml:space="preserve"> b     </t>
  </si>
  <si>
    <t>Data historis realisasi loss event selama 3 – 5 tahun terakhir;</t>
  </si>
  <si>
    <t xml:space="preserve"> c     </t>
  </si>
  <si>
    <t>Data historis nilai eksposur Risiko Residual dari Risiko Utama dengan Kapasitas Risiko atau disebut dengan Total Capacity at Risk 3 – 5 tahun terakhir</t>
  </si>
  <si>
    <t>Sebagai contoh, berikut adalah ilustrasi Selera Risiko yang diperoleh dari data historis nilai eksposur Risiko Residual dari Risiko Utama dengan Kapasitas Risiko atau disebut dengan Total Capacity at Risk selama 5 tahun terakhir.</t>
  </si>
  <si>
    <t>Tabel Ilustrasi Perhitungan Total Capacity at Risk Perusahaan Manufaktur A</t>
  </si>
  <si>
    <t>Total Realisasi Nilai Eksposur Risiko Residual dari Risiko Utama 
(USD juta)</t>
  </si>
  <si>
    <t>Kapasitas Risiko
(USD juta)</t>
  </si>
  <si>
    <t>% Nilai Eksposur Risiko Residual terhadap Kapasitas Risiko</t>
  </si>
  <si>
    <t>(a)</t>
  </si>
  <si>
    <t>(b)</t>
  </si>
  <si>
    <t>(c=a/b*100%)</t>
  </si>
  <si>
    <t xml:space="preserve">Berdasarkan data historis di atas, diperoleh rata-rata Total Capacity at Risk sebesar 15% dan maksimum Total Capacity at Risk sebesar 20%, sehingga disusun level Selera Risiko sebagai berikut: </t>
  </si>
  <si>
    <t>Tabel Level Selera Risiko Perusahaan Manufaktur A</t>
  </si>
  <si>
    <t xml:space="preserve">Range </t>
  </si>
  <si>
    <r>
      <t>Level</t>
    </r>
    <r>
      <rPr>
        <i/>
        <sz val="10"/>
        <color rgb="FFFFFFFF"/>
        <rFont val="Arial"/>
        <family val="2"/>
      </rPr>
      <t xml:space="preserve"> </t>
    </r>
    <r>
      <rPr>
        <sz val="10"/>
        <color rgb="FFFFFFFF"/>
        <rFont val="Arial"/>
        <family val="2"/>
      </rPr>
      <t>Selera Risiko</t>
    </r>
  </si>
  <si>
    <t>&lt;15% dari Kapasitas Risiko</t>
  </si>
  <si>
    <r>
      <t xml:space="preserve"> </t>
    </r>
    <r>
      <rPr>
        <sz val="10"/>
        <color theme="1"/>
        <rFont val="Arial"/>
        <family val="2"/>
      </rPr>
      <t>Konservatif</t>
    </r>
  </si>
  <si>
    <t xml:space="preserve">15% ≤ Kapasitas Risiko ≤ 20% </t>
  </si>
  <si>
    <r>
      <t>&gt;20% dari Kapasitas Risiko</t>
    </r>
    <r>
      <rPr>
        <sz val="8"/>
        <color theme="1"/>
        <rFont val="Arial"/>
        <family val="2"/>
      </rPr>
      <t> </t>
    </r>
  </si>
  <si>
    <t>Strategis</t>
  </si>
  <si>
    <t>Mengacu pada tabel di atas dan berdasarkan pertimbangan manajemen, Perusahaan Manufaktur A menetapkan kebijakan Selera Risiko Tahun 2023 berada di level moderat, yaitu sebesar 15%-20% atau senilai USD 750 juta - USD 1.000 juta.</t>
  </si>
  <si>
    <t xml:space="preserve">3.    </t>
  </si>
  <si>
    <t xml:space="preserve">Toleransi Risiko </t>
  </si>
  <si>
    <t>Dari range Selera Risiko Moderat tersebut di atas, manajemen menetapkan Toleransi Risiko sebesar 10% di atas Selera Risiko atau sebesar USD 1.100 juta, sehingga diperoleh profil perhitungan Toleransi Risiko sebagai berikut:</t>
  </si>
  <si>
    <t>Tabel Toleransi Risiko Perusahaan Manufaktur A</t>
  </si>
  <si>
    <t>Kapasitas Risiko</t>
  </si>
  <si>
    <t>Modal Kerja Bersih (NWC)</t>
  </si>
  <si>
    <t>USD 5.000 juta</t>
  </si>
  <si>
    <t>Selera Risiko</t>
  </si>
  <si>
    <t>15% - 20% dari NWC</t>
  </si>
  <si>
    <t>USD 750 – 1.000 juta</t>
  </si>
  <si>
    <t>Toleransi Risiko</t>
  </si>
  <si>
    <t>22% dari NWC</t>
  </si>
  <si>
    <t>USD 1.100 juta</t>
  </si>
  <si>
    <t xml:space="preserve">4.    </t>
  </si>
  <si>
    <t xml:space="preserve">Limit Risiko </t>
  </si>
  <si>
    <t xml:space="preserve">Limit Risiko pada Perusahaan Manufaktur A disebut Batas Toleransi Risiko (BTR), yang terdiri atas 2 jenis yaitu BTR Ongoing Business dan BTR Pasar. BTR Ongoing Business digunakan sebagai acuan dalam pengelolaan Risiko yang melingkupi serangkaian kegiatan Perusahaan yang berjalan secara rutin sesuai dengan proses bisnis Perusahaan berdasarkan prinsip kelangsungan usaha (going concern). Sedangkan BTR Pasar digunakan sebagai buffer tambahan untuk melindungi dari volatilitas kondisi pasar yang cenderung di luar kendali perusahaan. </t>
  </si>
  <si>
    <t xml:space="preserve">a    </t>
  </si>
  <si>
    <t>BTR Ongoing Business</t>
  </si>
  <si>
    <t xml:space="preserve">1)    </t>
  </si>
  <si>
    <t>Perhitungan BTR Ongoing Business dapat menggunakan metode regresi logistik untuk menentukan bobot Risiko berdasarkan karakteristik unit bisnis atau variabel-variabel yang dapat mempengaruhi pencapaian laba bersih entitas. Penentuan bobot Risiko dalam prosentase (%) dengan metode Regresi Logistik dapat dijabarkan secara singkat sebagai berikut:</t>
  </si>
  <si>
    <t>Diagram Penjelasan Input-Process-Output BTR Ongoing Business</t>
  </si>
  <si>
    <t xml:space="preserve">2)    </t>
  </si>
  <si>
    <t>Data prosentase (%) bobot Risiko tersebut digunakan untuk menghitung nilai BTR Ongoing Business seluruh entitas dengan gambaran sebagai berikut:</t>
  </si>
  <si>
    <t>Diagram Ilustrasi Perhitungan BTR Ongoing Business</t>
  </si>
  <si>
    <t xml:space="preserve">b    </t>
  </si>
  <si>
    <t>Perhitungan nilai BTR Pasar dapat menggunakan metode VaR – Exponentially Weighted Moving Average (EWMA) dengan penjelasan singkat sebagai berikut:</t>
  </si>
  <si>
    <t>Diagram Ilustrasi Perhitungan BTR Pasar</t>
  </si>
  <si>
    <t>Masing-masing BTR dihitung berdasarkan nilai Value at Risk (VaR) dikalikan dengan nilai eksposur kebutuhan dari masing-masing BTR.</t>
  </si>
  <si>
    <t xml:space="preserve">Lebih lanjut, misalnya yang dihitung adalah BTR Pasar Exchange Rate atau terkait Valuta Asing, maka data yang dibutuhkan adalah: </t>
  </si>
  <si>
    <t xml:space="preserve">a)    </t>
  </si>
  <si>
    <t>Data historis terkini atas nilai tukar rupiah harian menggunakan kurs tengah, sekurang-kurangnya 501 data harian historis. Jenis valuta uang asing dapat disesuaikan dengan kebutuhan sesuai konteks Risiko yang akan diukur.</t>
  </si>
  <si>
    <t xml:space="preserve">b)    </t>
  </si>
  <si>
    <t>Data eksposur Risiko berdasarkan RKAP periode tahun yang sama dengan Risiko yang diukur. Data eksposur dapat berupa data rencana pembelian valuta asing.</t>
  </si>
  <si>
    <t xml:space="preserve">3)    </t>
  </si>
  <si>
    <t>Hitung nilai VaR 1 hari dengan mengacu pada data-data yang telah tersedia yaitu: rencana pembelian valas (rata-rata per hari), Standar Deviasi EWMA, Skewness, serta Alpha Distribusi Normal dan Alpha Distribusi Tidak Normal dengan menggunakan asumsi confidence level 95%.</t>
  </si>
  <si>
    <t xml:space="preserve">4)    </t>
  </si>
  <si>
    <t>Setelah diperoleh nilai VaR Valas dalam 1 hari, maka hitung nilai VaR dalam 1 bulan. Hitung nilai VaR masing-masing bulan selama 1 tahun, lalu jumlahkan seluruh nilai VaR.</t>
  </si>
  <si>
    <t xml:space="preserve">5)    </t>
  </si>
  <si>
    <t>Nilai BTR Pasar Valas merupakan hasil penjumlahan nilai VaR bulanan selama 1 tahun.</t>
  </si>
  <si>
    <t xml:space="preserve">c    </t>
  </si>
  <si>
    <t xml:space="preserve">Setelah diperoleh nilai BTR Ongoing Business dan BTR Pasar, pastikan total nilai BTR Ongoing Business dan total nilai BTR Pasar dalam USD dari seluruh entitas tidak melebihi nilai Toleransi Risiko. Apabila masih melebihi, maka lakukan penyesuaian nilai acuan. </t>
  </si>
  <si>
    <t xml:space="preserve">d    </t>
  </si>
  <si>
    <r>
      <t>Dalam contoh ilustrasi di atas, misalnya diperoleh BTR Pasar sebesar USD 200 juta dan nilai BTR Ongoing Business sebesar USD 300 juta, maka total BTR Pasar dan BTR Ongoing Business adalah sebesar</t>
    </r>
    <r>
      <rPr>
        <b/>
        <sz val="11"/>
        <color theme="1"/>
        <rFont val="Arial"/>
        <family val="2"/>
      </rPr>
      <t xml:space="preserve"> USD 500 Juta</t>
    </r>
    <r>
      <rPr>
        <sz val="11"/>
        <color theme="1"/>
        <rFont val="Arial"/>
        <family val="2"/>
      </rPr>
      <t xml:space="preserve"> atau lebih rendah dari nilai Toleransi Risiko sebesar USD 1.100 juta, sehingga nilai tersebut dapat digunakan sebagai acuan karena nilai tersebut tidak melebihi Toleransi Risiko berdasarkan Risk Appetite Perusahaan.</t>
    </r>
  </si>
  <si>
    <t xml:space="preserve">B.    </t>
  </si>
  <si>
    <t>Perhitungan Nilai BTR sebagai batasan Risiko dalam kriteria Dampak</t>
  </si>
  <si>
    <t>Kriteria Dampak Perusahaan Manufaktur A dikategorikan menjadi 2 (dua), yaitu Dampak kuantitatif dan Dampak kualitatif. Tabel kriteria Dampak kuantitatif digunakan untuk mengukur skala Dampak atas Risiko-Risiko yang memiliki Dampak finansial secara langsung terhadap pencapaian target laba perusahaan, sedangkan tabel kriteria Dampak kualitatif digunakan untuk mengukur skala Dampak atas Risiko-Risiko yang tidak memiliki Dampak finansial secara langsung terhadap pencapaian target laba perusahaan.</t>
  </si>
  <si>
    <t>Perhitungan skala Dampak kuantitatif mengacu pada nilai BTR masing-masing entitas Induk dan Anak Perusahaan. Sesuai dengan ilustrasi di atas, nilai BTR Ongoing Business pada Anper A adalah sebesar USD 100 juta, maka tabel kriteria Dampak kuantitatifnya dapat dihitung sebagai berikut:</t>
  </si>
  <si>
    <t>Tabel Kriteria Dampak Kuantitatif untuk Risiko Ongoing Business Anper A 
(Nilai BTR Ongoing Business Anper A USD 100 juta1)</t>
  </si>
  <si>
    <t>Range %*</t>
  </si>
  <si>
    <t>Range Nilai*</t>
  </si>
  <si>
    <t>Dampak Finansial ≤ 20% dari BTR</t>
  </si>
  <si>
    <t>Dampak Finansial ≤ USD 20 juta</t>
  </si>
  <si>
    <t xml:space="preserve">20% dari BTR
&lt; Dampak Finansial ≤ 40% dari BTR </t>
  </si>
  <si>
    <t>USD 20 juta &lt; Dampak Finansial ≤ USD 40 juta</t>
  </si>
  <si>
    <t xml:space="preserve">40% dari BTR
&lt; Dampak Finansial ≤ 60% dari BTR </t>
  </si>
  <si>
    <t>USD 40 juta &lt; Dampak Finansial ≤ USD 60 juta</t>
  </si>
  <si>
    <t xml:space="preserve">60% dari BTR
&lt; Dampak Finansial ≤ 80% dari BTR </t>
  </si>
  <si>
    <t>USD 60 juta &lt; Dampak Finansial ≤ USD 80 juta</t>
  </si>
  <si>
    <t>Dampak Finansial &gt; 80% dari BTR</t>
  </si>
  <si>
    <t>Dampak Finansial &gt; USD 240 juta</t>
  </si>
  <si>
    <t>*)Catatan:</t>
  </si>
  <si>
    <t>•     </t>
  </si>
  <si>
    <t>Untuk Risiko Ongoing Business menggunakan BTR Ongoing Business, sedangkan Risiko pasar menggunakan BTR Ongoing Business + BTR Pasar</t>
  </si>
  <si>
    <t xml:space="preserve">•      </t>
  </si>
  <si>
    <t>Interval range per kriteria dampak didapatkan dari 100% dibagi 5 (skala)</t>
  </si>
  <si>
    <t>Range nilai didapatkan dari % range dikalikan dengan BTR (misalnya 20% * USD 100 juta)</t>
  </si>
  <si>
    <t>Sedangkan tabel perhitungan dampak kuantitatif untuk Perusahaan Manufaktur A secara Korporat dihitung dengan menjumlah seluruh BTR Ongoing Business dan BTR Pasar sebagai berikut:</t>
  </si>
  <si>
    <t>Tabel Kriteria Dampak Kuantitatif Perusahaan Manufaktur A</t>
  </si>
  <si>
    <t>Range %</t>
  </si>
  <si>
    <t>Range Nilai</t>
  </si>
  <si>
    <t>Dampak Finansial ≤ USD 100 juta</t>
  </si>
  <si>
    <t>20% dari BTR</t>
  </si>
  <si>
    <t>USD 100 juta &lt; Dampak Finansial ≤ USD 200 juta</t>
  </si>
  <si>
    <t xml:space="preserve">&lt; Dampak Finansial ≤ </t>
  </si>
  <si>
    <t>40% dari BTR</t>
  </si>
  <si>
    <t>USD 200 juta &lt; Dampak Finansial ≤ USD 300 juta</t>
  </si>
  <si>
    <t>60% dari BTR</t>
  </si>
  <si>
    <t>USD 300 juta &lt; Dampak Finansial ≤ USD 400 juta</t>
  </si>
  <si>
    <t>80% dari BTR</t>
  </si>
  <si>
    <t>Dampak Finansial &gt; USD 400 juta</t>
  </si>
  <si>
    <t xml:space="preserve">C.    </t>
  </si>
  <si>
    <t>Identifikasi Risiko</t>
  </si>
  <si>
    <t xml:space="preserve">Pada tahap ini Perusahaan Manufaktur A mengidentifikasi seluruh Risiko yang melekat pada proses bisnis dan dapat menghambat tercapainya tujuan bisnis dengan mempertimbangkan target KPI, RKAP, data-data terkait pengelolaan Risiko periode sebelumnya, dan hasil konsultasi dengan pihak-pihak yang memiliki kompetensi dan pengetahuan yang baik tentang perusahaan. </t>
  </si>
  <si>
    <t>Perusahaan Manufaktur A menggunakan Fault Tree Analysis (FTA) dalam mengidentifikasi Risiko dan penyebab Risiko sebagaimana contoh berikut:</t>
  </si>
  <si>
    <t>Diagram Contoh Identifikasi Risiko Perusahaan Manufaktur A Menggunakan Metode FTA</t>
  </si>
  <si>
    <t>Berikut adalah contoh hasil identifikasi Risiko yang dilakukan oleh Perusahaan Manufaktur1</t>
  </si>
  <si>
    <t xml:space="preserve">Tabel Contoh Hasil Identifikasi Risiko Perusahaan Manufaktur A </t>
  </si>
  <si>
    <t>Deskripsi Peristiwa Risiko</t>
  </si>
  <si>
    <t>Taksonomi/ Kategori Risiko</t>
  </si>
  <si>
    <t>Pemilik Risiko</t>
  </si>
  <si>
    <t>Penyebab Risiko</t>
  </si>
  <si>
    <r>
      <t>Gejala Risiko</t>
    </r>
    <r>
      <rPr>
        <i/>
        <sz val="8"/>
        <color rgb="FFFFFFFF"/>
        <rFont val="Arial"/>
        <family val="2"/>
      </rPr>
      <t xml:space="preserve"> (KRI)</t>
    </r>
  </si>
  <si>
    <r>
      <t xml:space="preserve">Faktor Positif/ </t>
    </r>
    <r>
      <rPr>
        <i/>
        <sz val="8"/>
        <color rgb="FFFFFFFF"/>
        <rFont val="Arial"/>
        <family val="2"/>
      </rPr>
      <t>Existing Control</t>
    </r>
    <r>
      <rPr>
        <sz val="8"/>
        <color rgb="FFFFFFFF"/>
        <rFont val="Arial"/>
        <family val="2"/>
      </rPr>
      <t xml:space="preserve"> </t>
    </r>
  </si>
  <si>
    <r>
      <t>Efektifitas</t>
    </r>
    <r>
      <rPr>
        <i/>
        <sz val="8"/>
        <color rgb="FFFFFFFF"/>
        <rFont val="Arial"/>
        <family val="2"/>
      </rPr>
      <t xml:space="preserve"> Existing Control</t>
    </r>
  </si>
  <si>
    <t>EBITDA</t>
  </si>
  <si>
    <r>
      <t xml:space="preserve">Risiko </t>
    </r>
    <r>
      <rPr>
        <i/>
        <sz val="8"/>
        <color theme="1"/>
        <rFont val="Arial"/>
        <family val="2"/>
      </rPr>
      <t>Foreign Exchange Loss</t>
    </r>
    <r>
      <rPr>
        <sz val="8"/>
        <color theme="1"/>
        <rFont val="Arial"/>
        <family val="2"/>
      </rPr>
      <t xml:space="preserve"> </t>
    </r>
  </si>
  <si>
    <t>​  Financial Management</t>
  </si>
  <si>
    <t>Direktorat Keuangan</t>
  </si>
  <si>
    <t>1. Fluktuasi antara IDR terhadap USD; 
2. Posisi net selisih aset-kewajiban moneter non-USD
3. Tenor piutang non-USD Pemerintah</t>
  </si>
  <si>
    <t>-   Proyeksi kurs USD/IDR pada Reuters/Bloomberg menunjukan pelemahan.
-   Selisih aset-kewajiban moneter non-USD meningkat
-   Penundaan pembayaran piutang Pemerintah</t>
  </si>
  <si>
    <t>-   Pedoman Manajemen Risiko
-   Pedoman Manajemen Risiko Keuangan
-   Prosedur Penagihan Piutang</t>
  </si>
  <si>
    <t xml:space="preserve">Efektif Sebagian </t>
  </si>
  <si>
    <t>Corporate Image</t>
  </si>
  <si>
    <t xml:space="preserve">Risiko menurunnya reputasi perusahaan </t>
  </si>
  <si>
    <t>Reputational Risk</t>
  </si>
  <si>
    <t xml:space="preserve">Corporate Communication </t>
  </si>
  <si>
    <t xml:space="preserve">1. Program komunikasi eksternal yang kurang efektif.
2. Kurang optimalnya sinergi program corporate image.
3. Isu-isu lain yang dapat menurunkan image perusahaan </t>
  </si>
  <si>
    <t>-   Muncul pemberitaan negatif perusahaan.
-   Keluhan dan tuntutan masyarakat</t>
  </si>
  <si>
    <t xml:space="preserve">-   Prosedur penanganan pemberitaan negatif 
-   Data dan Sistem Informasi yang mendukung  </t>
  </si>
  <si>
    <t>Efektif sebagian</t>
  </si>
  <si>
    <t xml:space="preserve">D.    </t>
  </si>
  <si>
    <t>Kuantifikasi Risiko</t>
  </si>
  <si>
    <t>Risiko yang telah diidentifikasi selanjutnya dilakukan kuantifikasi dengan langkah-langkah sebagai berikut:</t>
  </si>
  <si>
    <t>Penentuan kategori Dampak Risiko</t>
  </si>
  <si>
    <t xml:space="preserve">Berdasarkan contoh Risiko di atas, Risiko foreign exchange loss memiliki dampak kuantitatif karena dampak dapat dihitung dan berdampak langsung secara finansial terhadap pencapaian target laba. Sedangkan Risiko menurunnya reputasi perusahaan memiliki dampak kualitatif karena dampak Risiko tidak dapat dinyatakan secara finansial. </t>
  </si>
  <si>
    <t>2.   </t>
  </si>
  <si>
    <t xml:space="preserve">Perhitungan Dampak kuantitatif inheren </t>
  </si>
  <si>
    <t>Dampak kuantitatif inheren dihitung berdasarkan masing-masing karakteristik Risiko. Metode yang digunakan dapat berupa Value at Risk (VaR) atau berdasarkan expert judgement. Berdasarkan contoh Risiko foreign exchange loss, diperoleh informasi bahwa selama selama 3 tahun terakhir terjadi pelemahan IDR dengan level terendah turun sebesar 11% dari kurs asumsi RKAP. Berdasarkan data RKAP diketahui nilai piutang usaha non-USD adalah sebesar USD 3.000 juta, sehingga nilai dampak inherennya dapat dihitung sebagai berikut:</t>
  </si>
  <si>
    <r>
      <t>Nilai piutang non-USD pemerintah</t>
    </r>
    <r>
      <rPr>
        <b/>
        <sz val="10"/>
        <color theme="1"/>
        <rFont val="Arial"/>
        <family val="2"/>
      </rPr>
      <t xml:space="preserve"> (a)</t>
    </r>
  </si>
  <si>
    <t>USD 3.000 juta</t>
  </si>
  <si>
    <r>
      <t xml:space="preserve">% penurunan IDR terhadap USD </t>
    </r>
    <r>
      <rPr>
        <b/>
        <sz val="10"/>
        <color theme="1"/>
        <rFont val="Arial"/>
        <family val="2"/>
      </rPr>
      <t>(b)</t>
    </r>
  </si>
  <si>
    <r>
      <t xml:space="preserve">Dampak jika Risiko terwujud </t>
    </r>
    <r>
      <rPr>
        <b/>
        <sz val="10"/>
        <color theme="1"/>
        <rFont val="Arial"/>
        <family val="2"/>
      </rPr>
      <t>(c=a*b)</t>
    </r>
  </si>
  <si>
    <t>USD 330 juta</t>
  </si>
  <si>
    <t>Penentuan skala Dampak Risiko Inheren (1-5) atas setiap Risiko, baik kuantitatif maupun kualitatif.</t>
  </si>
  <si>
    <t>Untuk Risiko kuantitatif, kuantifikasi skala Dampak mengacu pada Tabel Kriteria Dampak Kuantitatif Perusahaan Manufaktur A. Risiko foreign exchange loss dalam contoh dengan nilai dampak USD 330 juta dipetakan ke skala 4 atau Tinggi.</t>
  </si>
  <si>
    <t>Untuk Risiko kualitatif, nilai skala dampak dipetakan sesuai dengan tabel yang telah ditetapkan sebelumnya. Misalnya, dalam contoh Risiko menurunnya reputasi perusahaan diketahui informasi bahwa selama 3 tahun terakhir, terdapat pemberitaan negatif yang berdampak secara lokal di tiap tahunnya, sehingga ditentukan Dampak Risiko reputasi memiliki skala 3 atau Moderat setelah dipetakan ke dalam Tabel Kriteria Dampak Kualitatif Perusahaan Manufaktur A.</t>
  </si>
  <si>
    <t xml:space="preserve">Perhitungan skala Probabilitas Inheren (1-5) </t>
  </si>
  <si>
    <t>Lakukan pemetaan skala probabilitas inheren dari setiap Risiko di seluruh entitas. Berdasarkan 2 contoh Risiko di atas, berikut cara menghitung probabilitas inheren:</t>
  </si>
  <si>
    <t>Risiko foreign exchange loss</t>
  </si>
  <si>
    <r>
      <t>Realisasi Kurs di atas RKAP (</t>
    </r>
    <r>
      <rPr>
        <i/>
        <sz val="9"/>
        <color rgb="FFFFFFFF"/>
        <rFont val="Arial"/>
        <family val="2"/>
      </rPr>
      <t>range</t>
    </r>
    <r>
      <rPr>
        <sz val="9"/>
        <color rgb="FFFFFFFF"/>
        <rFont val="Arial"/>
        <family val="2"/>
      </rPr>
      <t xml:space="preserve"> 14.355 - 15.000)</t>
    </r>
  </si>
  <si>
    <r>
      <t>Realisasi Kurs di bawah RKAP (</t>
    </r>
    <r>
      <rPr>
        <i/>
        <sz val="9"/>
        <color rgb="FFFFFFFF"/>
        <rFont val="Arial"/>
        <family val="2"/>
      </rPr>
      <t>range</t>
    </r>
    <r>
      <rPr>
        <sz val="9"/>
        <color rgb="FFFFFFFF"/>
        <rFont val="Arial"/>
        <family val="2"/>
      </rPr>
      <t xml:space="preserve"> 14.000 - 14.355)</t>
    </r>
  </si>
  <si>
    <r>
      <t>600</t>
    </r>
    <r>
      <rPr>
        <sz val="9"/>
        <color theme="1"/>
        <rFont val="Arial"/>
        <family val="2"/>
      </rPr>
      <t xml:space="preserve"> </t>
    </r>
    <r>
      <rPr>
        <b/>
        <sz val="9"/>
        <color theme="1"/>
        <rFont val="Arial"/>
        <family val="2"/>
      </rPr>
      <t>transaksi</t>
    </r>
  </si>
  <si>
    <r>
      <t>150</t>
    </r>
    <r>
      <rPr>
        <sz val="9"/>
        <color theme="1"/>
        <rFont val="Arial"/>
        <family val="2"/>
      </rPr>
      <t xml:space="preserve"> </t>
    </r>
    <r>
      <rPr>
        <b/>
        <sz val="9"/>
        <color theme="1"/>
        <rFont val="Arial"/>
        <family val="2"/>
      </rPr>
      <t>transaksi</t>
    </r>
  </si>
  <si>
    <t>Berdasarkan perhitungan di atas yang dipetakan ke dalam Tabel Kriteria Probabilitas Perusahaan Manufaktur A, didapatkan skala Probabilitas Risiko pada skala 4 atau sangat mungkin terjadi.</t>
  </si>
  <si>
    <t>Risiko menurunnya reputasi perusahaan</t>
  </si>
  <si>
    <t xml:space="preserve">Dari data di atas diketahui persentase Probabilitas terjadinya Risiko menurunnya reputasi adalah 21,42% atau skala 2 (jarang terjadi) sesuai Tabel Kriteria Probabilitas Perusahaan Manufaktur A. </t>
  </si>
  <si>
    <t xml:space="preserve">Evaluasi Risiko Kuantitatif dan Kualitatif </t>
  </si>
  <si>
    <t xml:space="preserve">Evaluasi Risiko, baik kuantitatif dan kualitatif, dilakukan dengan cara mengkalikan skala dampak dan skala probabilitas untuk memperoleh tingkat Risiko. Untuk Risiko kuantitatif, evaluasi juga dilakukan dengan cara menghitung nilai eksposur Risiko Inheren / Inherent Risk Exposure (IRE) setiap Risiko dari seluruh entitas. </t>
  </si>
  <si>
    <t>Pada contoh di atas, Risiko foreign exchange loss dihitung sebagai berikut:</t>
  </si>
  <si>
    <t>IRE = Dampak Kuantitatif Inheren x Probabilitas Inheren</t>
  </si>
  <si>
    <t xml:space="preserve"> = USD 330 juta x 80% </t>
  </si>
  <si>
    <t xml:space="preserve"> = USD 264 juta</t>
  </si>
  <si>
    <t>Nilai probabilitas inheren mengacu pada % kejadian data historis. Jika tidak tersedia data tersebut, maka dapat menggunakan Nilai Tengah Range Probabilitas</t>
  </si>
  <si>
    <t>Hasil evaluasi Risiko tersebut di atas dapat dilihat pada tabel dan dituangkan dalam heatmap sebagai berikut:</t>
  </si>
  <si>
    <t>Tabel Ringkasan Evaluasi Risiko</t>
  </si>
  <si>
    <t>Skala D</t>
  </si>
  <si>
    <t>Skala P</t>
  </si>
  <si>
    <t>SkalaRisiko</t>
  </si>
  <si>
    <t>Probabilita</t>
  </si>
  <si>
    <t xml:space="preserve">Eksposur Risiko Inheren </t>
  </si>
  <si>
    <t>USD 264 juta</t>
  </si>
  <si>
    <t>Hasil di atas kemudian dipetakan ke dalam heatmap sebagai berikut: </t>
  </si>
  <si>
    <t>Diagram Heatmap/Peta Risiko Perusahaan Manufaktur A</t>
  </si>
  <si>
    <t>E</t>
  </si>
  <si>
    <t>Perlakuan Risiko</t>
  </si>
  <si>
    <t>Dari hasil identifikasi dan kuantifikasi Risiko, kemudian disusun perlakuan Risiko dengan tabel kriteria pemilihan opsi perlakuan Risiko sebagai berikut:</t>
  </si>
  <si>
    <t>Tabel Contoh Tabel Kriteria Pemilihan Opsi Perlakuan Risiko Perusahaan Manufaktur A</t>
  </si>
  <si>
    <t>Pilihan opsi perlakuan Risiko</t>
  </si>
  <si>
    <t>1-5</t>
  </si>
  <si>
    <t>6-11</t>
  </si>
  <si>
    <t>Reduce/Mitigate atau Accept/Monitor</t>
  </si>
  <si>
    <t>12-15</t>
  </si>
  <si>
    <t>16 - 19</t>
  </si>
  <si>
    <t>Reduce/Mitigate atau Transfer/Sharing</t>
  </si>
  <si>
    <t>20 - 25</t>
  </si>
  <si>
    <t>Reduce/Mitigate atau Hindari/Avoid</t>
  </si>
  <si>
    <t xml:space="preserve">Setiap opsi perlakuan Risiko tersebut kemudian dijabarkan dalam rencana aktivitas perlakuan Risiko secara detil yang disertai dengan target waktu pelaksanaan, biaya pelaksanaan, PIC, dan target Residual Risk Exposure (RRE). </t>
  </si>
  <si>
    <t>F</t>
  </si>
  <si>
    <t>Integrasi Risiko Anak Perusahaan</t>
  </si>
  <si>
    <t xml:space="preserve">Metode prioritisasi Risiko Perusahaan Manufaktur A dilakukan secara bottom up dan top down, yang dijelaskan sebagai berikut: </t>
  </si>
  <si>
    <t>Metode Bottom Up</t>
  </si>
  <si>
    <t xml:space="preserve">Prioritisasi secara bottom up dilakukan secara berjenjang mulai dari level terbawah entitas pemilik Risiko sampai dengan level korporat di BUMN Induk. Di setiap jenjang dilakukan focus group discussion dan/atau challenge session untuk memperoleh Top Risk di masing-masing entitas pemilik Risiko sampai dengan Top Risk Korporat. </t>
  </si>
  <si>
    <t>Proses prioritisasi Risiko secara bottom up dilakukan berdasarkan kategori dampak Risiko.</t>
  </si>
  <si>
    <t xml:space="preserve">a </t>
  </si>
  <si>
    <t>Risiko Kuantitatif</t>
  </si>
  <si>
    <t>Prioritisasi dilakukan dengan cara menghitung nilai rata-rata IRE seluruh Risiko dari masing-masing entitas, kemudian Risiko yang menjadi kandidat Top Risk adalah Risiko dengan nilai IRE di atas rata-rata IRE entitas.</t>
  </si>
  <si>
    <t>Misalnya dapat dicontohkan dalam daftar Risiko sebagai berikut:</t>
  </si>
  <si>
    <t>Tabel Contoh Perhitungan EMI/Ambang Batas Anper A</t>
  </si>
  <si>
    <t>Nilai IRE (ribu USD)</t>
  </si>
  <si>
    <t>Risiko 1</t>
  </si>
  <si>
    <t xml:space="preserve">Anper A – Stand Alone </t>
  </si>
  <si>
    <t>Risiko 14</t>
  </si>
  <si>
    <t>Anper C</t>
  </si>
  <si>
    <t>Risiko 2</t>
  </si>
  <si>
    <t>Anper A – Stand Alone</t>
  </si>
  <si>
    <t>Risiko 15</t>
  </si>
  <si>
    <t>Risiko 3</t>
  </si>
  <si>
    <t>Risiko 16</t>
  </si>
  <si>
    <t>Risiko 4</t>
  </si>
  <si>
    <t>Anper A – Cucu 1</t>
  </si>
  <si>
    <t>Risiko 17</t>
  </si>
  <si>
    <t>Risiko 5</t>
  </si>
  <si>
    <t>Risiko 18</t>
  </si>
  <si>
    <t>Direktorat A</t>
  </si>
  <si>
    <t>Risiko 6</t>
  </si>
  <si>
    <t>Risiko 19</t>
  </si>
  <si>
    <t>Risiko 7</t>
  </si>
  <si>
    <t>Anper A – Cucu 2</t>
  </si>
  <si>
    <t>Risiko 20</t>
  </si>
  <si>
    <t>Risiko 8</t>
  </si>
  <si>
    <t>Risiko 21</t>
  </si>
  <si>
    <t>Risiko 9</t>
  </si>
  <si>
    <t>Risiko 22</t>
  </si>
  <si>
    <t>Risiko 10</t>
  </si>
  <si>
    <t>Anper B</t>
  </si>
  <si>
    <t>Risiko 23</t>
  </si>
  <si>
    <t>Direktorat B</t>
  </si>
  <si>
    <t>Risiko 11</t>
  </si>
  <si>
    <t>Risiko 24</t>
  </si>
  <si>
    <t>Risiko 12</t>
  </si>
  <si>
    <t>Risiko 25</t>
  </si>
  <si>
    <t>Risiko 13</t>
  </si>
  <si>
    <t>Risiko 26</t>
  </si>
  <si>
    <t>Berdasarkan daftar Risiko di atas, disusun proses prioritisasi dengan mekanisme bottom up dengan ilustrasi sebagai berikut:</t>
  </si>
  <si>
    <t>Diagram Ilustrasi Penentuan Kandidat Risiko Utama Korporat Bottom-Up</t>
  </si>
  <si>
    <t>•    </t>
  </si>
  <si>
    <t>IRE 1 : nilainya 37, artinya peristiwa Risiko 1 dengan besaran IRE sebesar USD 37 ribu</t>
  </si>
  <si>
    <t xml:space="preserve">•     </t>
  </si>
  <si>
    <t>EMI : Excess Mean IRE, adalah rata-rata nilai/besaran Dampak Inherent Risk Exposure dari seluruh Risiko Kuantitatif pada suatu risk register</t>
  </si>
  <si>
    <t xml:space="preserve">Dari hasil integrasi Risiko di atas, didapatkan kandidat Risiko utama korporat adalah IRE 14, 15 dan 16. </t>
  </si>
  <si>
    <t xml:space="preserve">Risiko Kualitatif </t>
  </si>
  <si>
    <t>Penentuan kandidat Top Risk atas Risiko-Risiko kualitatif diatur sebagai berikut:</t>
  </si>
  <si>
    <t>1)    Top Risk level Anak Perusahaan dan ke bawah menggunakan threshold skala Risiko &gt; 16.</t>
  </si>
  <si>
    <t>2)    Top Risk Korporat menggunakan threshold skala Risiko &gt; 20.</t>
  </si>
  <si>
    <t>Metode Top Down.</t>
  </si>
  <si>
    <t>Penentuan top risk dengan cara top down paling sedikitnya dilakukan dengan:</t>
  </si>
  <si>
    <t>Menghitung pareto (80%) kontributor laba/rugi, biaya, dan investasi dari masing-masing entitas untuk memperoleh profil Risiko dari entitas yang memiliki kontribusi signifikan terhadap target laba Korporat.</t>
  </si>
  <si>
    <t>Mengakomodir hal-hal yang menjadi perhatian atau concern Manajemen Perusahaan dan Aspirasi Pemegang Saham.</t>
  </si>
  <si>
    <t>KSPI</t>
  </si>
  <si>
    <t>SEKPER</t>
  </si>
  <si>
    <t>SM UBBES</t>
  </si>
  <si>
    <t>SM UBDISYAN</t>
  </si>
  <si>
    <t>SM UBINFRA</t>
  </si>
  <si>
    <t>SM UBMS</t>
  </si>
  <si>
    <t>VP BIS</t>
  </si>
  <si>
    <t>VP HCGA</t>
  </si>
  <si>
    <t>VP KEU</t>
  </si>
  <si>
    <t>VP MANPRO</t>
  </si>
  <si>
    <t>BID SPROC</t>
  </si>
  <si>
    <t>VP SPROC</t>
  </si>
  <si>
    <t>VP OPS</t>
  </si>
  <si>
    <t>VP K3L</t>
  </si>
  <si>
    <t>Portfolio</t>
  </si>
  <si>
    <t>Klaster</t>
  </si>
  <si>
    <t>Kategori risiko</t>
  </si>
  <si>
    <t>Skala Dampak/Prob</t>
  </si>
  <si>
    <t>Sikap terhadap Risiko</t>
  </si>
  <si>
    <t>Efektivitas Kontrol</t>
  </si>
  <si>
    <t>Opsi perlakuan risiko</t>
  </si>
  <si>
    <t>Jenis Program dalam RKAP</t>
  </si>
  <si>
    <t>Timeline</t>
  </si>
  <si>
    <t>Jenis existing control</t>
  </si>
  <si>
    <t>Score</t>
  </si>
  <si>
    <t>Risk Level</t>
  </si>
  <si>
    <t>Wamen_R</t>
  </si>
  <si>
    <t>Industri Manufaktur</t>
  </si>
  <si>
    <t>PT Pertamina (Persero)</t>
  </si>
  <si>
    <t>PTMN</t>
  </si>
  <si>
    <t>Tidak toleran</t>
  </si>
  <si>
    <t xml:space="preserve">Transfer/sharing </t>
  </si>
  <si>
    <t>Peningkatan Kecukupan Desain Kontrol</t>
  </si>
  <si>
    <t>Jasa keuangan</t>
  </si>
  <si>
    <t>PLNA</t>
  </si>
  <si>
    <t>Dampak Kualitatif</t>
  </si>
  <si>
    <t>Konservatif</t>
  </si>
  <si>
    <t>Jasa Infrastruktur</t>
  </si>
  <si>
    <t>PT Mineral Industri Indonesia (Persero)</t>
  </si>
  <si>
    <t>Mind ID</t>
  </si>
  <si>
    <t>Cukup dan Tidak Efektif</t>
  </si>
  <si>
    <t>Asuransi dan Dana Pensiun</t>
  </si>
  <si>
    <t>PT Krakatau Steel (Persero) Tbk</t>
  </si>
  <si>
    <t>KRST</t>
  </si>
  <si>
    <t>Tidak Cukup dan Efektif Sebagian</t>
  </si>
  <si>
    <t>Peningkatan Kecukupan Desain Kontrol dan Peningkatan Efektivitas Pelaksanaan Kontrol</t>
  </si>
  <si>
    <t>Jasa Logistik</t>
  </si>
  <si>
    <t>PT Perkebunan Nusantara III (Persero)</t>
  </si>
  <si>
    <t>PTPN</t>
  </si>
  <si>
    <t>Tidak Cukup dan Tidak Efektif</t>
  </si>
  <si>
    <t>Peningkatan Kecukupan Desain Kontrol dan Perbaikan Melalui Breakthrough Project</t>
  </si>
  <si>
    <t>Jasa Telekomunikasi dan Media</t>
  </si>
  <si>
    <t>Perum Perhutani</t>
  </si>
  <si>
    <t>PHTN</t>
  </si>
  <si>
    <t>Peningkatan Efektivitas Pelaksanaan Kontrol dan dan Perbaikan Melalui Breakthrough Project</t>
  </si>
  <si>
    <t>Wamen_T</t>
  </si>
  <si>
    <t>Industri Perkebunan dan Kehutan</t>
  </si>
  <si>
    <t>PT Pupuk Indonesia (Persero)</t>
  </si>
  <si>
    <t>PTPI</t>
  </si>
  <si>
    <t>Peningkatan Kecukupan Desain Kontrol, Peningkatan Efektivitas Pelaksanaan Kontrol, dan Pebaikan Melalui Breakthrough Project</t>
  </si>
  <si>
    <t>Energi, Minyak dan Gas</t>
  </si>
  <si>
    <t>Perum BULOG</t>
  </si>
  <si>
    <t>PBLG</t>
  </si>
  <si>
    <t>Jasa Pariwisata dan Pendukung</t>
  </si>
  <si>
    <t>PT Rajawali Nusantara Indonesia (Persero)</t>
  </si>
  <si>
    <t>RNI</t>
  </si>
  <si>
    <t>Industri Mineral dan Batubara</t>
  </si>
  <si>
    <t>PT Bio Farma (Persero)</t>
  </si>
  <si>
    <t>BIFR</t>
  </si>
  <si>
    <t>Industri Kesehatan</t>
  </si>
  <si>
    <t>PT LEN Industri (Persero)</t>
  </si>
  <si>
    <t>LENI</t>
  </si>
  <si>
    <t>Industri Pangan dan Pupuk</t>
  </si>
  <si>
    <t>PT Biro Klasifikasi Indonesia (Persero)</t>
  </si>
  <si>
    <t>PBKI</t>
  </si>
  <si>
    <t>PT Bank Mandiri (Persero) Tbk</t>
  </si>
  <si>
    <t>BMRI</t>
  </si>
  <si>
    <t>PT Bank Rakyat Indonesia (Persero) Tbk</t>
  </si>
  <si>
    <t>BBRI</t>
  </si>
  <si>
    <t>PT Bank Negara Indonesia (Persero) Tbk</t>
  </si>
  <si>
    <t>BBNI</t>
  </si>
  <si>
    <t>PT Bank Tabungan Negara (Persero) Tbk</t>
  </si>
  <si>
    <t>BBTN</t>
  </si>
  <si>
    <t>PT Bahana Pembinaan Usaha Indonesia (Persero)</t>
  </si>
  <si>
    <t>BPUI</t>
  </si>
  <si>
    <t>PT Asuransi Jiwasraya (Persero)</t>
  </si>
  <si>
    <t>AJWS</t>
  </si>
  <si>
    <t>PT Asabri (Persero)</t>
  </si>
  <si>
    <t>AABR</t>
  </si>
  <si>
    <t>PT Taspen (Persero)</t>
  </si>
  <si>
    <t>TASP</t>
  </si>
  <si>
    <t>PT Reasuransi Indonesia Utama (Persero)</t>
  </si>
  <si>
    <t>RIU</t>
  </si>
  <si>
    <t>PT Hutama Karya (Persero)</t>
  </si>
  <si>
    <t>HK</t>
  </si>
  <si>
    <t>PT Adhi Karya (Persero) Tbk</t>
  </si>
  <si>
    <t>ADKA</t>
  </si>
  <si>
    <t>PT Waskita Karya (Persero) Tbk</t>
  </si>
  <si>
    <t>WSKT</t>
  </si>
  <si>
    <t>PT Wijaya Karya (Persero) Tbk</t>
  </si>
  <si>
    <t>WIKA</t>
  </si>
  <si>
    <t>PT Pembangunan Perumahan (Persero) Tbk</t>
  </si>
  <si>
    <t>PTPP</t>
  </si>
  <si>
    <t>Perum Pembangunan Perumahan Nasional</t>
  </si>
  <si>
    <t>PRNS</t>
  </si>
  <si>
    <t>PT Brantas Abipraya (Persero)</t>
  </si>
  <si>
    <t>BRAP</t>
  </si>
  <si>
    <t>PT Jasa Marga (Persero) Tbk</t>
  </si>
  <si>
    <t>JSMR</t>
  </si>
  <si>
    <t>PT Semen Indonesia (Persero) Tbk</t>
  </si>
  <si>
    <t>SIG</t>
  </si>
  <si>
    <t>PT Kereta Api Indonesia (Persero)</t>
  </si>
  <si>
    <t>KAI</t>
  </si>
  <si>
    <t>PT Industri Kereta Api (Persero)</t>
  </si>
  <si>
    <t>INKA</t>
  </si>
  <si>
    <t>PT Pelabuhan Indonesia (Persero)</t>
  </si>
  <si>
    <t>PELINDO</t>
  </si>
  <si>
    <t>PT ASDP Indonesia Ferry (Persero)</t>
  </si>
  <si>
    <t>ASDP</t>
  </si>
  <si>
    <t>PT Pelayaran Nasional Indonesia (Persero)</t>
  </si>
  <si>
    <t>PLNI</t>
  </si>
  <si>
    <t>PT Pos Indonesia (Persero)</t>
  </si>
  <si>
    <t>POSI</t>
  </si>
  <si>
    <t>Perum Damri</t>
  </si>
  <si>
    <t>DMRI</t>
  </si>
  <si>
    <t>Perum Pengangkutan Penumpang Djakarta</t>
  </si>
  <si>
    <t>PPPD</t>
  </si>
  <si>
    <t>Perum Lembaga Penyelenggara Pelayanan Navigasi Penerbangan Indonesia</t>
  </si>
  <si>
    <t>PNPI</t>
  </si>
  <si>
    <t>PT Aviasi Pariwisata Indonesia (Persero)</t>
  </si>
  <si>
    <t>AVIATA</t>
  </si>
  <si>
    <t>PT Garuda Indonesia (Persero) Tbk</t>
  </si>
  <si>
    <t>GIAA</t>
  </si>
  <si>
    <t>PT Pengembangan Pariwisata Indonesia (Persero)</t>
  </si>
  <si>
    <t>ITDC</t>
  </si>
  <si>
    <t>PT Telekomunikasi Indonesia (Persero) Tbk</t>
  </si>
  <si>
    <t>TLKM</t>
  </si>
  <si>
    <t>Perum Percetakan Uang Republik Indonesia</t>
  </si>
  <si>
    <t>PERURI</t>
  </si>
  <si>
    <t>Perum Produksi Film Negara</t>
  </si>
  <si>
    <t>PPFN</t>
  </si>
  <si>
    <t>Perum Lembaga Kantor Berita Nasional Antara</t>
  </si>
  <si>
    <t>LKBN</t>
  </si>
  <si>
    <t>PT Danareksa (Persero)</t>
  </si>
  <si>
    <t>DNRS</t>
  </si>
  <si>
    <t>Perum Jasa Tirta I</t>
  </si>
  <si>
    <t>PJT1</t>
  </si>
  <si>
    <t>Perum Jasa Tirta II</t>
  </si>
  <si>
    <t>««</t>
  </si>
  <si>
    <t xml:space="preserve">Risiko Mundurnya atau batalnya aktivasi daya potensi pelanggan yang telah diperhitungkan dalam RKAP </t>
  </si>
  <si>
    <r>
      <t>Terdapat permintaan additional demand dari calon pelanggan dalam jumlah besar yang akan masuk ke Batam pada tahun 2026 sebesar</t>
    </r>
    <r>
      <rPr>
        <sz val="8"/>
        <color rgb="FFFF0000"/>
        <rFont val="Calibri"/>
        <family val="2"/>
        <scheme val="minor"/>
      </rPr>
      <t xml:space="preserve"> </t>
    </r>
    <r>
      <rPr>
        <sz val="8"/>
        <color theme="1"/>
        <rFont val="Calibri"/>
        <family val="2"/>
        <scheme val="minor"/>
      </rPr>
      <t xml:space="preserve">203,5 MVA., </t>
    </r>
    <r>
      <rPr>
        <sz val="8"/>
        <color rgb="FF000000"/>
        <rFont val="Calibri"/>
        <family val="2"/>
        <scheme val="minor"/>
      </rPr>
      <t>namun belum dapat dipastikan apakah calon pelanggan akan melakukan aktivasi sesuai rencana penyambungan dalam perjanjian dan lama berlangganan</t>
    </r>
  </si>
  <si>
    <t>* Nilai Dampak diperhitungkan dari realisasi rata-rata penerimaan yang dibawah 35 hari s.d Desember 2025 sebesar Rp 102.636.956.505,-</t>
  </si>
  <si>
    <t>* Probabilitas  Risiko piutang lebih dari 35 hari pernah terjadi pada periode Agustus 2023, Januari 2024, Juni - Oktober 2024, Desember  2024, Maret - April 2025, dan Juli - Desember 2025. Nilai probabilitas dihitung dari frekuensi kejadian dibagi jumlah transaksi selama 3 tahun terakhir sebesar 44,44% sehingga dikategorikan skala 3 atau bisa terjadi</t>
  </si>
  <si>
    <t>PT DIGITALLAND SERVICE ONE</t>
  </si>
  <si>
    <t>Calon Pelanggan Additional Demand batal menjadi pelanggan</t>
  </si>
  <si>
    <t>*) Dari 3 Pelanggan Add Demand 2025 yang sudah status belum PJBTL terdapat 1 pelanggan yang  belum tantadangan PJBTL sampai akhir 2025</t>
  </si>
  <si>
    <t>Terdapat permintaan penyambungan atau aktivasi daya dari calon pelanggan dan pelanggan dalam jumlah besar yang akan masuk ke Batam pada tahun 2026 sebesar 92,1 MVA, namun belum dapat dipastikan apakah calon pelanggan akan melakukan aktivasi sesuai rencana penyambungan dalam perjanjian dan lama berlangganan</t>
  </si>
  <si>
    <t>Potensi tambahan pendapatan dari calon pelanggan additional demand tidak tercapai</t>
  </si>
  <si>
    <t>Keterlambatan Pembayaran tagihan interkoneksi</t>
  </si>
  <si>
    <t>Dalam kurun waktu tahun 2023 sampai dengan 2025 realisasi keterlambatan Penerimaan Pembayaran Tagihan Interkoneksi Bintan, Sembulang, Belakang Padang dan Buluh lebih dari 35 adalah sebanyak 16 bulan dari 36 bulan</t>
  </si>
  <si>
    <t>Tidak disetujuinya persetujuan harga jual tenaga listrik interkoneksi oleh Menteri</t>
  </si>
  <si>
    <t>PLN Batam mengajukan perubahan harga jual tenaga listrik interkoneksi, dimana harga jual tenaga listrik saat ini menggunakan tarif tertinggi layanan khusus sebesar Rp 2.005/kWh berdasarkan penetapan TA TW III 2025.</t>
  </si>
  <si>
    <t>Persetujuan Menteri terhadap Harga Jual Listrik Batam Bintan</t>
  </si>
  <si>
    <t>Kajian dan analisis harga jual belum terinformasi secara komprehensive kepada Pejabat berwenang yang memberikan persetujuan Harga Jual</t>
  </si>
  <si>
    <t>Koordinasi dengan PLN UID RKR terkait proses persetujuan harga jual interkoneksi</t>
  </si>
  <si>
    <t>September s.d Desember 2026</t>
  </si>
  <si>
    <t>Risiko Tidak disetujuinya persetujuan harga jual tenaga listrik interkoneksi oleh Menteri</t>
  </si>
  <si>
    <t>Kwh Jual Interkoneksi 2026</t>
  </si>
  <si>
    <t xml:space="preserve">Notulen rapat koordinasi pembahasan
</t>
  </si>
  <si>
    <t>Realisasi Pencapaian Indeks Kepuasan Pelanggan sebesar 99,73% Tahun 2026 tidak tercapai</t>
  </si>
  <si>
    <t>Tarif Usulan TA</t>
  </si>
  <si>
    <t>1. Koordinasi dengan PLN UID RKR, DIV DKI, DIV APR terkait KKP, Proses GRC dan surat permohonan persetujuan harga jual tenaga listrik dari PLN Persero
2. Koordinasi dengan DJK mengenai persetujuan harga jual tenaga listrik</t>
  </si>
  <si>
    <t>&gt;99,75%</t>
  </si>
  <si>
    <t>&lt;99,73%</t>
  </si>
  <si>
    <t>Probalilitas</t>
  </si>
  <si>
    <t xml:space="preserve">*) usulan TA penjialan listrik ke Bintan dilakukan oleh UID RKR dan ini prosedur yang baru terjadi tahun ini sehingga probilitas dihitung dengan estimasi. </t>
  </si>
  <si>
    <t xml:space="preserve">Tindaklanjut Action Plan SKP dalam aplikasi CheSKP
</t>
  </si>
  <si>
    <t xml:space="preserve">Skor penerapan road map MR </t>
  </si>
  <si>
    <t>Pelaporan MR dan monitoring roadmap MR setiap bulan.</t>
  </si>
  <si>
    <t>Laporan MR</t>
  </si>
  <si>
    <t>Reputasi Perusahaan menurun akibat tidak adanya peningkatan Tingkat Mutu Pelayanan yang dirasakan pelanggan</t>
  </si>
  <si>
    <t>Tidak ada kajian / evaluasi BP dan TMP untuk menilai kelayakan BP dan TMPyang berjalan saat ini</t>
  </si>
  <si>
    <t>*) Probabiltas diperoleh dari esimasi</t>
  </si>
  <si>
    <t>20%%</t>
  </si>
  <si>
    <t>1. Menyusun dokumen pengadaan pada TW 2 2026
2. Koordinasi dengan konsultan eksternal</t>
  </si>
  <si>
    <t xml:space="preserve">Milestone kajian Biaya Penyambungan dan Tingkat Mutu Pelayanan belum disusun </t>
  </si>
  <si>
    <t xml:space="preserve">Produk layanan niaga yang direncanakan 8 produk pada tahun 2026 terlambat disahkan Pejabat berwenang </t>
  </si>
  <si>
    <t>Dokumen kajian produk layanan niaga terlambat disusun dan tidak dimonitor secara intensive</t>
  </si>
  <si>
    <t>Produk</t>
  </si>
  <si>
    <t>Keringanan BP Tambah Daya TR - Cahaya Ramadan</t>
  </si>
  <si>
    <t>Keringanan BP Tambah Daya TR - Semarak Kemerdekaan</t>
  </si>
  <si>
    <t>Keringanan BP Tambah Daya TR - Gebyar Energi Perak</t>
  </si>
  <si>
    <t>Desember 2026</t>
  </si>
  <si>
    <t>1. Diskusi intensif dengan LKFT UGM untuk pendampingan pembahasan dengan DJK
2. Koordinasi dengan DJK terkait data-data teknis pendukung usulan tarif tenaga listrik</t>
  </si>
  <si>
    <t>Realisasi penyerapan AKI lebih kecil dari penyerapan AKI seharusnya</t>
  </si>
  <si>
    <t xml:space="preserve">Tidak dilakukan monitoring AKI </t>
  </si>
  <si>
    <t>Monitoring Penyerapan AKI</t>
  </si>
  <si>
    <t>Penggelaran SKLTM 20 KV Belakang Padang - Sambu</t>
  </si>
  <si>
    <t>AKI 2026</t>
  </si>
  <si>
    <t>Uraian pekerjaan AI</t>
  </si>
  <si>
    <t>1. Menyusun Dokumen Manajemen Risiko (KKO, KKF, AR)
2. Menyusun draft Kebijakan  Strategi Penjualan Peningkatan dan Pengendalian Penjualan Tenaga Listrik
3. Melakukan pembahasan secara intens dengan UB DISYAN, UB INFRA, BID MRK
4. Melakukan Strategi Pemasaran dengan paid media</t>
  </si>
  <si>
    <t>1. KKO, KKF, KR
2. Draft produk layanan niaga
3. Marketing tool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</si>
</sst>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6" formatCode="&quot;Rp&quot;#,##0;[Red]\-&quot;Rp&quot;#,##0"/>
    <numFmt numFmtId="42" formatCode="_-&quot;Rp&quot;* #,##0_-;\-&quot;Rp&quot;* #,##0_-;_-&quot;Rp&quot;* &quot;-&quot;_-;_-@_-"/>
    <numFmt numFmtId="41" formatCode="_-* #,##0_-;\-* #,##0_-;_-* &quot;-&quot;_-;_-@_-"/>
    <numFmt numFmtId="43" formatCode="_-* #,##0.00_-;\-* #,##0.00_-;_-* &quot;-&quot;??_-;_-@_-"/>
    <numFmt numFmtId="164" formatCode="_(* #,##0_);_(* \(#,##0\);_(* &quot;-&quot;_);_(@_)"/>
    <numFmt numFmtId="165" formatCode="_(* #,##0.00_);_(* \(#,##0.00\);_(* &quot;-&quot;??_);_(@_)"/>
    <numFmt numFmtId="166" formatCode="\ #,##0;\-#,##0;\-"/>
    <numFmt numFmtId="167" formatCode="0_);\(0\)"/>
    <numFmt numFmtId="168" formatCode="_-[$$-409]* #,##0.00_ ;_-[$$-409]* \-#,##0.00\ ;_-[$$-409]* &quot;-&quot;??_ ;_-@_ "/>
    <numFmt numFmtId="169" formatCode="_-&quot;Rp&quot;* #,##0.0_-;\-&quot;Rp&quot;* #,##0.0_-;_-&quot;Rp&quot;* &quot;-&quot;_-;_-@_-"/>
    <numFmt numFmtId="170" formatCode="_-&quot;Rp&quot;* #,##0.00_-;\-&quot;Rp&quot;* #,##0.00_-;_-&quot;Rp&quot;* &quot;-&quot;_-;_-@_-"/>
    <numFmt numFmtId="171" formatCode="_(* #,##0.00_);_(* \(#,##0.00\);_(* &quot;-&quot;_);_(@_)"/>
    <numFmt numFmtId="172" formatCode="_(* #,##0.000_);_(* \(#,##0.000\);_(* &quot;-&quot;_);_(@_)"/>
    <numFmt numFmtId="173" formatCode="\ #,##0.00;\-#,##0.00;\-"/>
    <numFmt numFmtId="174" formatCode="\ #,##0.000;\-#,##0.000;\-"/>
    <numFmt numFmtId="175" formatCode="_-[$Rp-421]* #,##0_-;\-[$Rp-421]* #,##0_-;_-[$Rp-421]* &quot;-&quot;_-;_-@_-"/>
    <numFmt numFmtId="176" formatCode="_-* #,##0.000_-;\-* #,##0.000_-;_-* &quot;-&quot;??_-;_-@_-"/>
    <numFmt numFmtId="177" formatCode="_-&quot;Rp&quot;* #,##0_-;\-&quot;Rp&quot;* #,##0_-;_-&quot;Rp&quot;* &quot;-&quot;_-;_-@"/>
    <numFmt numFmtId="178" formatCode="_-* #,##0_-;\-* #,##0_-;_-* &quot;-&quot;??_-;_-@_-"/>
    <numFmt numFmtId="179" formatCode="_(* #,##0_);_(* \(#,##0\);_(* &quot;-&quot;??_);_(@_)"/>
    <numFmt numFmtId="180" formatCode="_-* #,##0.00_-;\-* #,##0.00_-;_-* &quot;-&quot;_-;_-@_-"/>
    <numFmt numFmtId="181" formatCode="* #,##0_);_(* \(#,##0\);_(* &quot;-&quot;_);_(@_)"/>
    <numFmt numFmtId="182" formatCode="0.0%"/>
    <numFmt numFmtId="183" formatCode="_-* #,##0_-;\-* #,##0_-;_-* &quot;-&quot;??_-;_-@"/>
    <numFmt numFmtId="184" formatCode="_-[$Rp-421]* #,##0_-;\-[$Rp-421]* #,##0_-;_-[$Rp-421]* &quot;-&quot;??_-;_-@"/>
    <numFmt numFmtId="185" formatCode="[$Rp]#,##0"/>
    <numFmt numFmtId="186" formatCode="0.00000%"/>
    <numFmt numFmtId="187" formatCode="_-[$Rp-421]* #,##0.00_-;\-[$Rp-421]* #,##0.00_-;_-[$Rp-421]* &quot;-&quot;??_-;_-@_-"/>
    <numFmt numFmtId="188" formatCode="m\.d\.yy"/>
    <numFmt numFmtId="189" formatCode="0.0"/>
  </numFmts>
  <fonts count="333">
    <font>
      <sz val="11"/>
      <color theme="1"/>
      <name val="Calibri"/>
      <family val="2"/>
      <scheme val="minor"/>
    </font>
    <font>
      <sz val="11"/>
      <color theme="1"/>
      <name val="Calibri"/>
      <family val="2"/>
      <scheme val="minor"/>
    </font>
    <font>
      <sz val="11"/>
      <color theme="1"/>
      <name val="Arial"/>
      <family val="2"/>
    </font>
    <font>
      <u/>
      <sz val="11"/>
      <color theme="10"/>
      <name val="Calibri"/>
      <family val="2"/>
      <scheme val="minor"/>
    </font>
    <font>
      <u/>
      <sz val="11"/>
      <color theme="10"/>
      <name val="Arial"/>
      <family val="2"/>
    </font>
    <font>
      <b/>
      <sz val="8"/>
      <color theme="0"/>
      <name val="Arial"/>
      <family val="2"/>
    </font>
    <font>
      <b/>
      <sz val="8"/>
      <color theme="1"/>
      <name val="Arial"/>
      <family val="2"/>
    </font>
    <font>
      <i/>
      <sz val="8"/>
      <color rgb="FF0000FF"/>
      <name val="Arial"/>
      <family val="2"/>
    </font>
    <font>
      <sz val="8"/>
      <color theme="1"/>
      <name val="Arial"/>
      <family val="2"/>
    </font>
    <font>
      <b/>
      <sz val="8"/>
      <color rgb="FF000000"/>
      <name val="Arial"/>
      <family val="2"/>
    </font>
    <font>
      <sz val="8"/>
      <color rgb="FF000000"/>
      <name val="Arial"/>
      <family val="2"/>
    </font>
    <font>
      <b/>
      <i/>
      <sz val="8"/>
      <color theme="0"/>
      <name val="Arial"/>
      <family val="2"/>
    </font>
    <font>
      <i/>
      <sz val="8"/>
      <color theme="1"/>
      <name val="Arial"/>
      <family val="2"/>
    </font>
    <font>
      <i/>
      <sz val="8"/>
      <color rgb="FF000000"/>
      <name val="Arial"/>
      <family val="2"/>
    </font>
    <font>
      <u/>
      <sz val="8"/>
      <color rgb="FF000000"/>
      <name val="Arial"/>
      <family val="2"/>
    </font>
    <font>
      <b/>
      <sz val="16"/>
      <color theme="1"/>
      <name val="Arial"/>
      <family val="2"/>
    </font>
    <font>
      <sz val="18"/>
      <color theme="1"/>
      <name val="Arial"/>
      <family val="2"/>
    </font>
    <font>
      <b/>
      <sz val="18"/>
      <color theme="1"/>
      <name val="Arial"/>
      <family val="2"/>
    </font>
    <font>
      <b/>
      <sz val="14"/>
      <color theme="1"/>
      <name val="Arial"/>
      <family val="2"/>
    </font>
    <font>
      <b/>
      <sz val="12"/>
      <name val="Arial"/>
      <family val="2"/>
    </font>
    <font>
      <sz val="12"/>
      <color rgb="FF000000"/>
      <name val="Arial"/>
      <family val="2"/>
    </font>
    <font>
      <sz val="12"/>
      <color theme="1"/>
      <name val="Arial"/>
      <family val="2"/>
    </font>
    <font>
      <sz val="12"/>
      <name val="Arial"/>
      <family val="2"/>
    </font>
    <font>
      <b/>
      <sz val="11"/>
      <color theme="1"/>
      <name val="Arial"/>
      <family val="2"/>
    </font>
    <font>
      <sz val="8"/>
      <color theme="0"/>
      <name val="Arial"/>
      <family val="2"/>
    </font>
    <font>
      <sz val="10"/>
      <color theme="1"/>
      <name val="Arial"/>
      <family val="2"/>
    </font>
    <font>
      <sz val="10"/>
      <color theme="0"/>
      <name val="Arial"/>
      <family val="2"/>
    </font>
    <font>
      <b/>
      <sz val="10"/>
      <color theme="1"/>
      <name val="Arial"/>
      <family val="2"/>
    </font>
    <font>
      <sz val="16"/>
      <color theme="1"/>
      <name val="Arial"/>
      <family val="2"/>
    </font>
    <font>
      <sz val="16"/>
      <color theme="0"/>
      <name val="Arial"/>
      <family val="2"/>
    </font>
    <font>
      <sz val="16"/>
      <name val="Arial"/>
      <family val="2"/>
    </font>
    <font>
      <sz val="8"/>
      <color theme="1"/>
      <name val="Calibri"/>
      <family val="2"/>
      <scheme val="minor"/>
    </font>
    <font>
      <sz val="8"/>
      <color rgb="FFFF0000"/>
      <name val="Arial"/>
      <family val="2"/>
    </font>
    <font>
      <sz val="10"/>
      <color rgb="FFFFFFFF"/>
      <name val="Arial"/>
      <family val="2"/>
    </font>
    <font>
      <i/>
      <sz val="10"/>
      <color rgb="FFFFFFFF"/>
      <name val="Arial"/>
      <family val="2"/>
    </font>
    <font>
      <sz val="10"/>
      <color rgb="FF000000"/>
      <name val="Arial"/>
      <family val="2"/>
    </font>
    <font>
      <sz val="10"/>
      <name val="Arial"/>
      <family val="2"/>
    </font>
    <font>
      <i/>
      <sz val="10"/>
      <name val="Arial"/>
      <family val="2"/>
    </font>
    <font>
      <i/>
      <sz val="10"/>
      <color theme="1"/>
      <name val="Arial"/>
      <family val="2"/>
    </font>
    <font>
      <i/>
      <sz val="10"/>
      <color rgb="FF000000"/>
      <name val="Arial"/>
      <family val="2"/>
    </font>
    <font>
      <sz val="8"/>
      <name val="Arial"/>
      <family val="2"/>
    </font>
    <font>
      <i/>
      <sz val="11"/>
      <color theme="1"/>
      <name val="Arial"/>
      <family val="2"/>
    </font>
    <font>
      <b/>
      <sz val="8"/>
      <color rgb="FFFFFFFF"/>
      <name val="Arial"/>
      <family val="2"/>
    </font>
    <font>
      <sz val="12"/>
      <color theme="1"/>
      <name val="Arial\"/>
    </font>
    <font>
      <sz val="9"/>
      <color rgb="FFFFFFFF"/>
      <name val="Arial"/>
      <family val="2"/>
    </font>
    <font>
      <sz val="9"/>
      <color theme="1"/>
      <name val="Arial"/>
      <family val="2"/>
    </font>
    <font>
      <b/>
      <sz val="9"/>
      <color theme="1"/>
      <name val="Arial"/>
      <family val="2"/>
    </font>
    <font>
      <sz val="8"/>
      <color rgb="FFFFFFFF"/>
      <name val="Arial"/>
      <family val="2"/>
    </font>
    <font>
      <i/>
      <sz val="8"/>
      <color rgb="FFFFFFFF"/>
      <name val="Arial"/>
      <family val="2"/>
    </font>
    <font>
      <sz val="11"/>
      <color theme="1"/>
      <name val="Times New Roman"/>
      <family val="1"/>
    </font>
    <font>
      <i/>
      <sz val="9"/>
      <color rgb="FFFFFFFF"/>
      <name val="Arial"/>
      <family val="2"/>
    </font>
    <font>
      <b/>
      <sz val="11"/>
      <color rgb="FF000000"/>
      <name val="Arial"/>
      <family val="2"/>
    </font>
    <font>
      <sz val="11"/>
      <color rgb="FF000000"/>
      <name val="Arial"/>
      <family val="2"/>
    </font>
    <font>
      <i/>
      <sz val="11"/>
      <color rgb="FF000000"/>
      <name val="Arial"/>
      <family val="2"/>
    </font>
    <font>
      <b/>
      <sz val="13.5"/>
      <color theme="1"/>
      <name val="Arial"/>
      <family val="2"/>
    </font>
    <font>
      <b/>
      <sz val="11"/>
      <color theme="0"/>
      <name val="Calibri"/>
      <family val="2"/>
      <scheme val="minor"/>
    </font>
    <font>
      <sz val="11"/>
      <color theme="1"/>
      <name val="Calibri"/>
      <family val="2"/>
      <scheme val="minor"/>
    </font>
    <font>
      <u/>
      <sz val="11"/>
      <color theme="10"/>
      <name val="Calibri"/>
      <family val="2"/>
    </font>
    <font>
      <sz val="11"/>
      <name val="Calibri"/>
      <family val="2"/>
    </font>
    <font>
      <sz val="8"/>
      <color rgb="FF00B0F0"/>
      <name val="Arial"/>
      <family val="2"/>
    </font>
    <font>
      <sz val="9"/>
      <color rgb="FF000000"/>
      <name val="Arial"/>
      <family val="2"/>
    </font>
    <font>
      <sz val="7"/>
      <color theme="1"/>
      <name val="Arial"/>
      <family val="2"/>
    </font>
    <font>
      <sz val="9"/>
      <color theme="1"/>
      <name val="Calibri"/>
      <family val="2"/>
    </font>
    <font>
      <sz val="9"/>
      <color theme="1"/>
      <name val="Calibri"/>
      <family val="2"/>
      <scheme val="minor"/>
    </font>
    <font>
      <sz val="11"/>
      <color theme="1"/>
      <name val="Calibri"/>
      <family val="2"/>
    </font>
    <font>
      <sz val="16"/>
      <name val="Calibri"/>
      <family val="2"/>
    </font>
    <font>
      <b/>
      <sz val="16"/>
      <name val="Calibri"/>
      <family val="2"/>
    </font>
    <font>
      <sz val="16"/>
      <color theme="1"/>
      <name val="Calibri"/>
      <family val="2"/>
      <scheme val="minor"/>
    </font>
    <font>
      <b/>
      <sz val="18"/>
      <color theme="0"/>
      <name val="Arial"/>
      <family val="2"/>
    </font>
    <font>
      <b/>
      <sz val="18"/>
      <color theme="1"/>
      <name val="Calibri"/>
      <family val="2"/>
      <scheme val="minor"/>
    </font>
    <font>
      <b/>
      <sz val="16"/>
      <color theme="0"/>
      <name val="Arial"/>
      <family val="2"/>
    </font>
    <font>
      <sz val="20"/>
      <color theme="0" tint="-0.14999847407452621"/>
      <name val="Arial"/>
      <family val="2"/>
    </font>
    <font>
      <sz val="16"/>
      <color rgb="FF0066FF"/>
      <name val="Arial"/>
      <family val="2"/>
    </font>
    <font>
      <b/>
      <sz val="8"/>
      <color theme="1"/>
      <name val="Calibri"/>
      <family val="2"/>
      <scheme val="minor"/>
    </font>
    <font>
      <b/>
      <sz val="6"/>
      <color theme="1"/>
      <name val="Arial"/>
      <family val="2"/>
    </font>
    <font>
      <sz val="26"/>
      <color theme="1"/>
      <name val="Calibri"/>
      <family val="2"/>
      <scheme val="minor"/>
    </font>
    <font>
      <b/>
      <sz val="11"/>
      <color theme="1"/>
      <name val="Calibri"/>
      <family val="2"/>
      <scheme val="minor"/>
    </font>
    <font>
      <b/>
      <i/>
      <sz val="8"/>
      <color theme="1"/>
      <name val="Arial"/>
      <family val="2"/>
    </font>
    <font>
      <b/>
      <sz val="12"/>
      <color theme="1"/>
      <name val="Calibri"/>
      <family val="2"/>
      <scheme val="minor"/>
    </font>
    <font>
      <sz val="12"/>
      <color theme="1"/>
      <name val="Calibri"/>
      <family val="2"/>
      <scheme val="minor"/>
    </font>
    <font>
      <sz val="11"/>
      <color rgb="FFFF0000"/>
      <name val="Calibri"/>
      <family val="2"/>
      <scheme val="minor"/>
    </font>
    <font>
      <sz val="14"/>
      <color theme="1"/>
      <name val="Arial"/>
      <family val="2"/>
    </font>
    <font>
      <sz val="11"/>
      <name val="Arial"/>
      <family val="2"/>
    </font>
    <font>
      <b/>
      <sz val="12"/>
      <color theme="1"/>
      <name val="Arial"/>
      <family val="2"/>
    </font>
    <font>
      <sz val="11"/>
      <color rgb="FFFFFFFF"/>
      <name val="Arial"/>
      <family val="2"/>
    </font>
    <font>
      <b/>
      <u/>
      <sz val="12"/>
      <color theme="1"/>
      <name val="Arial"/>
      <family val="2"/>
    </font>
    <font>
      <b/>
      <i/>
      <sz val="11"/>
      <color theme="1"/>
      <name val="Arial"/>
      <family val="2"/>
    </font>
    <font>
      <b/>
      <sz val="10"/>
      <name val="Arial"/>
      <family val="2"/>
    </font>
    <font>
      <b/>
      <sz val="11"/>
      <name val="Arial"/>
      <family val="2"/>
    </font>
    <font>
      <vertAlign val="superscript"/>
      <sz val="10"/>
      <color theme="1"/>
      <name val="Arial"/>
      <family val="2"/>
    </font>
    <font>
      <b/>
      <vertAlign val="superscript"/>
      <sz val="10"/>
      <color theme="1"/>
      <name val="Arial"/>
      <family val="2"/>
    </font>
    <font>
      <b/>
      <u/>
      <sz val="11"/>
      <color theme="1"/>
      <name val="Arial"/>
      <family val="2"/>
    </font>
    <font>
      <b/>
      <sz val="11"/>
      <color rgb="FF0033CC"/>
      <name val="Arial"/>
      <family val="2"/>
    </font>
    <font>
      <sz val="10"/>
      <color rgb="FF0033CC"/>
      <name val="Arial"/>
      <family val="2"/>
    </font>
    <font>
      <b/>
      <sz val="10"/>
      <color rgb="FF0033CC"/>
      <name val="Arial"/>
      <family val="2"/>
    </font>
    <font>
      <b/>
      <sz val="10"/>
      <color rgb="FF000000"/>
      <name val="Arial"/>
      <family val="2"/>
    </font>
    <font>
      <sz val="10"/>
      <color rgb="FFFF0000"/>
      <name val="Arial"/>
      <family val="2"/>
    </font>
    <font>
      <b/>
      <sz val="11"/>
      <color theme="0"/>
      <name val="Arial"/>
      <family val="2"/>
    </font>
    <font>
      <b/>
      <sz val="11"/>
      <color rgb="FFFF0000"/>
      <name val="Calibri"/>
      <family val="2"/>
      <scheme val="minor"/>
    </font>
    <font>
      <b/>
      <sz val="10"/>
      <color theme="0"/>
      <name val="Arial"/>
      <family val="2"/>
    </font>
    <font>
      <sz val="10"/>
      <color rgb="FF000000"/>
      <name val="Calibri"/>
      <family val="2"/>
    </font>
    <font>
      <sz val="10"/>
      <color rgb="FF000000"/>
      <name val="Tahoma"/>
      <family val="2"/>
    </font>
    <font>
      <sz val="10"/>
      <color rgb="FF000000"/>
      <name val="Calibri"/>
      <family val="2"/>
      <scheme val="minor"/>
    </font>
    <font>
      <sz val="11"/>
      <color theme="1"/>
      <name val="Calibri"/>
      <family val="2"/>
      <scheme val="minor"/>
    </font>
    <font>
      <sz val="10"/>
      <color rgb="FF000000"/>
      <name val="Times New Roman"/>
      <family val="1"/>
    </font>
    <font>
      <sz val="9"/>
      <color rgb="FF1A1A1D"/>
      <name val="Arial"/>
      <family val="2"/>
    </font>
    <font>
      <sz val="9"/>
      <color rgb="FF3D3D3F"/>
      <name val="Arial"/>
      <family val="2"/>
    </font>
    <font>
      <sz val="9"/>
      <color rgb="FF2B2B2F"/>
      <name val="Arial"/>
      <family val="2"/>
    </font>
    <font>
      <b/>
      <sz val="9"/>
      <color rgb="FF1A1A1D"/>
      <name val="Arial"/>
      <family val="2"/>
    </font>
    <font>
      <b/>
      <sz val="9"/>
      <color rgb="FF2B2B2F"/>
      <name val="Arial"/>
      <family val="2"/>
    </font>
    <font>
      <sz val="10"/>
      <color rgb="FF3D3D3F"/>
      <name val="Times New Roman"/>
      <family val="1"/>
    </font>
    <font>
      <sz val="8"/>
      <color rgb="FF2B2B2F"/>
      <name val="Arial"/>
      <family val="2"/>
    </font>
    <font>
      <sz val="8"/>
      <color rgb="FF4D4D50"/>
      <name val="Arial"/>
      <family val="2"/>
    </font>
    <font>
      <sz val="8"/>
      <color rgb="FF3D3D3F"/>
      <name val="Arial"/>
      <family val="2"/>
    </font>
    <font>
      <sz val="10"/>
      <color theme="1"/>
      <name val="Times New Roman"/>
      <family val="1"/>
    </font>
    <font>
      <sz val="8"/>
      <color rgb="FF1A1A1D"/>
      <name val="Arial"/>
      <family val="2"/>
    </font>
    <font>
      <sz val="10"/>
      <color rgb="FF1A1A1D"/>
      <name val="Times New Roman"/>
      <family val="1"/>
    </font>
    <font>
      <b/>
      <sz val="9"/>
      <color rgb="FF4D4D50"/>
      <name val="Arial"/>
      <family val="2"/>
    </font>
    <font>
      <sz val="10"/>
      <color rgb="FF2B2B2F"/>
      <name val="Times New Roman"/>
      <family val="1"/>
    </font>
    <font>
      <sz val="10"/>
      <color rgb="FF4D4D50"/>
      <name val="Times New Roman"/>
      <family val="1"/>
    </font>
    <font>
      <b/>
      <sz val="9"/>
      <color rgb="FF3D3D3F"/>
      <name val="Arial"/>
      <family val="2"/>
    </font>
    <font>
      <sz val="8"/>
      <color rgb="FF626266"/>
      <name val="Arial"/>
      <family val="2"/>
    </font>
    <font>
      <i/>
      <sz val="8"/>
      <color rgb="FF4D4D50"/>
      <name val="Arial"/>
      <family val="2"/>
    </font>
    <font>
      <i/>
      <sz val="8"/>
      <color rgb="FF777779"/>
      <name val="Arial"/>
      <family val="2"/>
    </font>
    <font>
      <sz val="8"/>
      <color rgb="FF777779"/>
      <name val="Arial"/>
      <family val="2"/>
    </font>
    <font>
      <sz val="10"/>
      <color rgb="FF626266"/>
      <name val="Times New Roman"/>
      <family val="1"/>
    </font>
    <font>
      <b/>
      <sz val="9"/>
      <color rgb="FF181A1C"/>
      <name val="Arial"/>
      <family val="2"/>
    </font>
    <font>
      <sz val="10"/>
      <color rgb="FF2F2F31"/>
      <name val="Times New Roman"/>
      <family val="1"/>
    </font>
    <font>
      <sz val="8"/>
      <color rgb="FF414144"/>
      <name val="Arial"/>
      <family val="2"/>
    </font>
    <font>
      <sz val="8"/>
      <color rgb="FF59595D"/>
      <name val="Arial"/>
      <family val="2"/>
    </font>
    <font>
      <sz val="8"/>
      <color rgb="FF2F2F31"/>
      <name val="Arial"/>
      <family val="2"/>
    </font>
    <font>
      <sz val="8"/>
      <color rgb="FF181A1C"/>
      <name val="Arial"/>
      <family val="2"/>
    </font>
    <font>
      <sz val="10"/>
      <color rgb="FF414144"/>
      <name val="Times New Roman"/>
      <family val="1"/>
    </font>
    <font>
      <sz val="10"/>
      <color rgb="FF181A1C"/>
      <name val="Times New Roman"/>
      <family val="1"/>
    </font>
    <font>
      <sz val="8"/>
      <color rgb="FF757579"/>
      <name val="Arial"/>
      <family val="2"/>
    </font>
    <font>
      <sz val="10"/>
      <color rgb="FF59595D"/>
      <name val="Times New Roman"/>
      <family val="1"/>
    </font>
    <font>
      <b/>
      <sz val="9"/>
      <color rgb="FF131518"/>
      <name val="Arial"/>
      <family val="2"/>
    </font>
    <font>
      <b/>
      <sz val="9"/>
      <color rgb="FF232326"/>
      <name val="Arial"/>
      <family val="2"/>
    </font>
    <font>
      <b/>
      <sz val="9"/>
      <color rgb="FF000000"/>
      <name val="Arial"/>
      <family val="2"/>
    </font>
    <font>
      <b/>
      <sz val="9"/>
      <color rgb="FF333336"/>
      <name val="Arial"/>
      <family val="2"/>
    </font>
    <font>
      <sz val="10"/>
      <color rgb="FF333336"/>
      <name val="Times New Roman"/>
      <family val="1"/>
    </font>
    <font>
      <sz val="10"/>
      <color rgb="FF131518"/>
      <name val="Times New Roman"/>
      <family val="1"/>
    </font>
    <font>
      <sz val="9"/>
      <color rgb="FF333336"/>
      <name val="Arial"/>
      <family val="2"/>
    </font>
    <font>
      <sz val="10"/>
      <color rgb="FF444448"/>
      <name val="Times New Roman"/>
      <family val="1"/>
    </font>
    <font>
      <sz val="9"/>
      <color rgb="FF444448"/>
      <name val="Arial"/>
      <family val="2"/>
    </font>
    <font>
      <sz val="9"/>
      <color rgb="FF131518"/>
      <name val="Arial"/>
      <family val="2"/>
    </font>
    <font>
      <sz val="9"/>
      <color rgb="FF232326"/>
      <name val="Arial"/>
      <family val="2"/>
    </font>
    <font>
      <sz val="10"/>
      <color rgb="FF232326"/>
      <name val="Times New Roman"/>
      <family val="1"/>
    </font>
    <font>
      <sz val="9"/>
      <color rgb="FF606064"/>
      <name val="Arial"/>
      <family val="2"/>
    </font>
    <font>
      <sz val="9"/>
      <color rgb="FF727277"/>
      <name val="Arial"/>
      <family val="2"/>
    </font>
    <font>
      <sz val="10"/>
      <color rgb="FF606064"/>
      <name val="Times New Roman"/>
      <family val="1"/>
    </font>
    <font>
      <i/>
      <sz val="8"/>
      <color rgb="FF606064"/>
      <name val="Arial"/>
      <family val="2"/>
    </font>
    <font>
      <i/>
      <sz val="8"/>
      <color rgb="FF444448"/>
      <name val="Arial"/>
      <family val="2"/>
    </font>
    <font>
      <b/>
      <sz val="9"/>
      <color rgb="FF1C1C21"/>
      <name val="Arial"/>
      <family val="2"/>
    </font>
    <font>
      <sz val="10"/>
      <color rgb="FF48484B"/>
      <name val="Times New Roman"/>
      <family val="1"/>
    </font>
    <font>
      <sz val="8"/>
      <color rgb="FF48484B"/>
      <name val="Arial"/>
      <family val="2"/>
    </font>
    <font>
      <sz val="8"/>
      <color rgb="FF1C1C21"/>
      <name val="Arial"/>
      <family val="2"/>
    </font>
    <font>
      <sz val="8"/>
      <color rgb="FF5B5B5E"/>
      <name val="Arial"/>
      <family val="2"/>
    </font>
    <font>
      <sz val="8"/>
      <color rgb="FF343438"/>
      <name val="Arial"/>
      <family val="2"/>
    </font>
    <font>
      <sz val="10"/>
      <color rgb="FF1C1C21"/>
      <name val="Times New Roman"/>
      <family val="1"/>
    </font>
    <font>
      <sz val="8"/>
      <color rgb="FF6E6E74"/>
      <name val="Arial"/>
      <family val="2"/>
    </font>
    <font>
      <sz val="10"/>
      <color rgb="FF343438"/>
      <name val="Times New Roman"/>
      <family val="1"/>
    </font>
    <font>
      <sz val="8"/>
      <color rgb="FF828285"/>
      <name val="Arial"/>
      <family val="2"/>
    </font>
    <font>
      <sz val="10"/>
      <color rgb="FF5B5B5E"/>
      <name val="Times New Roman"/>
      <family val="1"/>
    </font>
    <font>
      <sz val="9"/>
      <color rgb="FF212124"/>
      <name val="Arial"/>
      <family val="2"/>
    </font>
    <font>
      <sz val="9"/>
      <color rgb="FF363438"/>
      <name val="Arial"/>
      <family val="2"/>
    </font>
    <font>
      <b/>
      <sz val="9"/>
      <color rgb="FF212124"/>
      <name val="Arial"/>
      <family val="2"/>
    </font>
    <font>
      <b/>
      <sz val="8"/>
      <color rgb="FF212124"/>
      <name val="Arial"/>
      <family val="2"/>
    </font>
    <font>
      <sz val="9"/>
      <color rgb="FF363438"/>
      <name val="Times New Roman"/>
      <family val="1"/>
    </font>
    <font>
      <sz val="9"/>
      <color rgb="FF484649"/>
      <name val="Arial"/>
      <family val="2"/>
    </font>
    <font>
      <sz val="9"/>
      <color rgb="FF66666B"/>
      <name val="Arial"/>
      <family val="2"/>
    </font>
    <font>
      <sz val="9"/>
      <color rgb="FF484649"/>
      <name val="Times New Roman"/>
      <family val="1"/>
    </font>
    <font>
      <sz val="8"/>
      <color rgb="FF484649"/>
      <name val="Arial"/>
      <family val="2"/>
    </font>
    <font>
      <sz val="9"/>
      <color rgb="FF797980"/>
      <name val="Arial"/>
      <family val="2"/>
    </font>
    <font>
      <vertAlign val="superscript"/>
      <sz val="9"/>
      <color rgb="FF363438"/>
      <name val="Arial"/>
      <family val="2"/>
    </font>
    <font>
      <vertAlign val="superscript"/>
      <sz val="9"/>
      <color rgb="FF66666B"/>
      <name val="Arial"/>
      <family val="2"/>
    </font>
    <font>
      <vertAlign val="superscript"/>
      <sz val="9"/>
      <color rgb="FF484649"/>
      <name val="Arial"/>
      <family val="2"/>
    </font>
    <font>
      <vertAlign val="superscript"/>
      <sz val="9"/>
      <color rgb="FF212124"/>
      <name val="Arial"/>
      <family val="2"/>
    </font>
    <font>
      <b/>
      <sz val="8"/>
      <color rgb="FF1C1C1F"/>
      <name val="Arial"/>
      <family val="2"/>
    </font>
    <font>
      <b/>
      <sz val="8"/>
      <color rgb="FF2D2D31"/>
      <name val="Arial"/>
      <family val="2"/>
    </font>
    <font>
      <sz val="9"/>
      <color rgb="FF3D3D41"/>
      <name val="Arial"/>
      <family val="2"/>
    </font>
    <font>
      <sz val="9"/>
      <color rgb="FF626267"/>
      <name val="Arial"/>
      <family val="2"/>
    </font>
    <font>
      <sz val="9"/>
      <color rgb="FF757579"/>
      <name val="Arial"/>
      <family val="2"/>
    </font>
    <font>
      <sz val="9"/>
      <color rgb="FF4D4D4F"/>
      <name val="Arial"/>
      <family val="2"/>
    </font>
    <font>
      <sz val="9"/>
      <color rgb="FF2D2D31"/>
      <name val="Arial"/>
      <family val="2"/>
    </font>
    <font>
      <sz val="9"/>
      <color rgb="FF1C1C1F"/>
      <name val="Arial"/>
      <family val="2"/>
    </font>
    <font>
      <sz val="8"/>
      <color rgb="FF3D3D41"/>
      <name val="Arial"/>
      <family val="2"/>
    </font>
    <font>
      <sz val="9"/>
      <color rgb="FF8C8C91"/>
      <name val="Arial"/>
      <family val="2"/>
    </font>
    <font>
      <sz val="9"/>
      <color rgb="FF4D4D4F"/>
      <name val="Times New Roman"/>
      <family val="1"/>
    </font>
    <font>
      <sz val="9"/>
      <color rgb="FF3D3D41"/>
      <name val="Times New Roman"/>
      <family val="1"/>
    </font>
    <font>
      <vertAlign val="superscript"/>
      <sz val="9"/>
      <color rgb="FF4D4D4F"/>
      <name val="Arial"/>
      <family val="2"/>
    </font>
    <font>
      <vertAlign val="superscript"/>
      <sz val="9"/>
      <color rgb="FF757579"/>
      <name val="Arial"/>
      <family val="2"/>
    </font>
    <font>
      <i/>
      <sz val="8"/>
      <color rgb="FF4D4D4F"/>
      <name val="Arial"/>
      <family val="2"/>
    </font>
    <font>
      <i/>
      <sz val="8"/>
      <color rgb="FF2D2D31"/>
      <name val="Arial"/>
      <family val="2"/>
    </font>
    <font>
      <i/>
      <sz val="8"/>
      <color rgb="FF3D3D41"/>
      <name val="Arial"/>
      <family val="2"/>
    </font>
    <font>
      <vertAlign val="superscript"/>
      <sz val="9"/>
      <color rgb="FF3D3D41"/>
      <name val="Arial"/>
      <family val="2"/>
    </font>
    <font>
      <vertAlign val="superscript"/>
      <sz val="9"/>
      <color rgb="FF626267"/>
      <name val="Arial"/>
      <family val="2"/>
    </font>
    <font>
      <vertAlign val="superscript"/>
      <sz val="9"/>
      <color rgb="FF1C1C1F"/>
      <name val="Arial"/>
      <family val="2"/>
    </font>
    <font>
      <vertAlign val="superscript"/>
      <sz val="9"/>
      <color rgb="FF2D2D31"/>
      <name val="Arial"/>
      <family val="2"/>
    </font>
    <font>
      <b/>
      <sz val="8"/>
      <color rgb="FF18181C"/>
      <name val="Arial"/>
      <family val="2"/>
    </font>
    <font>
      <b/>
      <sz val="8"/>
      <color rgb="FF030303"/>
      <name val="Arial"/>
      <family val="2"/>
    </font>
    <font>
      <b/>
      <sz val="8"/>
      <color rgb="FF313134"/>
      <name val="Arial"/>
      <family val="2"/>
    </font>
    <font>
      <sz val="8"/>
      <color rgb="FF313134"/>
      <name val="Arial"/>
      <family val="2"/>
    </font>
    <font>
      <sz val="8"/>
      <color rgb="FF444446"/>
      <name val="Arial"/>
      <family val="2"/>
    </font>
    <font>
      <sz val="8"/>
      <color rgb="FF18181C"/>
      <name val="Arial"/>
      <family val="2"/>
    </font>
    <font>
      <sz val="8"/>
      <color rgb="FF6B6B72"/>
      <name val="Arial"/>
      <family val="2"/>
    </font>
    <font>
      <i/>
      <sz val="8"/>
      <color rgb="FF444446"/>
      <name val="Arial"/>
      <family val="2"/>
    </font>
    <font>
      <sz val="8"/>
      <color rgb="FF030303"/>
      <name val="Arial"/>
      <family val="2"/>
    </font>
    <font>
      <b/>
      <sz val="10"/>
      <color rgb="FF18181C"/>
      <name val="Arial"/>
      <family val="2"/>
    </font>
    <font>
      <b/>
      <sz val="10"/>
      <color rgb="FF2A2A2D"/>
      <name val="Arial"/>
      <family val="2"/>
    </font>
    <font>
      <sz val="10"/>
      <color rgb="FF413F44"/>
      <name val="Arial"/>
      <family val="2"/>
    </font>
    <font>
      <sz val="10"/>
      <color rgb="FF18181C"/>
      <name val="Arial"/>
      <family val="2"/>
    </font>
    <font>
      <sz val="10"/>
      <color rgb="FF646469"/>
      <name val="Arial"/>
      <family val="2"/>
    </font>
    <font>
      <sz val="10"/>
      <color rgb="FF2A2A2D"/>
      <name val="Arial"/>
      <family val="2"/>
    </font>
    <font>
      <sz val="10"/>
      <color rgb="FF75757B"/>
      <name val="Arial"/>
      <family val="2"/>
    </font>
    <font>
      <vertAlign val="superscript"/>
      <sz val="10"/>
      <color rgb="FF413F44"/>
      <name val="Arial"/>
      <family val="2"/>
    </font>
    <font>
      <vertAlign val="superscript"/>
      <sz val="10"/>
      <color rgb="FF646469"/>
      <name val="Arial"/>
      <family val="2"/>
    </font>
    <font>
      <vertAlign val="superscript"/>
      <sz val="10"/>
      <color rgb="FF18181C"/>
      <name val="Arial"/>
      <family val="2"/>
    </font>
    <font>
      <vertAlign val="superscript"/>
      <sz val="10"/>
      <color rgb="FF2A2A2D"/>
      <name val="Arial"/>
      <family val="2"/>
    </font>
    <font>
      <vertAlign val="superscript"/>
      <sz val="10"/>
      <color rgb="FF75757B"/>
      <name val="Arial"/>
      <family val="2"/>
    </font>
    <font>
      <sz val="10"/>
      <color rgb="FF313134"/>
      <name val="Arial"/>
      <family val="2"/>
    </font>
    <font>
      <sz val="10"/>
      <color rgb="FF48464B"/>
      <name val="Arial"/>
      <family val="2"/>
    </font>
    <font>
      <sz val="10"/>
      <color rgb="FF232326"/>
      <name val="Arial"/>
      <family val="2"/>
    </font>
    <font>
      <sz val="10"/>
      <color rgb="FF605E64"/>
      <name val="Arial"/>
      <family val="2"/>
    </font>
    <font>
      <vertAlign val="superscript"/>
      <sz val="10"/>
      <color rgb="FF48464B"/>
      <name val="Arial"/>
      <family val="2"/>
    </font>
    <font>
      <vertAlign val="superscript"/>
      <sz val="10"/>
      <color rgb="FF232326"/>
      <name val="Arial"/>
      <family val="2"/>
    </font>
    <font>
      <vertAlign val="superscript"/>
      <sz val="10"/>
      <color rgb="FF313134"/>
      <name val="Arial"/>
      <family val="2"/>
    </font>
    <font>
      <vertAlign val="superscript"/>
      <sz val="10"/>
      <color rgb="FF131318"/>
      <name val="Arial"/>
      <family val="2"/>
    </font>
    <font>
      <sz val="10"/>
      <color rgb="FF131318"/>
      <name val="Arial"/>
      <family val="2"/>
    </font>
    <font>
      <vertAlign val="superscript"/>
      <sz val="10"/>
      <color rgb="FF605E64"/>
      <name val="Arial"/>
      <family val="2"/>
    </font>
    <font>
      <sz val="10"/>
      <color rgb="FF757579"/>
      <name val="Arial"/>
      <family val="2"/>
    </font>
    <font>
      <i/>
      <sz val="10"/>
      <color rgb="FF48464B"/>
      <name val="Arial"/>
      <family val="2"/>
    </font>
    <font>
      <i/>
      <sz val="10"/>
      <color rgb="FF605E64"/>
      <name val="Arial"/>
      <family val="2"/>
    </font>
    <font>
      <vertAlign val="superscript"/>
      <sz val="10"/>
      <color rgb="FF757579"/>
      <name val="Arial"/>
      <family val="2"/>
    </font>
    <font>
      <i/>
      <vertAlign val="superscript"/>
      <sz val="10"/>
      <color rgb="FF48464B"/>
      <name val="Arial"/>
      <family val="2"/>
    </font>
    <font>
      <vertAlign val="superscript"/>
      <sz val="10"/>
      <color rgb="FF000000"/>
      <name val="Arial"/>
      <family val="2"/>
    </font>
    <font>
      <sz val="10"/>
      <color rgb="FF343436"/>
      <name val="Arial"/>
      <family val="2"/>
    </font>
    <font>
      <sz val="10"/>
      <color rgb="FF181A1C"/>
      <name val="Arial"/>
      <family val="2"/>
    </font>
    <font>
      <sz val="10"/>
      <color rgb="FF464649"/>
      <name val="Arial"/>
      <family val="2"/>
    </font>
    <font>
      <vertAlign val="superscript"/>
      <sz val="10"/>
      <color rgb="FF343436"/>
      <name val="Arial"/>
      <family val="2"/>
    </font>
    <font>
      <vertAlign val="superscript"/>
      <sz val="10"/>
      <color rgb="FF181A1C"/>
      <name val="Arial"/>
      <family val="2"/>
    </font>
    <font>
      <vertAlign val="superscript"/>
      <sz val="10"/>
      <color rgb="FF464649"/>
      <name val="Arial"/>
      <family val="2"/>
    </font>
    <font>
      <sz val="10"/>
      <color rgb="FF79797E"/>
      <name val="Arial"/>
      <family val="2"/>
    </font>
    <font>
      <i/>
      <sz val="10"/>
      <color rgb="FF464649"/>
      <name val="Arial"/>
      <family val="2"/>
    </font>
    <font>
      <i/>
      <sz val="10"/>
      <color rgb="FF646469"/>
      <name val="Arial"/>
      <family val="2"/>
    </font>
    <font>
      <i/>
      <sz val="10"/>
      <color rgb="FF343436"/>
      <name val="Arial"/>
      <family val="2"/>
    </font>
    <font>
      <sz val="10"/>
      <color rgb="FF4F4F52"/>
      <name val="Arial"/>
      <family val="2"/>
    </font>
    <font>
      <sz val="10"/>
      <color rgb="FF828287"/>
      <name val="Arial"/>
      <family val="2"/>
    </font>
    <font>
      <sz val="10"/>
      <color rgb="FF3D3B3F"/>
      <name val="Arial"/>
      <family val="2"/>
    </font>
    <font>
      <sz val="10"/>
      <color rgb="FF646267"/>
      <name val="Arial"/>
      <family val="2"/>
    </font>
    <font>
      <sz val="10"/>
      <color rgb="FF2D2D2F"/>
      <name val="Arial"/>
      <family val="2"/>
    </font>
    <font>
      <sz val="10"/>
      <color rgb="FF727277"/>
      <name val="Arial"/>
      <family val="2"/>
    </font>
    <font>
      <i/>
      <sz val="10"/>
      <color rgb="FF4F4F52"/>
      <name val="Arial"/>
      <family val="2"/>
    </font>
    <font>
      <sz val="10"/>
      <color rgb="FF9A9A9E"/>
      <name val="Arial"/>
      <family val="2"/>
    </font>
    <font>
      <sz val="10"/>
      <color rgb="FF3B3B3F"/>
      <name val="Arial"/>
      <family val="2"/>
    </font>
    <font>
      <sz val="10"/>
      <color rgb="FF4D4D52"/>
      <name val="Arial"/>
      <family val="2"/>
    </font>
    <font>
      <sz val="10"/>
      <color rgb="FF262428"/>
      <name val="Arial"/>
      <family val="2"/>
    </font>
    <font>
      <sz val="10"/>
      <color rgb="FF6D6D72"/>
      <name val="Arial"/>
      <family val="2"/>
    </font>
    <font>
      <sz val="10"/>
      <color rgb="FF16161A"/>
      <name val="Arial"/>
      <family val="2"/>
    </font>
    <font>
      <vertAlign val="superscript"/>
      <sz val="10"/>
      <color rgb="FF3B3B3F"/>
      <name val="Arial"/>
      <family val="2"/>
    </font>
    <font>
      <vertAlign val="superscript"/>
      <sz val="10"/>
      <color rgb="FF4D4D52"/>
      <name val="Arial"/>
      <family val="2"/>
    </font>
    <font>
      <vertAlign val="superscript"/>
      <sz val="10"/>
      <color rgb="FF262428"/>
      <name val="Arial"/>
      <family val="2"/>
    </font>
    <font>
      <vertAlign val="superscript"/>
      <sz val="10"/>
      <color rgb="FF16161A"/>
      <name val="Arial"/>
      <family val="2"/>
    </font>
    <font>
      <vertAlign val="superscript"/>
      <sz val="10"/>
      <color rgb="FF6D6D72"/>
      <name val="Arial"/>
      <family val="2"/>
    </font>
    <font>
      <i/>
      <sz val="10"/>
      <color rgb="FF4D4D52"/>
      <name val="Arial"/>
      <family val="2"/>
    </font>
    <font>
      <sz val="10"/>
      <color rgb="FF1D1D21"/>
      <name val="Arial"/>
      <family val="2"/>
    </font>
    <font>
      <sz val="10"/>
      <color rgb="FF696970"/>
      <name val="Arial"/>
      <family val="2"/>
    </font>
    <font>
      <sz val="10"/>
      <color rgb="FF545459"/>
      <name val="Arial"/>
      <family val="2"/>
    </font>
    <font>
      <i/>
      <sz val="10"/>
      <color rgb="FF413F44"/>
      <name val="Arial"/>
      <family val="2"/>
    </font>
    <font>
      <i/>
      <sz val="10"/>
      <color rgb="FF1D1D21"/>
      <name val="Arial"/>
      <family val="2"/>
    </font>
    <font>
      <sz val="10"/>
      <color rgb="FF808085"/>
      <name val="Arial"/>
      <family val="2"/>
    </font>
    <font>
      <vertAlign val="superscript"/>
      <sz val="10"/>
      <color rgb="FF1D1D21"/>
      <name val="Arial"/>
      <family val="2"/>
    </font>
    <font>
      <sz val="10"/>
      <color rgb="FF49494D"/>
      <name val="Arial"/>
      <family val="2"/>
    </font>
    <font>
      <sz val="10"/>
      <color rgb="FF38363B"/>
      <name val="Arial"/>
      <family val="2"/>
    </font>
    <font>
      <vertAlign val="superscript"/>
      <sz val="10"/>
      <color rgb="FF49494D"/>
      <name val="Arial"/>
      <family val="2"/>
    </font>
    <font>
      <vertAlign val="superscript"/>
      <sz val="10"/>
      <color rgb="FF38363B"/>
      <name val="Arial"/>
      <family val="2"/>
    </font>
    <font>
      <vertAlign val="superscript"/>
      <sz val="10"/>
      <color rgb="FF6B6B72"/>
      <name val="Arial"/>
      <family val="2"/>
    </font>
    <font>
      <i/>
      <sz val="10"/>
      <color rgb="FF49494D"/>
      <name val="Arial"/>
      <family val="2"/>
    </font>
    <font>
      <i/>
      <sz val="10"/>
      <color rgb="FF38363B"/>
      <name val="Arial"/>
      <family val="2"/>
    </font>
    <font>
      <sz val="10"/>
      <color rgb="FF6B6B72"/>
      <name val="Arial"/>
      <family val="2"/>
    </font>
    <font>
      <i/>
      <vertAlign val="superscript"/>
      <sz val="10"/>
      <color rgb="FF49494D"/>
      <name val="Arial"/>
      <family val="2"/>
    </font>
    <font>
      <i/>
      <vertAlign val="superscript"/>
      <sz val="10"/>
      <color rgb="FF38363B"/>
      <name val="Arial"/>
      <family val="2"/>
    </font>
    <font>
      <i/>
      <sz val="10"/>
      <color rgb="FF6B6B72"/>
      <name val="Arial"/>
      <family val="2"/>
    </font>
    <font>
      <sz val="10"/>
      <color rgb="FF38383B"/>
      <name val="Arial"/>
      <family val="2"/>
    </font>
    <font>
      <sz val="10"/>
      <color rgb="FF5E5E64"/>
      <name val="Arial"/>
      <family val="2"/>
    </font>
    <font>
      <vertAlign val="superscript"/>
      <sz val="10"/>
      <color rgb="FF38383B"/>
      <name val="Arial"/>
      <family val="2"/>
    </font>
    <font>
      <i/>
      <sz val="10"/>
      <color rgb="FF38383B"/>
      <name val="Arial"/>
      <family val="2"/>
    </font>
    <font>
      <sz val="10"/>
      <color rgb="FF38363A"/>
      <name val="Arial"/>
      <family val="2"/>
    </font>
    <font>
      <sz val="10"/>
      <color rgb="FF111115"/>
      <name val="Arial"/>
      <family val="2"/>
    </font>
    <font>
      <sz val="10"/>
      <color rgb="FF212124"/>
      <name val="Arial"/>
      <family val="2"/>
    </font>
    <font>
      <sz val="10"/>
      <color rgb="FF606064"/>
      <name val="Arial"/>
      <family val="2"/>
    </font>
    <font>
      <sz val="10"/>
      <color rgb="FF49494B"/>
      <name val="Arial"/>
      <family val="2"/>
    </font>
    <font>
      <i/>
      <sz val="10"/>
      <color rgb="FF49494B"/>
      <name val="Arial"/>
      <family val="2"/>
    </font>
    <font>
      <vertAlign val="superscript"/>
      <sz val="10"/>
      <color rgb="FF49494B"/>
      <name val="Arial"/>
      <family val="2"/>
    </font>
    <font>
      <vertAlign val="superscript"/>
      <sz val="10"/>
      <color rgb="FF38363A"/>
      <name val="Arial"/>
      <family val="2"/>
    </font>
    <font>
      <vertAlign val="superscript"/>
      <sz val="10"/>
      <color rgb="FF606064"/>
      <name val="Arial"/>
      <family val="2"/>
    </font>
    <font>
      <i/>
      <sz val="10"/>
      <color rgb="FF606064"/>
      <name val="Arial"/>
      <family val="2"/>
    </font>
    <font>
      <i/>
      <sz val="10"/>
      <color rgb="FF757579"/>
      <name val="Arial"/>
      <family val="2"/>
    </font>
    <font>
      <i/>
      <sz val="10"/>
      <color rgb="FF38363A"/>
      <name val="Arial"/>
      <family val="2"/>
    </font>
    <font>
      <sz val="10"/>
      <color rgb="FF4B494D"/>
      <name val="Arial"/>
      <family val="2"/>
    </font>
    <font>
      <sz val="10"/>
      <color rgb="FF26262A"/>
      <name val="Arial"/>
      <family val="2"/>
    </font>
    <font>
      <sz val="10"/>
      <color rgb="FF151518"/>
      <name val="Arial"/>
      <family val="2"/>
    </font>
    <font>
      <sz val="10"/>
      <color rgb="FF626266"/>
      <name val="Arial"/>
      <family val="2"/>
    </font>
    <font>
      <vertAlign val="superscript"/>
      <sz val="10"/>
      <color rgb="FF4B494D"/>
      <name val="Arial"/>
      <family val="2"/>
    </font>
    <font>
      <vertAlign val="superscript"/>
      <sz val="10"/>
      <color rgb="FF26262A"/>
      <name val="Arial"/>
      <family val="2"/>
    </font>
    <font>
      <vertAlign val="superscript"/>
      <sz val="10"/>
      <color rgb="FF626266"/>
      <name val="Arial"/>
      <family val="2"/>
    </font>
    <font>
      <vertAlign val="superscript"/>
      <sz val="10"/>
      <color rgb="FF151518"/>
      <name val="Arial"/>
      <family val="2"/>
    </font>
    <font>
      <vertAlign val="superscript"/>
      <sz val="10"/>
      <color rgb="FF757479"/>
      <name val="Arial"/>
      <family val="2"/>
    </font>
    <font>
      <sz val="10"/>
      <color rgb="FF757479"/>
      <name val="Arial"/>
      <family val="2"/>
    </font>
    <font>
      <i/>
      <vertAlign val="superscript"/>
      <sz val="10"/>
      <color rgb="FF4B494D"/>
      <name val="Arial"/>
      <family val="2"/>
    </font>
    <font>
      <i/>
      <vertAlign val="superscript"/>
      <sz val="10"/>
      <color rgb="FF626266"/>
      <name val="Arial"/>
      <family val="2"/>
    </font>
    <font>
      <i/>
      <vertAlign val="superscript"/>
      <sz val="10"/>
      <color rgb="FF38383B"/>
      <name val="Arial"/>
      <family val="2"/>
    </font>
    <font>
      <i/>
      <sz val="8"/>
      <color theme="0"/>
      <name val="Arial"/>
      <family val="2"/>
    </font>
    <font>
      <b/>
      <i/>
      <sz val="8"/>
      <color rgb="FF000000"/>
      <name val="Arial"/>
      <family val="2"/>
    </font>
    <font>
      <b/>
      <sz val="6"/>
      <color theme="0"/>
      <name val="Arial"/>
      <family val="2"/>
    </font>
    <font>
      <sz val="8"/>
      <name val="Calibri"/>
      <family val="2"/>
      <scheme val="minor"/>
    </font>
    <font>
      <sz val="8"/>
      <color rgb="FF000000"/>
      <name val="Calibri"/>
      <family val="2"/>
      <scheme val="minor"/>
    </font>
    <font>
      <sz val="8"/>
      <color rgb="FFFF0000"/>
      <name val="Calibri"/>
      <family val="2"/>
      <scheme val="minor"/>
    </font>
    <font>
      <sz val="14"/>
      <name val="Calibri"/>
      <family val="2"/>
      <scheme val="minor"/>
    </font>
    <font>
      <sz val="16"/>
      <name val="Calibri"/>
      <family val="2"/>
      <scheme val="minor"/>
    </font>
    <font>
      <sz val="11"/>
      <name val="Calibri"/>
      <family val="2"/>
      <scheme val="minor"/>
    </font>
    <font>
      <b/>
      <sz val="11"/>
      <name val="Calibri"/>
      <family val="2"/>
      <scheme val="minor"/>
    </font>
    <font>
      <sz val="8"/>
      <color rgb="FF006100"/>
      <name val="Calibri"/>
      <family val="2"/>
      <scheme val="minor"/>
    </font>
    <font>
      <sz val="11"/>
      <color rgb="FFC00000"/>
      <name val="Calibri"/>
      <family val="2"/>
      <scheme val="minor"/>
    </font>
    <font>
      <b/>
      <sz val="14"/>
      <name val="Calibri"/>
      <family val="2"/>
      <scheme val="minor"/>
    </font>
    <font>
      <sz val="11"/>
      <color rgb="FF008080"/>
      <name val="Calibri"/>
      <family val="2"/>
      <scheme val="minor"/>
    </font>
    <font>
      <b/>
      <sz val="14"/>
      <color rgb="FF008080"/>
      <name val="Calibri"/>
      <family val="2"/>
      <scheme val="minor"/>
    </font>
    <font>
      <b/>
      <sz val="11"/>
      <color rgb="FF008080"/>
      <name val="Calibri"/>
      <family val="2"/>
      <scheme val="minor"/>
    </font>
    <font>
      <sz val="10"/>
      <color rgb="FF008080"/>
      <name val="Arial"/>
      <family val="2"/>
    </font>
    <font>
      <b/>
      <sz val="10"/>
      <color rgb="FF008080"/>
      <name val="Arial"/>
      <family val="2"/>
    </font>
    <font>
      <sz val="8"/>
      <color rgb="FFED0000"/>
      <name val="Calibri"/>
      <family val="2"/>
      <scheme val="minor"/>
    </font>
    <font>
      <b/>
      <sz val="8"/>
      <color rgb="FF000000"/>
      <name val="Calibri"/>
      <family val="2"/>
      <scheme val="minor"/>
    </font>
    <font>
      <sz val="9"/>
      <color theme="0"/>
      <name val="Calibri"/>
      <family val="2"/>
      <scheme val="minor"/>
    </font>
  </fonts>
  <fills count="5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E3E9FF"/>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rgb="FF1896A4"/>
        <bgColor indexed="64"/>
      </patternFill>
    </fill>
    <fill>
      <patternFill patternType="solid">
        <fgColor rgb="FFB6DDE8"/>
        <bgColor indexed="64"/>
      </patternFill>
    </fill>
    <fill>
      <patternFill patternType="solid">
        <fgColor rgb="FF1896A4"/>
        <bgColor rgb="FF000000"/>
      </patternFill>
    </fill>
    <fill>
      <patternFill patternType="solid">
        <fgColor rgb="FFF2F2F2"/>
        <bgColor rgb="FF000000"/>
      </patternFill>
    </fill>
    <fill>
      <patternFill patternType="solid">
        <fgColor rgb="FF1896A4"/>
        <bgColor rgb="FF1896A4"/>
      </patternFill>
    </fill>
    <fill>
      <patternFill patternType="solid">
        <fgColor rgb="FF6BB0B9"/>
        <bgColor indexed="64"/>
      </patternFill>
    </fill>
    <fill>
      <patternFill patternType="solid">
        <fgColor rgb="FF6BB0B9"/>
        <bgColor rgb="FF1896A4"/>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2F2F2"/>
        <bgColor rgb="FFF2F2F2"/>
      </patternFill>
    </fill>
    <fill>
      <patternFill patternType="solid">
        <fgColor rgb="FFE3E9FF"/>
        <bgColor rgb="FFE3E9FF"/>
      </patternFill>
    </fill>
    <fill>
      <patternFill patternType="solid">
        <fgColor theme="0" tint="-0.249977111117893"/>
        <bgColor rgb="FFF2F2F2"/>
      </patternFill>
    </fill>
    <fill>
      <patternFill patternType="solid">
        <fgColor theme="0" tint="-0.249977111117893"/>
        <bgColor indexed="64"/>
      </patternFill>
    </fill>
    <fill>
      <patternFill patternType="solid">
        <fgColor rgb="FF92D050"/>
        <bgColor rgb="FF92D050"/>
      </patternFill>
    </fill>
    <fill>
      <patternFill patternType="solid">
        <fgColor rgb="FFFFC000"/>
        <bgColor rgb="FFFFC000"/>
      </patternFill>
    </fill>
    <fill>
      <patternFill patternType="solid">
        <fgColor theme="1"/>
        <bgColor indexed="64"/>
      </patternFill>
    </fill>
    <fill>
      <patternFill patternType="solid">
        <fgColor rgb="FF99CCFF"/>
        <bgColor indexed="64"/>
      </patternFill>
    </fill>
    <fill>
      <patternFill patternType="solid">
        <fgColor theme="0" tint="-0.14996795556505021"/>
        <bgColor indexed="64"/>
      </patternFill>
    </fill>
    <fill>
      <patternFill patternType="solid">
        <fgColor theme="5" tint="0.59999389629810485"/>
        <bgColor indexed="64"/>
      </patternFill>
    </fill>
    <fill>
      <patternFill patternType="solid">
        <fgColor rgb="FF00C0CA"/>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9"/>
        <bgColor indexed="64"/>
      </patternFill>
    </fill>
    <fill>
      <patternFill patternType="solid">
        <fgColor rgb="FFFF33CC"/>
        <bgColor indexed="64"/>
      </patternFill>
    </fill>
    <fill>
      <patternFill patternType="solid">
        <fgColor rgb="FFFFCCFF"/>
        <bgColor indexed="64"/>
      </patternFill>
    </fill>
    <fill>
      <patternFill patternType="solid">
        <fgColor rgb="FFFFFFFF"/>
        <bgColor rgb="FFFFFFFF"/>
      </patternFill>
    </fill>
    <fill>
      <patternFill patternType="solid">
        <fgColor theme="4" tint="0.79992065187536243"/>
        <bgColor indexed="64"/>
      </patternFill>
    </fill>
    <fill>
      <patternFill patternType="solid">
        <fgColor theme="7" tint="0.59999389629810485"/>
        <bgColor indexed="64"/>
      </patternFill>
    </fill>
    <fill>
      <patternFill patternType="solid">
        <fgColor theme="4"/>
        <bgColor indexed="64"/>
      </patternFill>
    </fill>
    <fill>
      <patternFill patternType="solid">
        <fgColor theme="9" tint="0.59999389629810485"/>
        <bgColor indexed="64"/>
      </patternFill>
    </fill>
    <fill>
      <patternFill patternType="solid">
        <fgColor theme="7" tint="0.7999511703848384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D9D9D9"/>
        <bgColor rgb="FF000000"/>
      </patternFill>
    </fill>
    <fill>
      <patternFill patternType="solid">
        <fgColor rgb="FFC6EFCE"/>
        <bgColor rgb="FFC6EFCE"/>
      </patternFill>
    </fill>
    <fill>
      <patternFill patternType="solid">
        <fgColor theme="2"/>
        <bgColor indexed="64"/>
      </patternFill>
    </fill>
    <fill>
      <patternFill patternType="solid">
        <fgColor theme="8" tint="0.79998168889431442"/>
        <bgColor indexed="64"/>
      </patternFill>
    </fill>
    <fill>
      <patternFill patternType="solid">
        <fgColor rgb="FF00B0F0"/>
        <bgColor indexed="64"/>
      </patternFill>
    </fill>
  </fills>
  <borders count="14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auto="1"/>
      </left>
      <right style="medium">
        <color auto="1"/>
      </right>
      <top style="thin">
        <color auto="1"/>
      </top>
      <bottom style="thin">
        <color auto="1"/>
      </bottom>
      <diagonal/>
    </border>
    <border>
      <left/>
      <right/>
      <top style="medium">
        <color auto="1"/>
      </top>
      <bottom/>
      <diagonal/>
    </border>
    <border>
      <left style="hair">
        <color auto="1"/>
      </left>
      <right/>
      <top style="medium">
        <color auto="1"/>
      </top>
      <bottom/>
      <diagonal/>
    </border>
    <border>
      <left/>
      <right style="hair">
        <color auto="1"/>
      </right>
      <top style="medium">
        <color auto="1"/>
      </top>
      <bottom/>
      <diagonal/>
    </border>
    <border>
      <left style="medium">
        <color auto="1"/>
      </left>
      <right/>
      <top/>
      <bottom/>
      <diagonal/>
    </border>
    <border>
      <left style="hair">
        <color auto="1"/>
      </left>
      <right/>
      <top/>
      <bottom/>
      <diagonal/>
    </border>
    <border>
      <left/>
      <right style="hair">
        <color auto="1"/>
      </right>
      <top/>
      <bottom/>
      <diagonal/>
    </border>
    <border>
      <left style="medium">
        <color auto="1"/>
      </left>
      <right/>
      <top/>
      <bottom style="hair">
        <color auto="1"/>
      </bottom>
      <diagonal/>
    </border>
    <border>
      <left/>
      <right/>
      <top/>
      <bottom style="hair">
        <color auto="1"/>
      </bottom>
      <diagonal/>
    </border>
    <border>
      <left style="hair">
        <color auto="1"/>
      </left>
      <right/>
      <top/>
      <bottom style="hair">
        <color auto="1"/>
      </bottom>
      <diagonal/>
    </border>
    <border>
      <left/>
      <right style="hair">
        <color auto="1"/>
      </right>
      <top/>
      <bottom style="hair">
        <color auto="1"/>
      </bottom>
      <diagonal/>
    </border>
    <border>
      <left style="medium">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style="hair">
        <color auto="1"/>
      </top>
      <bottom/>
      <diagonal/>
    </border>
    <border>
      <left style="medium">
        <color auto="1"/>
      </left>
      <right/>
      <top/>
      <bottom style="medium">
        <color auto="1"/>
      </bottom>
      <diagonal/>
    </border>
    <border>
      <left/>
      <right/>
      <top/>
      <bottom style="medium">
        <color auto="1"/>
      </bottom>
      <diagonal/>
    </border>
    <border>
      <left/>
      <right style="hair">
        <color auto="1"/>
      </right>
      <top/>
      <bottom style="medium">
        <color auto="1"/>
      </bottom>
      <diagonal/>
    </border>
    <border>
      <left style="hair">
        <color auto="1"/>
      </left>
      <right/>
      <top/>
      <bottom style="medium">
        <color auto="1"/>
      </bottom>
      <diagonal/>
    </border>
    <border>
      <left style="thin">
        <color auto="1"/>
      </left>
      <right style="thin">
        <color auto="1"/>
      </right>
      <top style="medium">
        <color auto="1"/>
      </top>
      <bottom style="thin">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hair">
        <color rgb="FF000000"/>
      </left>
      <right/>
      <top style="medium">
        <color indexed="64"/>
      </top>
      <bottom/>
      <diagonal/>
    </border>
    <border>
      <left style="hair">
        <color rgb="FF000000"/>
      </left>
      <right/>
      <top/>
      <bottom/>
      <diagonal/>
    </border>
    <border>
      <left style="medium">
        <color indexed="64"/>
      </left>
      <right/>
      <top/>
      <bottom style="hair">
        <color rgb="FF000000"/>
      </bottom>
      <diagonal/>
    </border>
    <border>
      <left style="hair">
        <color rgb="FF000000"/>
      </left>
      <right/>
      <top/>
      <bottom style="hair">
        <color rgb="FF000000"/>
      </bottom>
      <diagonal/>
    </border>
    <border>
      <left style="medium">
        <color indexed="64"/>
      </left>
      <right/>
      <top style="hair">
        <color rgb="FF000000"/>
      </top>
      <bottom/>
      <diagonal/>
    </border>
    <border>
      <left style="hair">
        <color rgb="FF000000"/>
      </left>
      <right/>
      <top style="hair">
        <color rgb="FF000000"/>
      </top>
      <bottom/>
      <diagonal/>
    </border>
    <border>
      <left style="hair">
        <color rgb="FF000000"/>
      </left>
      <right/>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style="thin">
        <color auto="1"/>
      </top>
      <bottom style="thin">
        <color auto="1"/>
      </bottom>
      <diagonal/>
    </border>
    <border>
      <left/>
      <right style="thin">
        <color auto="1"/>
      </right>
      <top style="hair">
        <color auto="1"/>
      </top>
      <bottom style="hair">
        <color auto="1"/>
      </bottom>
      <diagonal/>
    </border>
    <border>
      <left style="medium">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bottom style="hair">
        <color auto="1"/>
      </bottom>
      <diagonal/>
    </border>
    <border>
      <left style="thin">
        <color auto="1"/>
      </left>
      <right/>
      <top/>
      <bottom style="hair">
        <color auto="1"/>
      </bottom>
      <diagonal/>
    </border>
    <border>
      <left style="thin">
        <color auto="1"/>
      </left>
      <right style="thin">
        <color auto="1"/>
      </right>
      <top/>
      <bottom style="hair">
        <color auto="1"/>
      </bottom>
      <diagonal/>
    </border>
    <border>
      <left/>
      <right style="thin">
        <color auto="1"/>
      </right>
      <top/>
      <bottom style="hair">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hair">
        <color auto="1"/>
      </top>
      <bottom style="medium">
        <color auto="1"/>
      </bottom>
      <diagonal/>
    </border>
    <border>
      <left/>
      <right style="medium">
        <color auto="1"/>
      </right>
      <top/>
      <bottom style="medium">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rgb="FF0000CC"/>
      </left>
      <right style="thin">
        <color rgb="FF0000CC"/>
      </right>
      <top style="thin">
        <color rgb="FF0000CC"/>
      </top>
      <bottom style="thin">
        <color rgb="FF0000CC"/>
      </bottom>
      <diagonal/>
    </border>
    <border>
      <left style="thick">
        <color rgb="FF008080"/>
      </left>
      <right/>
      <top style="thick">
        <color rgb="FF008080"/>
      </top>
      <bottom/>
      <diagonal/>
    </border>
    <border>
      <left/>
      <right/>
      <top style="thick">
        <color rgb="FF008080"/>
      </top>
      <bottom/>
      <diagonal/>
    </border>
    <border>
      <left/>
      <right style="thick">
        <color rgb="FF008080"/>
      </right>
      <top style="thick">
        <color rgb="FF008080"/>
      </top>
      <bottom/>
      <diagonal/>
    </border>
    <border>
      <left style="thick">
        <color rgb="FF008080"/>
      </left>
      <right/>
      <top/>
      <bottom/>
      <diagonal/>
    </border>
    <border>
      <left/>
      <right style="thick">
        <color rgb="FF008080"/>
      </right>
      <top/>
      <bottom/>
      <diagonal/>
    </border>
    <border>
      <left style="thick">
        <color rgb="FF008080"/>
      </left>
      <right/>
      <top/>
      <bottom style="thick">
        <color rgb="FF008080"/>
      </bottom>
      <diagonal/>
    </border>
    <border>
      <left/>
      <right/>
      <top/>
      <bottom style="thick">
        <color rgb="FF008080"/>
      </bottom>
      <diagonal/>
    </border>
    <border>
      <left/>
      <right style="thick">
        <color rgb="FF008080"/>
      </right>
      <top/>
      <bottom style="thick">
        <color rgb="FF008080"/>
      </bottom>
      <diagonal/>
    </border>
    <border>
      <left style="medium">
        <color rgb="FF008080"/>
      </left>
      <right/>
      <top style="medium">
        <color rgb="FF008080"/>
      </top>
      <bottom/>
      <diagonal/>
    </border>
    <border>
      <left/>
      <right/>
      <top style="medium">
        <color rgb="FF008080"/>
      </top>
      <bottom/>
      <diagonal/>
    </border>
    <border>
      <left/>
      <right style="medium">
        <color rgb="FF008080"/>
      </right>
      <top style="medium">
        <color rgb="FF008080"/>
      </top>
      <bottom/>
      <diagonal/>
    </border>
    <border>
      <left style="medium">
        <color rgb="FF008080"/>
      </left>
      <right/>
      <top/>
      <bottom/>
      <diagonal/>
    </border>
    <border>
      <left/>
      <right style="medium">
        <color rgb="FF008080"/>
      </right>
      <top/>
      <bottom/>
      <diagonal/>
    </border>
    <border>
      <left style="medium">
        <color rgb="FF008080"/>
      </left>
      <right/>
      <top/>
      <bottom style="medium">
        <color rgb="FF008080"/>
      </bottom>
      <diagonal/>
    </border>
    <border>
      <left/>
      <right/>
      <top/>
      <bottom style="medium">
        <color rgb="FF008080"/>
      </bottom>
      <diagonal/>
    </border>
    <border>
      <left/>
      <right style="medium">
        <color rgb="FF008080"/>
      </right>
      <top/>
      <bottom style="medium">
        <color rgb="FF008080"/>
      </bottom>
      <diagonal/>
    </border>
    <border>
      <left/>
      <right/>
      <top style="thin">
        <color indexed="64"/>
      </top>
      <bottom style="medium">
        <color rgb="FF008080"/>
      </bottom>
      <diagonal/>
    </border>
    <border>
      <left/>
      <right/>
      <top/>
      <bottom style="thin">
        <color rgb="FF008080"/>
      </bottom>
      <diagonal/>
    </border>
    <border>
      <left style="thin">
        <color rgb="FF008080"/>
      </left>
      <right style="thin">
        <color rgb="FF008080"/>
      </right>
      <top style="thin">
        <color rgb="FF008080"/>
      </top>
      <bottom style="thin">
        <color rgb="FF008080"/>
      </bottom>
      <diagonal/>
    </border>
    <border>
      <left style="thin">
        <color rgb="FF008080"/>
      </left>
      <right style="thick">
        <color rgb="FF008080"/>
      </right>
      <top style="thin">
        <color rgb="FF008080"/>
      </top>
      <bottom style="thin">
        <color rgb="FF008080"/>
      </bottom>
      <diagonal/>
    </border>
    <border>
      <left style="thick">
        <color rgb="FF008080"/>
      </left>
      <right style="thin">
        <color rgb="FF008080"/>
      </right>
      <top/>
      <bottom/>
      <diagonal/>
    </border>
    <border>
      <left style="thin">
        <color rgb="FF008080"/>
      </left>
      <right style="thick">
        <color rgb="FF008080"/>
      </right>
      <top/>
      <bottom/>
      <diagonal/>
    </border>
    <border>
      <left/>
      <right/>
      <top style="thin">
        <color rgb="FF008080"/>
      </top>
      <bottom style="thick">
        <color rgb="FF008080"/>
      </bottom>
      <diagonal/>
    </border>
    <border>
      <left style="thick">
        <color rgb="FF008080"/>
      </left>
      <right/>
      <top/>
      <bottom style="thin">
        <color rgb="FF000000"/>
      </bottom>
      <diagonal/>
    </border>
    <border>
      <left/>
      <right style="thin">
        <color rgb="FF000000"/>
      </right>
      <top style="thick">
        <color rgb="FF008080"/>
      </top>
      <bottom/>
      <diagonal/>
    </border>
  </borders>
  <cellStyleXfs count="3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applyNumberFormat="0" applyFill="0" applyBorder="0" applyAlignment="0" applyProtection="0"/>
    <xf numFmtId="42"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56"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1"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1"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03" fillId="0" borderId="0"/>
    <xf numFmtId="41" fontId="1" fillId="0" borderId="0" applyFont="0" applyFill="0" applyBorder="0" applyAlignment="0" applyProtection="0"/>
    <xf numFmtId="164" fontId="79" fillId="0" borderId="0" applyFont="0" applyFill="0" applyBorder="0" applyAlignment="0" applyProtection="0"/>
    <xf numFmtId="0" fontId="320" fillId="0" borderId="0"/>
  </cellStyleXfs>
  <cellXfs count="2077">
    <xf numFmtId="0" fontId="0" fillId="0" borderId="0" xfId="0"/>
    <xf numFmtId="0" fontId="2" fillId="0" borderId="0" xfId="0" applyFont="1" applyAlignment="1">
      <alignment horizontal="center" vertical="center"/>
    </xf>
    <xf numFmtId="0" fontId="2" fillId="0" borderId="0" xfId="0" applyFont="1"/>
    <xf numFmtId="0" fontId="6" fillId="5"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7" fillId="8" borderId="1" xfId="0" applyFont="1" applyFill="1" applyBorder="1" applyAlignment="1">
      <alignment horizontal="center" vertical="center" wrapText="1"/>
    </xf>
    <xf numFmtId="0" fontId="6" fillId="5" borderId="1" xfId="0" applyFont="1" applyFill="1" applyBorder="1" applyAlignment="1" applyProtection="1">
      <alignment horizontal="left" vertical="center" wrapText="1"/>
      <protection locked="0"/>
    </xf>
    <xf numFmtId="0" fontId="8" fillId="0" borderId="1" xfId="0" applyFont="1" applyBorder="1" applyAlignment="1">
      <alignment horizontal="left"/>
    </xf>
    <xf numFmtId="0" fontId="8" fillId="0" borderId="1" xfId="0" applyFont="1" applyBorder="1" applyAlignment="1" applyProtection="1">
      <alignment horizontal="left" vertical="center" wrapText="1"/>
      <protection locked="0"/>
    </xf>
    <xf numFmtId="0" fontId="8" fillId="0" borderId="1" xfId="0" applyFont="1" applyBorder="1" applyAlignment="1">
      <alignment horizontal="left" vertical="center" wrapText="1"/>
    </xf>
    <xf numFmtId="0" fontId="2" fillId="0" borderId="0" xfId="0" applyFont="1" applyAlignment="1">
      <alignment horizontal="left"/>
    </xf>
    <xf numFmtId="0" fontId="9" fillId="5" borderId="1" xfId="0" applyFont="1" applyFill="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10" fillId="0" borderId="1" xfId="0" quotePrefix="1" applyFont="1" applyBorder="1" applyAlignment="1" applyProtection="1">
      <alignment horizontal="left" vertical="center" wrapText="1"/>
      <protection locked="0"/>
    </xf>
    <xf numFmtId="0" fontId="8" fillId="0" borderId="1" xfId="0" applyFont="1" applyBorder="1" applyAlignment="1">
      <alignment horizontal="center" vertical="center"/>
    </xf>
    <xf numFmtId="0" fontId="8" fillId="0" borderId="1" xfId="0" applyFont="1" applyBorder="1" applyAlignment="1" applyProtection="1">
      <alignment horizontal="center" vertical="center" wrapText="1"/>
      <protection locked="0"/>
    </xf>
    <xf numFmtId="9" fontId="8" fillId="0" borderId="1" xfId="0" applyNumberFormat="1" applyFont="1" applyBorder="1" applyAlignment="1">
      <alignment horizontal="center" vertical="center"/>
    </xf>
    <xf numFmtId="0" fontId="9"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2" fillId="0" borderId="0" xfId="0" applyFont="1" applyAlignment="1">
      <alignment horizontal="center"/>
    </xf>
    <xf numFmtId="0" fontId="8" fillId="0" borderId="1" xfId="0" applyFont="1" applyBorder="1" applyAlignment="1">
      <alignment horizontal="left" vertical="center"/>
    </xf>
    <xf numFmtId="0" fontId="8" fillId="0" borderId="0" xfId="0" applyFont="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hidden="1"/>
    </xf>
    <xf numFmtId="0" fontId="8" fillId="0" borderId="1" xfId="0" applyFont="1" applyBorder="1" applyAlignment="1" applyProtection="1">
      <alignment horizontal="left" vertical="center" wrapText="1"/>
      <protection locked="0" hidden="1"/>
    </xf>
    <xf numFmtId="166" fontId="8" fillId="0" borderId="1" xfId="0" quotePrefix="1" applyNumberFormat="1" applyFont="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2" fillId="0" borderId="0" xfId="0" applyFont="1" applyProtection="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hidden="1"/>
    </xf>
    <xf numFmtId="0" fontId="2" fillId="0" borderId="0" xfId="0" applyFont="1" applyAlignment="1" applyProtection="1">
      <alignment horizontal="left" vertical="center" wrapText="1"/>
      <protection locked="0"/>
    </xf>
    <xf numFmtId="0" fontId="8"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166" fontId="8" fillId="0" borderId="1" xfId="0" applyNumberFormat="1" applyFont="1" applyBorder="1" applyAlignment="1">
      <alignment horizontal="left" vertical="center" wrapText="1"/>
    </xf>
    <xf numFmtId="0" fontId="2" fillId="0" borderId="0" xfId="0" applyFont="1" applyAlignment="1">
      <alignment horizontal="left" vertical="center"/>
    </xf>
    <xf numFmtId="0" fontId="9" fillId="5"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6" xfId="0" applyFont="1" applyBorder="1" applyAlignment="1">
      <alignment horizontal="left" vertical="center" wrapText="1"/>
    </xf>
    <xf numFmtId="42" fontId="8" fillId="0" borderId="1" xfId="4" applyFont="1" applyBorder="1" applyAlignment="1">
      <alignment horizontal="center" vertical="center" wrapText="1"/>
    </xf>
    <xf numFmtId="9" fontId="8" fillId="0" borderId="1" xfId="1" applyFont="1" applyBorder="1" applyAlignment="1">
      <alignment horizontal="center" vertical="center" wrapText="1"/>
    </xf>
    <xf numFmtId="164" fontId="8" fillId="0" borderId="1" xfId="2" applyFont="1" applyBorder="1" applyAlignment="1">
      <alignment horizontal="center" vertical="center" wrapText="1"/>
    </xf>
    <xf numFmtId="166" fontId="8"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8" fillId="0" borderId="0" xfId="0" applyFont="1"/>
    <xf numFmtId="0" fontId="8" fillId="0" borderId="0" xfId="0" applyFont="1" applyAlignment="1">
      <alignment horizontal="left" vertical="center"/>
    </xf>
    <xf numFmtId="0" fontId="6" fillId="7" borderId="1" xfId="0" applyFont="1" applyFill="1" applyBorder="1" applyAlignment="1">
      <alignment horizontal="center" vertical="center" wrapText="1"/>
    </xf>
    <xf numFmtId="0" fontId="8" fillId="0" borderId="0" xfId="0" applyFont="1" applyAlignment="1">
      <alignment horizontal="center"/>
    </xf>
    <xf numFmtId="0" fontId="6" fillId="2" borderId="1" xfId="0" applyFont="1" applyFill="1" applyBorder="1" applyAlignment="1">
      <alignment vertical="center" wrapText="1"/>
    </xf>
    <xf numFmtId="0" fontId="8" fillId="0" borderId="1" xfId="0" quotePrefix="1"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vertical="center" wrapText="1"/>
    </xf>
    <xf numFmtId="42" fontId="8" fillId="0" borderId="1" xfId="4" applyFont="1" applyFill="1" applyBorder="1" applyAlignment="1">
      <alignment horizontal="center" vertical="center" wrapText="1"/>
    </xf>
    <xf numFmtId="0" fontId="20" fillId="0" borderId="1" xfId="0" applyFont="1" applyBorder="1" applyAlignment="1">
      <alignment vertical="top" wrapText="1"/>
    </xf>
    <xf numFmtId="167" fontId="21" fillId="0" borderId="1" xfId="5" applyNumberFormat="1" applyFont="1" applyBorder="1" applyAlignment="1">
      <alignment horizontal="center" vertical="top" wrapText="1"/>
    </xf>
    <xf numFmtId="0" fontId="22" fillId="0" borderId="1" xfId="0" applyFont="1" applyBorder="1" applyAlignment="1">
      <alignment vertical="top" wrapText="1"/>
    </xf>
    <xf numFmtId="0" fontId="2" fillId="0" borderId="0" xfId="5" applyFont="1" applyAlignment="1">
      <alignment vertical="center"/>
    </xf>
    <xf numFmtId="0" fontId="2" fillId="0" borderId="0" xfId="5" applyFont="1" applyAlignment="1">
      <alignment horizontal="center" vertical="center"/>
    </xf>
    <xf numFmtId="0" fontId="16" fillId="0" borderId="0" xfId="5" applyFont="1" applyAlignment="1">
      <alignment vertical="center"/>
    </xf>
    <xf numFmtId="0" fontId="16" fillId="0" borderId="0" xfId="5" applyFont="1" applyAlignment="1">
      <alignment horizontal="center" vertical="center"/>
    </xf>
    <xf numFmtId="165" fontId="15" fillId="0" borderId="0" xfId="6" applyFont="1" applyAlignment="1">
      <alignment vertical="center"/>
    </xf>
    <xf numFmtId="0" fontId="23" fillId="0" borderId="0" xfId="5" applyFont="1" applyAlignment="1">
      <alignment horizontal="center" vertical="center"/>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center" vertical="top"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5" fillId="0" borderId="0" xfId="0" applyFont="1" applyAlignment="1">
      <alignment horizontal="center" vertical="center"/>
    </xf>
    <xf numFmtId="0" fontId="5" fillId="12" borderId="3" xfId="0" applyFont="1" applyFill="1" applyBorder="1" applyAlignment="1" applyProtection="1">
      <alignment horizontal="center" vertical="center" wrapText="1"/>
      <protection locked="0"/>
    </xf>
    <xf numFmtId="0" fontId="24" fillId="12" borderId="1" xfId="0" applyFont="1" applyFill="1" applyBorder="1" applyAlignment="1">
      <alignment horizontal="center" vertical="center" wrapText="1"/>
    </xf>
    <xf numFmtId="0" fontId="5" fillId="12" borderId="1" xfId="0" applyFont="1" applyFill="1" applyBorder="1" applyAlignment="1" applyProtection="1">
      <alignment horizontal="center" vertical="center" wrapText="1"/>
      <protection locked="0"/>
    </xf>
    <xf numFmtId="0" fontId="31" fillId="0" borderId="1" xfId="0" applyFont="1" applyBorder="1" applyAlignment="1">
      <alignment horizontal="center" vertical="center" wrapText="1"/>
    </xf>
    <xf numFmtId="166" fontId="31" fillId="0" borderId="1" xfId="0" applyNumberFormat="1"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pplyProtection="1">
      <alignment horizontal="left" vertical="center" wrapText="1"/>
      <protection locked="0"/>
    </xf>
    <xf numFmtId="0" fontId="0" fillId="0" borderId="0" xfId="0" applyAlignment="1">
      <alignment wrapText="1"/>
    </xf>
    <xf numFmtId="0" fontId="32" fillId="0" borderId="1" xfId="0" applyFont="1" applyBorder="1" applyAlignment="1">
      <alignment horizontal="left" vertical="center" wrapText="1"/>
    </xf>
    <xf numFmtId="0" fontId="10" fillId="0" borderId="1" xfId="0" quotePrefix="1" applyFont="1" applyBorder="1" applyAlignment="1">
      <alignment horizontal="left" vertical="center" wrapText="1"/>
    </xf>
    <xf numFmtId="0" fontId="23" fillId="0" borderId="0" xfId="0" applyFont="1"/>
    <xf numFmtId="0" fontId="33" fillId="12" borderId="1" xfId="0" applyFont="1" applyFill="1" applyBorder="1" applyAlignment="1">
      <alignment horizontal="center" vertical="center" wrapText="1"/>
    </xf>
    <xf numFmtId="0" fontId="34" fillId="12" borderId="3" xfId="0" applyFont="1" applyFill="1" applyBorder="1" applyAlignment="1">
      <alignment horizontal="center" vertical="center" wrapText="1"/>
    </xf>
    <xf numFmtId="0" fontId="33" fillId="12" borderId="3" xfId="0" applyFont="1" applyFill="1" applyBorder="1" applyAlignment="1">
      <alignment horizontal="center" vertical="center" wrapText="1"/>
    </xf>
    <xf numFmtId="0" fontId="33" fillId="12" borderId="5" xfId="0" applyFont="1" applyFill="1" applyBorder="1" applyAlignment="1">
      <alignment horizontal="center" vertical="center" wrapText="1"/>
    </xf>
    <xf numFmtId="0" fontId="36" fillId="0" borderId="1" xfId="0" applyFont="1" applyBorder="1" applyAlignment="1">
      <alignment vertical="center" wrapText="1"/>
    </xf>
    <xf numFmtId="0" fontId="25" fillId="0" borderId="1" xfId="0" applyFont="1" applyBorder="1" applyAlignment="1">
      <alignment vertical="center" wrapText="1"/>
    </xf>
    <xf numFmtId="0" fontId="37" fillId="0" borderId="1" xfId="0" applyFont="1" applyBorder="1" applyAlignment="1">
      <alignment vertical="center" wrapText="1"/>
    </xf>
    <xf numFmtId="0" fontId="38" fillId="0" borderId="1" xfId="0" applyFont="1" applyBorder="1" applyAlignment="1">
      <alignment vertical="center" wrapText="1"/>
    </xf>
    <xf numFmtId="0" fontId="0" fillId="0" borderId="1" xfId="0" applyBorder="1" applyAlignment="1">
      <alignment vertical="top" wrapText="1"/>
    </xf>
    <xf numFmtId="0" fontId="25" fillId="0" borderId="5" xfId="0" applyFont="1" applyBorder="1" applyAlignment="1">
      <alignment vertical="center" wrapText="1"/>
    </xf>
    <xf numFmtId="0" fontId="2" fillId="0" borderId="0" xfId="0" applyFont="1" applyAlignment="1">
      <alignment horizontal="left" vertical="top"/>
    </xf>
    <xf numFmtId="0" fontId="2" fillId="0" borderId="0" xfId="0" applyFont="1" applyAlignment="1">
      <alignment horizontal="justify" vertical="center"/>
    </xf>
    <xf numFmtId="0" fontId="23" fillId="0" borderId="0" xfId="0" applyFont="1" applyAlignment="1">
      <alignment horizontal="left" vertical="top"/>
    </xf>
    <xf numFmtId="0" fontId="42" fillId="14" borderId="3" xfId="0" applyFont="1" applyFill="1" applyBorder="1" applyAlignment="1">
      <alignment horizontal="center" vertical="center" wrapText="1"/>
    </xf>
    <xf numFmtId="0" fontId="31" fillId="0" borderId="1" xfId="0" applyFont="1" applyBorder="1" applyAlignment="1" applyProtection="1">
      <alignment horizontal="center" vertical="center" wrapText="1"/>
      <protection locked="0"/>
    </xf>
    <xf numFmtId="168" fontId="8"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xf>
    <xf numFmtId="0" fontId="2" fillId="0" borderId="1" xfId="0" applyFont="1" applyBorder="1" applyAlignment="1">
      <alignment horizontal="center" vertical="center"/>
    </xf>
    <xf numFmtId="0" fontId="8" fillId="0" borderId="1" xfId="0" quotePrefix="1" applyFont="1" applyBorder="1" applyAlignment="1" applyProtection="1">
      <alignment horizontal="left" vertical="center" wrapText="1"/>
      <protection locked="0"/>
    </xf>
    <xf numFmtId="0" fontId="8" fillId="0" borderId="1" xfId="0" quotePrefix="1" applyFont="1" applyBorder="1" applyAlignment="1">
      <alignment vertical="center" wrapText="1"/>
    </xf>
    <xf numFmtId="164" fontId="8" fillId="0" borderId="1" xfId="2" applyFont="1" applyFill="1" applyBorder="1" applyAlignment="1">
      <alignment horizontal="center" vertical="center" wrapText="1"/>
    </xf>
    <xf numFmtId="0" fontId="0" fillId="0" borderId="0" xfId="0" applyAlignment="1">
      <alignment vertical="center"/>
    </xf>
    <xf numFmtId="0" fontId="0" fillId="0" borderId="1" xfId="0" applyBorder="1"/>
    <xf numFmtId="0" fontId="25" fillId="0" borderId="1" xfId="0" applyFont="1" applyBorder="1" applyAlignment="1">
      <alignment horizontal="center" vertical="center" wrapText="1"/>
    </xf>
    <xf numFmtId="0" fontId="18" fillId="0" borderId="0" xfId="0" applyFont="1" applyAlignment="1">
      <alignment horizontal="center" vertical="center"/>
    </xf>
    <xf numFmtId="0" fontId="43" fillId="0" borderId="0" xfId="0" applyFont="1"/>
    <xf numFmtId="0" fontId="43" fillId="0" borderId="0" xfId="0" applyFont="1" applyAlignment="1">
      <alignment horizontal="center"/>
    </xf>
    <xf numFmtId="0" fontId="4" fillId="0" borderId="0" xfId="3" applyFont="1" applyAlignment="1">
      <alignment vertical="center"/>
    </xf>
    <xf numFmtId="0" fontId="3" fillId="0" borderId="0" xfId="3"/>
    <xf numFmtId="0" fontId="23" fillId="0" borderId="0" xfId="0" applyFont="1" applyAlignment="1">
      <alignment horizontal="left"/>
    </xf>
    <xf numFmtId="0" fontId="38" fillId="0" borderId="0" xfId="0" applyFont="1" applyAlignment="1">
      <alignment horizontal="left"/>
    </xf>
    <xf numFmtId="3" fontId="25" fillId="0" borderId="1" xfId="0" applyNumberFormat="1" applyFont="1" applyBorder="1" applyAlignment="1">
      <alignment horizontal="left" vertical="center" wrapText="1" indent="1"/>
    </xf>
    <xf numFmtId="0" fontId="25" fillId="0" borderId="1" xfId="0" applyFont="1" applyBorder="1" applyAlignment="1">
      <alignment horizontal="left" vertical="center" wrapText="1" indent="1"/>
    </xf>
    <xf numFmtId="3" fontId="2" fillId="0" borderId="0" xfId="0" applyNumberFormat="1" applyFont="1"/>
    <xf numFmtId="0" fontId="37" fillId="0" borderId="0" xfId="0" applyFont="1" applyAlignment="1">
      <alignment horizontal="left" vertical="center"/>
    </xf>
    <xf numFmtId="3" fontId="25" fillId="0" borderId="1" xfId="0" applyNumberFormat="1" applyFont="1" applyBorder="1" applyAlignment="1">
      <alignment horizontal="center" vertical="center" wrapText="1"/>
    </xf>
    <xf numFmtId="0" fontId="2" fillId="0" borderId="0" xfId="0" applyFont="1" applyAlignment="1">
      <alignment horizontal="center" wrapText="1"/>
    </xf>
    <xf numFmtId="0" fontId="44" fillId="12" borderId="1" xfId="0" applyFont="1" applyFill="1" applyBorder="1" applyAlignment="1">
      <alignment horizontal="center" vertical="center" wrapText="1"/>
    </xf>
    <xf numFmtId="0" fontId="45" fillId="0" borderId="1" xfId="0" applyFont="1" applyBorder="1" applyAlignment="1">
      <alignment horizontal="center" vertical="center" wrapText="1"/>
    </xf>
    <xf numFmtId="3" fontId="45" fillId="0" borderId="1" xfId="0" applyNumberFormat="1" applyFont="1" applyBorder="1" applyAlignment="1">
      <alignment horizontal="center" vertical="center" wrapText="1"/>
    </xf>
    <xf numFmtId="0" fontId="46" fillId="0" borderId="1" xfId="0" applyFont="1" applyBorder="1" applyAlignment="1">
      <alignment horizontal="center" vertical="center" wrapText="1"/>
    </xf>
    <xf numFmtId="0" fontId="38" fillId="0" borderId="0" xfId="0" applyFont="1"/>
    <xf numFmtId="0" fontId="25" fillId="0" borderId="1" xfId="0" applyFont="1" applyBorder="1" applyAlignment="1">
      <alignment horizontal="justify" vertical="center" wrapText="1"/>
    </xf>
    <xf numFmtId="9" fontId="2" fillId="0" borderId="0" xfId="0" applyNumberFormat="1" applyFont="1"/>
    <xf numFmtId="0" fontId="27" fillId="0" borderId="1" xfId="0" applyFont="1" applyBorder="1" applyAlignment="1">
      <alignment horizontal="justify" vertical="center" wrapText="1"/>
    </xf>
    <xf numFmtId="0" fontId="27" fillId="0" borderId="1" xfId="0" applyFont="1" applyBorder="1" applyAlignment="1">
      <alignment horizontal="center" vertical="center" wrapText="1"/>
    </xf>
    <xf numFmtId="0" fontId="2" fillId="0" borderId="0" xfId="0" applyFont="1" applyAlignment="1">
      <alignment horizontal="center" vertical="top"/>
    </xf>
    <xf numFmtId="0" fontId="25" fillId="0" borderId="0" xfId="0" applyFont="1"/>
    <xf numFmtId="0" fontId="37" fillId="0" borderId="0" xfId="0" applyFont="1" applyAlignment="1">
      <alignment horizontal="center" vertical="center"/>
    </xf>
    <xf numFmtId="0" fontId="2" fillId="0" borderId="0" xfId="0" applyFont="1" applyAlignment="1">
      <alignment horizontal="center" vertical="top" wrapText="1"/>
    </xf>
    <xf numFmtId="0" fontId="2" fillId="0" borderId="0" xfId="0" applyFont="1" applyAlignment="1">
      <alignment vertical="top"/>
    </xf>
    <xf numFmtId="0" fontId="47" fillId="12" borderId="1" xfId="0" applyFont="1" applyFill="1" applyBorder="1" applyAlignment="1">
      <alignment horizontal="center" vertical="center" wrapText="1"/>
    </xf>
    <xf numFmtId="0" fontId="48" fillId="12" borderId="1" xfId="0" applyFont="1" applyFill="1" applyBorder="1" applyAlignment="1">
      <alignment horizontal="center" vertical="center" wrapText="1"/>
    </xf>
    <xf numFmtId="0" fontId="25" fillId="0" borderId="0" xfId="0" applyFont="1" applyAlignment="1">
      <alignment horizontal="center" vertical="top"/>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vertical="center" wrapText="1"/>
    </xf>
    <xf numFmtId="0" fontId="8" fillId="0" borderId="0" xfId="0" applyFont="1" applyAlignment="1">
      <alignment horizontal="left" vertical="center" wrapText="1" indent="1"/>
    </xf>
    <xf numFmtId="0" fontId="23" fillId="0" borderId="0" xfId="0" applyFont="1" applyAlignment="1">
      <alignment vertical="center"/>
    </xf>
    <xf numFmtId="9" fontId="25" fillId="0" borderId="1" xfId="0" applyNumberFormat="1" applyFont="1" applyBorder="1" applyAlignment="1">
      <alignment horizontal="center" vertical="center" wrapText="1"/>
    </xf>
    <xf numFmtId="6" fontId="45" fillId="0" borderId="1" xfId="0" applyNumberFormat="1" applyFont="1" applyBorder="1" applyAlignment="1">
      <alignment horizontal="right" vertical="center" wrapText="1"/>
    </xf>
    <xf numFmtId="0" fontId="45" fillId="0" borderId="1" xfId="0" applyFont="1" applyBorder="1" applyAlignment="1">
      <alignment horizontal="right" vertical="center" wrapText="1"/>
    </xf>
    <xf numFmtId="0" fontId="46" fillId="0" borderId="1" xfId="0" applyFont="1" applyBorder="1" applyAlignment="1">
      <alignment vertical="center" wrapText="1"/>
    </xf>
    <xf numFmtId="0" fontId="38" fillId="0" borderId="0" xfId="0" applyFont="1" applyAlignment="1">
      <alignment horizontal="justify" vertical="center"/>
    </xf>
    <xf numFmtId="10" fontId="45" fillId="0" borderId="1" xfId="0" applyNumberFormat="1" applyFont="1" applyBorder="1" applyAlignment="1">
      <alignment horizontal="center" vertical="center" wrapText="1"/>
    </xf>
    <xf numFmtId="10" fontId="46" fillId="0" borderId="1" xfId="0" applyNumberFormat="1" applyFont="1" applyBorder="1" applyAlignment="1">
      <alignment horizontal="center" vertical="center" wrapText="1"/>
    </xf>
    <xf numFmtId="0" fontId="8" fillId="0" borderId="1" xfId="0" applyFont="1" applyBorder="1" applyAlignment="1">
      <alignment horizontal="justify" vertical="center" wrapText="1"/>
    </xf>
    <xf numFmtId="0" fontId="6" fillId="0" borderId="1" xfId="0" applyFont="1" applyBorder="1" applyAlignment="1">
      <alignment horizontal="center" vertical="center" wrapText="1"/>
    </xf>
    <xf numFmtId="9" fontId="8" fillId="0" borderId="1" xfId="0" applyNumberFormat="1" applyFont="1" applyBorder="1" applyAlignment="1">
      <alignment horizontal="justify" vertical="center" wrapText="1"/>
    </xf>
    <xf numFmtId="0" fontId="41" fillId="0" borderId="0" xfId="0" applyFont="1"/>
    <xf numFmtId="2" fontId="25" fillId="0" borderId="1" xfId="0" quotePrefix="1" applyNumberFormat="1" applyFont="1" applyBorder="1" applyAlignment="1">
      <alignment horizontal="center" vertical="center" wrapText="1"/>
    </xf>
    <xf numFmtId="0" fontId="35" fillId="4"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5" borderId="1"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45" fillId="0" borderId="1" xfId="0" applyFont="1" applyBorder="1" applyAlignment="1">
      <alignment horizontal="justify" vertical="center" wrapText="1"/>
    </xf>
    <xf numFmtId="0" fontId="45" fillId="0" borderId="1" xfId="0" applyFont="1" applyBorder="1" applyAlignment="1">
      <alignment horizontal="left" vertical="center" wrapText="1"/>
    </xf>
    <xf numFmtId="0" fontId="25" fillId="0" borderId="0" xfId="0" applyFont="1" applyAlignment="1">
      <alignment vertical="top"/>
    </xf>
    <xf numFmtId="0" fontId="2" fillId="0" borderId="0" xfId="0" applyFont="1" applyAlignment="1">
      <alignment wrapText="1"/>
    </xf>
    <xf numFmtId="0" fontId="23" fillId="0" borderId="0" xfId="0" applyFont="1" applyAlignment="1">
      <alignment vertical="top"/>
    </xf>
    <xf numFmtId="0" fontId="4" fillId="0" borderId="0" xfId="3" applyFont="1" applyFill="1"/>
    <xf numFmtId="0" fontId="52" fillId="0" borderId="0" xfId="0" applyFont="1" applyAlignment="1">
      <alignment horizontal="justify" vertical="center"/>
    </xf>
    <xf numFmtId="0" fontId="7" fillId="15" borderId="1" xfId="0" applyFont="1" applyFill="1" applyBorder="1" applyAlignment="1">
      <alignment horizontal="center" vertical="center" wrapText="1"/>
    </xf>
    <xf numFmtId="0" fontId="10" fillId="0" borderId="1" xfId="0" applyFont="1" applyBorder="1" applyAlignment="1">
      <alignment vertical="center" wrapText="1"/>
    </xf>
    <xf numFmtId="0" fontId="21" fillId="0" borderId="0" xfId="0" applyFont="1"/>
    <xf numFmtId="0" fontId="21" fillId="0" borderId="0" xfId="0" applyFont="1" applyAlignment="1">
      <alignment horizontal="left"/>
    </xf>
    <xf numFmtId="0" fontId="21" fillId="0" borderId="0" xfId="0" applyFont="1" applyAlignment="1">
      <alignment vertical="top" wrapText="1"/>
    </xf>
    <xf numFmtId="0" fontId="54" fillId="0" borderId="0" xfId="0" applyFont="1" applyAlignment="1">
      <alignment horizontal="center" vertical="center"/>
    </xf>
    <xf numFmtId="0" fontId="2" fillId="0" borderId="0" xfId="0" applyFont="1" applyAlignment="1">
      <alignment horizontal="left" vertical="center" wrapText="1"/>
    </xf>
    <xf numFmtId="0" fontId="8"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31" fillId="0" borderId="1" xfId="0" applyFont="1" applyBorder="1" applyAlignment="1" applyProtection="1">
      <alignment horizontal="center" vertical="top" wrapText="1"/>
      <protection locked="0"/>
    </xf>
    <xf numFmtId="0" fontId="31" fillId="0" borderId="1" xfId="0" applyFont="1" applyBorder="1" applyAlignment="1" applyProtection="1">
      <alignment horizontal="center" vertical="top" wrapText="1"/>
      <protection locked="0" hidden="1"/>
    </xf>
    <xf numFmtId="0" fontId="31" fillId="0" borderId="1" xfId="0" applyFont="1" applyBorder="1" applyAlignment="1" applyProtection="1">
      <alignment horizontal="left" vertical="top" wrapText="1"/>
      <protection locked="0"/>
    </xf>
    <xf numFmtId="0" fontId="8" fillId="0" borderId="1" xfId="0" applyFont="1" applyBorder="1" applyAlignment="1">
      <alignment horizontal="center" vertical="top" wrapText="1"/>
    </xf>
    <xf numFmtId="0" fontId="31" fillId="0" borderId="1" xfId="0" applyFont="1" applyBorder="1" applyAlignment="1">
      <alignment horizontal="center" vertical="top" wrapText="1"/>
    </xf>
    <xf numFmtId="0" fontId="8" fillId="0" borderId="1" xfId="0" applyFont="1" applyBorder="1" applyAlignment="1" applyProtection="1">
      <alignment horizontal="left" vertical="top" wrapText="1"/>
      <protection locked="0"/>
    </xf>
    <xf numFmtId="0" fontId="8" fillId="0" borderId="1" xfId="0" quotePrefix="1" applyFont="1" applyBorder="1" applyAlignment="1" applyProtection="1">
      <alignment horizontal="left" vertical="top" wrapText="1"/>
      <protection locked="0"/>
    </xf>
    <xf numFmtId="0" fontId="8" fillId="0" borderId="1" xfId="0" applyFont="1" applyBorder="1" applyAlignment="1" applyProtection="1">
      <alignment horizontal="center" vertical="top" wrapText="1"/>
      <protection locked="0"/>
    </xf>
    <xf numFmtId="0" fontId="31" fillId="0" borderId="1" xfId="0" applyFont="1" applyBorder="1" applyAlignment="1">
      <alignment horizontal="left" vertical="center" wrapText="1"/>
    </xf>
    <xf numFmtId="42" fontId="32" fillId="0" borderId="1" xfId="4" applyFont="1" applyBorder="1" applyAlignment="1">
      <alignment horizontal="center" vertical="center" wrapText="1"/>
    </xf>
    <xf numFmtId="164" fontId="32" fillId="0" borderId="1" xfId="2"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pplyProtection="1">
      <alignment horizontal="center" vertical="top" wrapText="1"/>
      <protection locked="0" hidden="1"/>
    </xf>
    <xf numFmtId="0" fontId="6" fillId="5" borderId="1" xfId="0" applyFont="1" applyFill="1" applyBorder="1" applyAlignment="1" applyProtection="1">
      <alignment horizontal="center" vertical="top" wrapText="1"/>
      <protection locked="0"/>
    </xf>
    <xf numFmtId="0" fontId="10" fillId="0" borderId="0" xfId="0" applyFont="1" applyAlignment="1" applyProtection="1">
      <alignment horizontal="left" vertical="top" wrapText="1"/>
      <protection locked="0"/>
    </xf>
    <xf numFmtId="0" fontId="8" fillId="0" borderId="1" xfId="0" quotePrefix="1" applyFont="1" applyBorder="1" applyAlignment="1">
      <alignment vertical="top" wrapText="1"/>
    </xf>
    <xf numFmtId="170" fontId="8" fillId="0" borderId="1" xfId="4" applyNumberFormat="1" applyFont="1" applyBorder="1" applyAlignment="1">
      <alignment horizontal="center" vertical="center" wrapText="1"/>
    </xf>
    <xf numFmtId="4" fontId="8" fillId="0" borderId="1" xfId="0" applyNumberFormat="1" applyFont="1" applyBorder="1" applyAlignment="1">
      <alignment horizontal="center" vertical="center"/>
    </xf>
    <xf numFmtId="171" fontId="8" fillId="0" borderId="1" xfId="2" applyNumberFormat="1" applyFont="1" applyBorder="1" applyAlignment="1">
      <alignment horizontal="center" vertical="center"/>
    </xf>
    <xf numFmtId="42" fontId="8" fillId="0" borderId="1" xfId="4" applyFont="1" applyBorder="1" applyAlignment="1">
      <alignment horizontal="left" vertical="center" wrapText="1"/>
    </xf>
    <xf numFmtId="169" fontId="8" fillId="0" borderId="1" xfId="4" quotePrefix="1" applyNumberFormat="1" applyFont="1" applyBorder="1" applyAlignment="1">
      <alignment horizontal="center" vertical="center" wrapText="1"/>
    </xf>
    <xf numFmtId="172" fontId="8" fillId="0" borderId="1" xfId="2" applyNumberFormat="1" applyFont="1" applyBorder="1" applyAlignment="1">
      <alignment horizontal="center" vertical="center" wrapText="1"/>
    </xf>
    <xf numFmtId="173" fontId="8" fillId="0" borderId="1" xfId="0" applyNumberFormat="1" applyFont="1" applyBorder="1" applyAlignment="1">
      <alignment horizontal="center" vertical="center" wrapText="1"/>
    </xf>
    <xf numFmtId="174" fontId="8" fillId="0" borderId="1" xfId="0" applyNumberFormat="1" applyFont="1" applyBorder="1" applyAlignment="1">
      <alignment horizontal="center" vertical="center" wrapText="1"/>
    </xf>
    <xf numFmtId="165" fontId="40" fillId="0" borderId="1" xfId="8" applyFont="1" applyBorder="1" applyAlignment="1">
      <alignment horizontal="center" vertical="center" wrapText="1"/>
    </xf>
    <xf numFmtId="171" fontId="40" fillId="0" borderId="1" xfId="2" applyNumberFormat="1" applyFont="1" applyBorder="1" applyAlignment="1">
      <alignment horizontal="center" vertical="center" wrapText="1"/>
    </xf>
    <xf numFmtId="0" fontId="10" fillId="0" borderId="0" xfId="0" applyFont="1" applyAlignment="1">
      <alignment horizontal="center" vertical="top" wrapText="1" readingOrder="1"/>
    </xf>
    <xf numFmtId="0" fontId="10" fillId="0" borderId="1" xfId="0" applyFont="1" applyBorder="1" applyAlignment="1">
      <alignment horizontal="center" vertical="top" wrapText="1" readingOrder="1"/>
    </xf>
    <xf numFmtId="0" fontId="10" fillId="0" borderId="6" xfId="0" applyFont="1" applyBorder="1" applyAlignment="1">
      <alignment horizontal="center" vertical="top" wrapText="1" readingOrder="1"/>
    </xf>
    <xf numFmtId="0" fontId="31" fillId="0" borderId="6" xfId="0" applyFont="1" applyBorder="1" applyAlignment="1">
      <alignment horizontal="center" vertical="center" wrapText="1"/>
    </xf>
    <xf numFmtId="0" fontId="5" fillId="12" borderId="1" xfId="0" applyFont="1" applyFill="1" applyBorder="1" applyAlignment="1">
      <alignment horizontal="center" vertical="center" wrapText="1"/>
    </xf>
    <xf numFmtId="0" fontId="0" fillId="0" borderId="1" xfId="0" applyBorder="1" applyAlignment="1">
      <alignment horizontal="left"/>
    </xf>
    <xf numFmtId="0" fontId="0" fillId="0" borderId="0" xfId="0" applyAlignment="1">
      <alignment horizontal="left"/>
    </xf>
    <xf numFmtId="0" fontId="6" fillId="0" borderId="1" xfId="0" quotePrefix="1" applyFont="1" applyBorder="1" applyAlignment="1">
      <alignment horizontal="left" vertical="center" wrapText="1"/>
    </xf>
    <xf numFmtId="0" fontId="8" fillId="0" borderId="1" xfId="0" applyFont="1" applyBorder="1" applyAlignment="1" applyProtection="1">
      <alignment vertical="center" wrapText="1"/>
      <protection locked="0"/>
    </xf>
    <xf numFmtId="0" fontId="6" fillId="5" borderId="1" xfId="0" quotePrefix="1" applyFont="1" applyFill="1" applyBorder="1" applyAlignment="1">
      <alignment horizontal="left" vertical="center" wrapText="1"/>
    </xf>
    <xf numFmtId="0" fontId="6" fillId="0" borderId="1" xfId="0" quotePrefix="1" applyFont="1" applyBorder="1" applyAlignment="1">
      <alignment vertical="center" wrapText="1"/>
    </xf>
    <xf numFmtId="0" fontId="6" fillId="5" borderId="1" xfId="0" quotePrefix="1" applyFont="1" applyFill="1" applyBorder="1" applyAlignment="1">
      <alignment vertical="center" wrapText="1"/>
    </xf>
    <xf numFmtId="0" fontId="8" fillId="5" borderId="1" xfId="0" quotePrefix="1" applyFont="1" applyFill="1" applyBorder="1" applyAlignment="1">
      <alignment vertical="center" wrapText="1"/>
    </xf>
    <xf numFmtId="0" fontId="56" fillId="0" borderId="0" xfId="9"/>
    <xf numFmtId="0" fontId="56" fillId="0" borderId="0" xfId="9" applyAlignment="1">
      <alignment horizontal="center"/>
    </xf>
    <xf numFmtId="0" fontId="57" fillId="0" borderId="0" xfId="9" applyFont="1"/>
    <xf numFmtId="0" fontId="2" fillId="0" borderId="0" xfId="9" applyFont="1" applyAlignment="1">
      <alignment horizontal="center" vertical="center" wrapText="1"/>
    </xf>
    <xf numFmtId="0" fontId="2" fillId="0" borderId="0" xfId="9" applyFont="1" applyAlignment="1">
      <alignment horizontal="left" vertical="center" wrapText="1"/>
    </xf>
    <xf numFmtId="0" fontId="2" fillId="0" borderId="0" xfId="9" applyFont="1" applyAlignment="1">
      <alignment horizontal="center"/>
    </xf>
    <xf numFmtId="0" fontId="6" fillId="21" borderId="59" xfId="9" applyFont="1" applyFill="1" applyBorder="1" applyAlignment="1">
      <alignment vertical="center" wrapText="1"/>
    </xf>
    <xf numFmtId="0" fontId="6" fillId="21" borderId="59" xfId="9" applyFont="1" applyFill="1" applyBorder="1" applyAlignment="1">
      <alignment horizontal="center" vertical="center" wrapText="1"/>
    </xf>
    <xf numFmtId="0" fontId="5" fillId="22" borderId="59" xfId="9" applyFont="1" applyFill="1" applyBorder="1" applyAlignment="1">
      <alignment horizontal="center" vertical="center" wrapText="1"/>
    </xf>
    <xf numFmtId="0" fontId="6" fillId="23" borderId="59" xfId="9" applyFont="1" applyFill="1" applyBorder="1" applyAlignment="1">
      <alignment horizontal="center" vertical="center" wrapText="1"/>
    </xf>
    <xf numFmtId="0" fontId="5" fillId="24" borderId="59" xfId="9" applyFont="1" applyFill="1" applyBorder="1" applyAlignment="1">
      <alignment horizontal="center" vertical="center" wrapText="1"/>
    </xf>
    <xf numFmtId="0" fontId="6" fillId="21" borderId="52" xfId="9" applyFont="1" applyFill="1" applyBorder="1" applyAlignment="1">
      <alignment horizontal="center" vertical="center" wrapText="1"/>
    </xf>
    <xf numFmtId="0" fontId="7" fillId="25" borderId="59" xfId="9" applyFont="1" applyFill="1" applyBorder="1" applyAlignment="1">
      <alignment horizontal="center" vertical="center" wrapText="1"/>
    </xf>
    <xf numFmtId="0" fontId="7" fillId="25" borderId="59" xfId="9" applyFont="1" applyFill="1" applyBorder="1" applyAlignment="1">
      <alignment vertical="center" wrapText="1"/>
    </xf>
    <xf numFmtId="0" fontId="7" fillId="25" borderId="59" xfId="9" applyFont="1" applyFill="1" applyBorder="1" applyAlignment="1">
      <alignment horizontal="left" vertical="center" wrapText="1"/>
    </xf>
    <xf numFmtId="175" fontId="6" fillId="26" borderId="59" xfId="9" applyNumberFormat="1" applyFont="1" applyFill="1" applyBorder="1" applyAlignment="1">
      <alignment horizontal="center" vertical="center" wrapText="1"/>
    </xf>
    <xf numFmtId="0" fontId="6" fillId="26" borderId="59" xfId="9" applyFont="1" applyFill="1" applyBorder="1" applyAlignment="1">
      <alignment horizontal="center" vertical="center" wrapText="1"/>
    </xf>
    <xf numFmtId="0" fontId="8" fillId="0" borderId="59" xfId="9" applyFont="1" applyBorder="1" applyAlignment="1">
      <alignment horizontal="left" vertical="center" wrapText="1"/>
    </xf>
    <xf numFmtId="0" fontId="8" fillId="0" borderId="59" xfId="9" applyFont="1" applyBorder="1" applyAlignment="1">
      <alignment horizontal="center" vertical="center" wrapText="1"/>
    </xf>
    <xf numFmtId="0" fontId="10" fillId="0" borderId="59" xfId="9" applyFont="1" applyBorder="1" applyAlignment="1">
      <alignment horizontal="center" vertical="center" wrapText="1"/>
    </xf>
    <xf numFmtId="166" fontId="8" fillId="0" borderId="59" xfId="9" applyNumberFormat="1" applyFont="1" applyBorder="1" applyAlignment="1">
      <alignment horizontal="center" vertical="center" wrapText="1"/>
    </xf>
    <xf numFmtId="0" fontId="8" fillId="0" borderId="59" xfId="9" applyFont="1" applyBorder="1" applyAlignment="1">
      <alignment vertical="center" wrapText="1"/>
    </xf>
    <xf numFmtId="0" fontId="8" fillId="0" borderId="52" xfId="9" applyFont="1" applyBorder="1" applyAlignment="1">
      <alignment horizontal="center" vertical="center" wrapText="1"/>
    </xf>
    <xf numFmtId="0" fontId="6" fillId="23" borderId="59" xfId="9" applyFont="1" applyFill="1" applyBorder="1" applyAlignment="1">
      <alignment horizontal="left" vertical="center" wrapText="1"/>
    </xf>
    <xf numFmtId="0" fontId="10" fillId="0" borderId="59" xfId="9" applyFont="1" applyBorder="1" applyAlignment="1">
      <alignment horizontal="left" vertical="center" wrapText="1"/>
    </xf>
    <xf numFmtId="0" fontId="7" fillId="27" borderId="59" xfId="9" applyFont="1" applyFill="1" applyBorder="1" applyAlignment="1">
      <alignment horizontal="center" vertical="center" wrapText="1"/>
    </xf>
    <xf numFmtId="175" fontId="7" fillId="25" borderId="59" xfId="9" applyNumberFormat="1" applyFont="1" applyFill="1" applyBorder="1" applyAlignment="1">
      <alignment horizontal="center" vertical="center" wrapText="1"/>
    </xf>
    <xf numFmtId="0" fontId="9" fillId="23" borderId="59" xfId="9" applyFont="1" applyFill="1" applyBorder="1" applyAlignment="1">
      <alignment horizontal="center" vertical="center" wrapText="1"/>
    </xf>
    <xf numFmtId="0" fontId="9" fillId="0" borderId="59" xfId="9" applyFont="1" applyBorder="1" applyAlignment="1">
      <alignment horizontal="center" vertical="center" wrapText="1"/>
    </xf>
    <xf numFmtId="0" fontId="10" fillId="0" borderId="59" xfId="9" applyFont="1" applyBorder="1" applyAlignment="1">
      <alignment vertical="center" wrapText="1"/>
    </xf>
    <xf numFmtId="0" fontId="9" fillId="23" borderId="59" xfId="9" applyFont="1" applyFill="1" applyBorder="1" applyAlignment="1">
      <alignment horizontal="left" vertical="center" wrapText="1"/>
    </xf>
    <xf numFmtId="0" fontId="9" fillId="0" borderId="59" xfId="9" applyFont="1" applyBorder="1" applyAlignment="1">
      <alignment horizontal="left" vertical="center" wrapText="1"/>
    </xf>
    <xf numFmtId="0" fontId="10" fillId="0" borderId="59" xfId="9" quotePrefix="1" applyFont="1" applyBorder="1" applyAlignment="1">
      <alignment horizontal="left" vertical="center" wrapText="1"/>
    </xf>
    <xf numFmtId="0" fontId="59" fillId="0" borderId="59" xfId="9" applyFont="1" applyBorder="1" applyAlignment="1">
      <alignment horizontal="center" vertical="center" wrapText="1"/>
    </xf>
    <xf numFmtId="0" fontId="59" fillId="0" borderId="59" xfId="9" applyFont="1" applyBorder="1" applyAlignment="1">
      <alignment horizontal="left" vertical="center" wrapText="1"/>
    </xf>
    <xf numFmtId="0" fontId="32" fillId="0" borderId="59" xfId="9" applyFont="1" applyBorder="1" applyAlignment="1">
      <alignment horizontal="left" vertical="center" wrapText="1"/>
    </xf>
    <xf numFmtId="0" fontId="46" fillId="23" borderId="59" xfId="9" applyFont="1" applyFill="1" applyBorder="1" applyAlignment="1">
      <alignment horizontal="center" vertical="center" wrapText="1"/>
    </xf>
    <xf numFmtId="0" fontId="10" fillId="0" borderId="0" xfId="9" applyFont="1" applyAlignment="1">
      <alignment horizontal="left" vertical="center" wrapText="1"/>
    </xf>
    <xf numFmtId="0" fontId="6" fillId="0" borderId="0" xfId="9" applyFont="1" applyAlignment="1">
      <alignment horizontal="center" vertical="center" wrapText="1"/>
    </xf>
    <xf numFmtId="176" fontId="8" fillId="0" borderId="59" xfId="10" applyNumberFormat="1" applyFont="1" applyFill="1" applyBorder="1" applyAlignment="1">
      <alignment horizontal="center" vertical="center" wrapText="1"/>
    </xf>
    <xf numFmtId="177" fontId="8" fillId="0" borderId="59" xfId="9" applyNumberFormat="1" applyFont="1" applyBorder="1" applyAlignment="1">
      <alignment horizontal="center" vertical="center" wrapText="1"/>
    </xf>
    <xf numFmtId="9" fontId="8" fillId="0" borderId="1" xfId="9" quotePrefix="1" applyNumberFormat="1" applyFont="1" applyBorder="1" applyAlignment="1">
      <alignment horizontal="left" vertical="center" wrapText="1"/>
    </xf>
    <xf numFmtId="0" fontId="31" fillId="0" borderId="1" xfId="9" applyFont="1" applyBorder="1" applyAlignment="1">
      <alignment vertical="center" wrapText="1"/>
    </xf>
    <xf numFmtId="0" fontId="31" fillId="0" borderId="1" xfId="9" applyFont="1" applyBorder="1"/>
    <xf numFmtId="178" fontId="31" fillId="0" borderId="1" xfId="10" applyNumberFormat="1" applyFont="1" applyBorder="1" applyAlignment="1">
      <alignment vertical="center"/>
    </xf>
    <xf numFmtId="9" fontId="31" fillId="0" borderId="1" xfId="1" applyFont="1" applyBorder="1" applyAlignment="1">
      <alignment vertical="center"/>
    </xf>
    <xf numFmtId="178" fontId="31" fillId="28" borderId="1" xfId="10" applyNumberFormat="1" applyFont="1" applyFill="1" applyBorder="1" applyAlignment="1">
      <alignment vertical="center"/>
    </xf>
    <xf numFmtId="177" fontId="61" fillId="0" borderId="59" xfId="9" applyNumberFormat="1" applyFont="1" applyBorder="1" applyAlignment="1">
      <alignment horizontal="center" vertical="center" wrapText="1"/>
    </xf>
    <xf numFmtId="0" fontId="31" fillId="0" borderId="1" xfId="9" applyFont="1" applyBorder="1" applyAlignment="1">
      <alignment horizontal="center" vertical="center"/>
    </xf>
    <xf numFmtId="0" fontId="31" fillId="0" borderId="1" xfId="9" applyFont="1" applyBorder="1" applyAlignment="1">
      <alignment vertical="center"/>
    </xf>
    <xf numFmtId="3" fontId="31" fillId="0" borderId="1" xfId="9" applyNumberFormat="1" applyFont="1" applyBorder="1" applyAlignment="1">
      <alignment vertical="center" wrapText="1"/>
    </xf>
    <xf numFmtId="0" fontId="62" fillId="0" borderId="59" xfId="9" applyFont="1" applyBorder="1" applyAlignment="1">
      <alignment horizontal="center" vertical="center" wrapText="1"/>
    </xf>
    <xf numFmtId="0" fontId="31" fillId="0" borderId="0" xfId="9" applyFont="1"/>
    <xf numFmtId="0" fontId="8" fillId="0" borderId="0" xfId="9" applyFont="1"/>
    <xf numFmtId="0" fontId="45" fillId="0" borderId="0" xfId="9" applyFont="1" applyAlignment="1">
      <alignment horizontal="center" vertical="center" wrapText="1"/>
    </xf>
    <xf numFmtId="0" fontId="45" fillId="0" borderId="0" xfId="9" applyFont="1" applyAlignment="1">
      <alignment horizontal="left" vertical="center" wrapText="1"/>
    </xf>
    <xf numFmtId="0" fontId="45" fillId="0" borderId="0" xfId="9" applyFont="1" applyAlignment="1">
      <alignment horizontal="center"/>
    </xf>
    <xf numFmtId="0" fontId="46" fillId="0" borderId="0" xfId="9" applyFont="1" applyAlignment="1">
      <alignment horizontal="center" vertical="center" wrapText="1"/>
    </xf>
    <xf numFmtId="0" fontId="63" fillId="0" borderId="0" xfId="9" applyFont="1"/>
    <xf numFmtId="0" fontId="2" fillId="0" borderId="0" xfId="9" applyFont="1"/>
    <xf numFmtId="0" fontId="64" fillId="0" borderId="59" xfId="9" applyFont="1" applyBorder="1" applyAlignment="1">
      <alignment horizontal="center" vertical="center"/>
    </xf>
    <xf numFmtId="0" fontId="64" fillId="0" borderId="59" xfId="9" applyFont="1" applyBorder="1" applyAlignment="1">
      <alignment horizontal="center" vertical="center" wrapText="1"/>
    </xf>
    <xf numFmtId="165" fontId="15" fillId="0" borderId="47" xfId="9" applyNumberFormat="1" applyFont="1" applyBorder="1" applyAlignment="1">
      <alignment horizontal="center" vertical="center" wrapText="1"/>
    </xf>
    <xf numFmtId="0" fontId="15" fillId="0" borderId="55" xfId="9" applyFont="1" applyBorder="1" applyAlignment="1">
      <alignment horizontal="center" vertical="center" wrapText="1"/>
    </xf>
    <xf numFmtId="0" fontId="28" fillId="29" borderId="2" xfId="9" applyFont="1" applyFill="1" applyBorder="1" applyAlignment="1">
      <alignment horizontal="left" vertical="center" wrapText="1"/>
    </xf>
    <xf numFmtId="0" fontId="28" fillId="23" borderId="62" xfId="9" applyFont="1" applyFill="1" applyBorder="1" applyAlignment="1">
      <alignment horizontal="left" vertical="center" wrapText="1"/>
    </xf>
    <xf numFmtId="0" fontId="28" fillId="30" borderId="62" xfId="9" applyFont="1" applyFill="1" applyBorder="1" applyAlignment="1">
      <alignment horizontal="left" vertical="center" wrapText="1"/>
    </xf>
    <xf numFmtId="0" fontId="29" fillId="24" borderId="62" xfId="9" applyFont="1" applyFill="1" applyBorder="1" applyAlignment="1">
      <alignment horizontal="left" vertical="center" wrapText="1"/>
    </xf>
    <xf numFmtId="0" fontId="29" fillId="22" borderId="66" xfId="9" applyFont="1" applyFill="1" applyBorder="1" applyAlignment="1">
      <alignment horizontal="left" vertical="center" wrapText="1"/>
    </xf>
    <xf numFmtId="0" fontId="28" fillId="29" borderId="67" xfId="9" applyFont="1" applyFill="1" applyBorder="1" applyAlignment="1">
      <alignment horizontal="left" vertical="center" wrapText="1"/>
    </xf>
    <xf numFmtId="0" fontId="28" fillId="23" borderId="67" xfId="9" applyFont="1" applyFill="1" applyBorder="1" applyAlignment="1">
      <alignment horizontal="left" vertical="center" wrapText="1"/>
    </xf>
    <xf numFmtId="0" fontId="28" fillId="30" borderId="67" xfId="9" applyFont="1" applyFill="1" applyBorder="1" applyAlignment="1">
      <alignment horizontal="left" vertical="center" wrapText="1"/>
    </xf>
    <xf numFmtId="0" fontId="29" fillId="24" borderId="67" xfId="9" applyFont="1" applyFill="1" applyBorder="1" applyAlignment="1">
      <alignment horizontal="left" vertical="center" wrapText="1"/>
    </xf>
    <xf numFmtId="0" fontId="29" fillId="22" borderId="67" xfId="9" applyFont="1" applyFill="1" applyBorder="1" applyAlignment="1">
      <alignment horizontal="left" vertical="center" wrapText="1"/>
    </xf>
    <xf numFmtId="165" fontId="15" fillId="0" borderId="0" xfId="9" applyNumberFormat="1" applyFont="1"/>
    <xf numFmtId="0" fontId="23" fillId="0" borderId="0" xfId="9" applyFont="1" applyAlignment="1">
      <alignment horizontal="center"/>
    </xf>
    <xf numFmtId="0" fontId="28" fillId="0" borderId="0" xfId="9" applyFont="1"/>
    <xf numFmtId="0" fontId="28" fillId="0" borderId="0" xfId="9" applyFont="1" applyAlignment="1">
      <alignment horizontal="center"/>
    </xf>
    <xf numFmtId="0" fontId="67" fillId="0" borderId="0" xfId="9" applyFont="1"/>
    <xf numFmtId="0" fontId="15" fillId="0" borderId="0" xfId="9" applyFont="1" applyAlignment="1">
      <alignment horizontal="center"/>
    </xf>
    <xf numFmtId="0" fontId="28" fillId="0" borderId="0" xfId="9" applyFont="1" applyAlignment="1">
      <alignment vertical="center"/>
    </xf>
    <xf numFmtId="0" fontId="28" fillId="0" borderId="1" xfId="9" applyFont="1" applyBorder="1" applyAlignment="1">
      <alignment horizontal="center" vertical="center"/>
    </xf>
    <xf numFmtId="0" fontId="67" fillId="0" borderId="0" xfId="9" applyFont="1" applyAlignment="1">
      <alignment vertical="center"/>
    </xf>
    <xf numFmtId="0" fontId="29" fillId="22" borderId="1" xfId="9" applyFont="1" applyFill="1" applyBorder="1" applyAlignment="1">
      <alignment horizontal="center" vertical="center" wrapText="1"/>
    </xf>
    <xf numFmtId="0" fontId="28" fillId="29" borderId="1" xfId="9" applyFont="1" applyFill="1" applyBorder="1" applyAlignment="1">
      <alignment horizontal="center" vertical="center" wrapText="1"/>
    </xf>
    <xf numFmtId="0" fontId="28" fillId="23" borderId="1" xfId="9" applyFont="1" applyFill="1" applyBorder="1" applyAlignment="1">
      <alignment horizontal="center" vertical="center" wrapText="1"/>
    </xf>
    <xf numFmtId="0" fontId="28" fillId="30" borderId="1" xfId="9" applyFont="1" applyFill="1" applyBorder="1" applyAlignment="1">
      <alignment horizontal="center" vertical="center" wrapText="1"/>
    </xf>
    <xf numFmtId="0" fontId="29" fillId="24" borderId="1" xfId="9" applyFont="1" applyFill="1" applyBorder="1" applyAlignment="1">
      <alignment horizontal="center" vertical="center" wrapText="1"/>
    </xf>
    <xf numFmtId="0" fontId="65" fillId="0" borderId="0" xfId="9" applyFont="1"/>
    <xf numFmtId="0" fontId="65" fillId="0" borderId="0" xfId="9" applyFont="1" applyAlignment="1">
      <alignment horizontal="center"/>
    </xf>
    <xf numFmtId="0" fontId="67" fillId="0" borderId="0" xfId="9" applyFont="1" applyAlignment="1">
      <alignment horizontal="center"/>
    </xf>
    <xf numFmtId="0" fontId="68" fillId="31" borderId="0" xfId="9" applyFont="1" applyFill="1"/>
    <xf numFmtId="0" fontId="29" fillId="31" borderId="0" xfId="9" applyFont="1" applyFill="1" applyAlignment="1">
      <alignment horizontal="center"/>
    </xf>
    <xf numFmtId="0" fontId="30" fillId="0" borderId="1" xfId="9" applyFont="1" applyBorder="1" applyAlignment="1">
      <alignment horizontal="center" vertical="center"/>
    </xf>
    <xf numFmtId="0" fontId="28" fillId="0" borderId="6" xfId="9" applyFont="1" applyBorder="1" applyAlignment="1">
      <alignment vertical="center"/>
    </xf>
    <xf numFmtId="0" fontId="28" fillId="0" borderId="8" xfId="9" applyFont="1" applyBorder="1" applyAlignment="1">
      <alignment horizontal="left" vertical="center"/>
    </xf>
    <xf numFmtId="1" fontId="28" fillId="0" borderId="1" xfId="9" applyNumberFormat="1" applyFont="1" applyBorder="1" applyAlignment="1">
      <alignment horizontal="center" vertical="center"/>
    </xf>
    <xf numFmtId="0" fontId="15" fillId="0" borderId="1" xfId="9" applyFont="1" applyBorder="1" applyAlignment="1">
      <alignment horizontal="center" vertical="center"/>
    </xf>
    <xf numFmtId="0" fontId="28" fillId="8" borderId="1" xfId="9" applyFont="1" applyFill="1" applyBorder="1" applyAlignment="1">
      <alignment horizontal="center" vertical="center"/>
    </xf>
    <xf numFmtId="0" fontId="68" fillId="31" borderId="0" xfId="9" applyFont="1" applyFill="1" applyAlignment="1">
      <alignment vertical="center"/>
    </xf>
    <xf numFmtId="0" fontId="29" fillId="31" borderId="0" xfId="9" applyFont="1" applyFill="1" applyAlignment="1">
      <alignment horizontal="center" vertical="center"/>
    </xf>
    <xf numFmtId="0" fontId="69" fillId="32" borderId="0" xfId="9" applyFont="1" applyFill="1" applyAlignment="1">
      <alignment horizontal="center" vertical="center"/>
    </xf>
    <xf numFmtId="0" fontId="30" fillId="0" borderId="8" xfId="9" applyFont="1" applyBorder="1" applyAlignment="1">
      <alignment horizontal="center" vertical="center"/>
    </xf>
    <xf numFmtId="0" fontId="28" fillId="0" borderId="12" xfId="9" applyFont="1" applyBorder="1" applyAlignment="1">
      <alignment vertical="center"/>
    </xf>
    <xf numFmtId="0" fontId="28" fillId="0" borderId="13" xfId="9" applyFont="1" applyBorder="1" applyAlignment="1">
      <alignment horizontal="left" vertical="center"/>
    </xf>
    <xf numFmtId="0" fontId="28" fillId="8" borderId="1" xfId="9" applyFont="1" applyFill="1" applyBorder="1" applyAlignment="1">
      <alignment horizontal="center"/>
    </xf>
    <xf numFmtId="0" fontId="71" fillId="0" borderId="0" xfId="9" applyFont="1" applyAlignment="1">
      <alignment horizontal="center" vertical="center"/>
    </xf>
    <xf numFmtId="0" fontId="71" fillId="11" borderId="0" xfId="9" applyFont="1" applyFill="1" applyAlignment="1">
      <alignment horizontal="center" vertical="center"/>
    </xf>
    <xf numFmtId="0" fontId="15" fillId="28" borderId="72" xfId="9" applyFont="1" applyFill="1" applyBorder="1" applyAlignment="1">
      <alignment horizontal="center" vertical="center"/>
    </xf>
    <xf numFmtId="0" fontId="15" fillId="28" borderId="71" xfId="9" applyFont="1" applyFill="1" applyBorder="1" applyAlignment="1">
      <alignment horizontal="center" vertical="center" wrapText="1"/>
    </xf>
    <xf numFmtId="0" fontId="28" fillId="8" borderId="5" xfId="9" applyFont="1" applyFill="1" applyBorder="1" applyAlignment="1">
      <alignment horizontal="center" vertical="center"/>
    </xf>
    <xf numFmtId="0" fontId="72" fillId="8" borderId="1" xfId="9" applyFont="1" applyFill="1" applyBorder="1" applyAlignment="1">
      <alignment horizontal="center" vertical="center"/>
    </xf>
    <xf numFmtId="0" fontId="15" fillId="0" borderId="48" xfId="9" applyFont="1" applyBorder="1" applyAlignment="1">
      <alignment horizontal="center" vertical="center" wrapText="1"/>
    </xf>
    <xf numFmtId="0" fontId="15" fillId="0" borderId="53" xfId="9" applyFont="1" applyBorder="1" applyAlignment="1">
      <alignment horizontal="center" vertical="center" wrapText="1"/>
    </xf>
    <xf numFmtId="0" fontId="15" fillId="0" borderId="50" xfId="9" applyFont="1" applyBorder="1" applyAlignment="1">
      <alignment horizontal="center" vertical="center" wrapText="1"/>
    </xf>
    <xf numFmtId="0" fontId="15" fillId="0" borderId="52" xfId="9" applyFont="1" applyBorder="1" applyAlignment="1">
      <alignment horizontal="center" vertical="center" wrapText="1"/>
    </xf>
    <xf numFmtId="0" fontId="15" fillId="2" borderId="72" xfId="9" applyFont="1" applyFill="1" applyBorder="1" applyAlignment="1">
      <alignment horizontal="center" vertical="center"/>
    </xf>
    <xf numFmtId="0" fontId="15" fillId="2" borderId="73" xfId="9" applyFont="1" applyFill="1" applyBorder="1" applyAlignment="1">
      <alignment horizontal="center" vertical="center"/>
    </xf>
    <xf numFmtId="0" fontId="28" fillId="0" borderId="5" xfId="9" applyFont="1" applyBorder="1" applyAlignment="1">
      <alignment horizontal="center" vertical="center"/>
    </xf>
    <xf numFmtId="0" fontId="15" fillId="28" borderId="71" xfId="9" applyFont="1" applyFill="1" applyBorder="1" applyAlignment="1">
      <alignment horizontal="center" vertical="center"/>
    </xf>
    <xf numFmtId="0" fontId="70" fillId="31" borderId="7" xfId="9" applyFont="1" applyFill="1" applyBorder="1" applyAlignment="1">
      <alignment horizontal="center" vertical="center"/>
    </xf>
    <xf numFmtId="0" fontId="28" fillId="23" borderId="12" xfId="9" applyFont="1" applyFill="1" applyBorder="1" applyAlignment="1">
      <alignment horizontal="center" vertical="center" wrapText="1"/>
    </xf>
    <xf numFmtId="0" fontId="28" fillId="30" borderId="6" xfId="9" applyFont="1" applyFill="1" applyBorder="1" applyAlignment="1">
      <alignment horizontal="center" vertical="center" wrapText="1"/>
    </xf>
    <xf numFmtId="0" fontId="28" fillId="23" borderId="6" xfId="9" applyFont="1" applyFill="1" applyBorder="1" applyAlignment="1">
      <alignment horizontal="center" vertical="center" wrapText="1"/>
    </xf>
    <xf numFmtId="0" fontId="29" fillId="22" borderId="6" xfId="9" applyFont="1" applyFill="1" applyBorder="1" applyAlignment="1">
      <alignment horizontal="center" vertical="center" wrapText="1"/>
    </xf>
    <xf numFmtId="0" fontId="28" fillId="29" borderId="6" xfId="9" applyFont="1" applyFill="1" applyBorder="1" applyAlignment="1">
      <alignment horizontal="center" vertical="center" wrapText="1"/>
    </xf>
    <xf numFmtId="0" fontId="29" fillId="24" borderId="6" xfId="9" applyFont="1" applyFill="1" applyBorder="1" applyAlignment="1">
      <alignment horizontal="center" vertical="center" wrapText="1"/>
    </xf>
    <xf numFmtId="0" fontId="29" fillId="24" borderId="12" xfId="9" applyFont="1" applyFill="1" applyBorder="1" applyAlignment="1">
      <alignment horizontal="center" vertical="center" wrapText="1"/>
    </xf>
    <xf numFmtId="0" fontId="70" fillId="31" borderId="1" xfId="9" applyFont="1" applyFill="1" applyBorder="1" applyAlignment="1">
      <alignment horizontal="center" vertical="center"/>
    </xf>
    <xf numFmtId="0" fontId="58" fillId="0" borderId="53" xfId="9" applyFont="1" applyBorder="1"/>
    <xf numFmtId="0" fontId="58" fillId="0" borderId="54" xfId="9" applyFont="1" applyBorder="1"/>
    <xf numFmtId="0" fontId="6" fillId="19" borderId="52" xfId="9" applyFont="1" applyFill="1" applyBorder="1" applyAlignment="1">
      <alignment horizontal="center" vertical="center" wrapText="1"/>
    </xf>
    <xf numFmtId="0" fontId="58" fillId="0" borderId="58" xfId="9" applyFont="1" applyBorder="1"/>
    <xf numFmtId="0" fontId="5" fillId="16" borderId="47" xfId="9" applyFont="1" applyFill="1" applyBorder="1" applyAlignment="1">
      <alignment horizontal="center" vertical="center" wrapText="1"/>
    </xf>
    <xf numFmtId="0" fontId="58" fillId="0" borderId="58" xfId="9" applyFont="1" applyBorder="1" applyAlignment="1">
      <alignment horizontal="center"/>
    </xf>
    <xf numFmtId="0" fontId="5" fillId="16" borderId="49" xfId="9" applyFont="1" applyFill="1" applyBorder="1" applyAlignment="1">
      <alignment horizontal="center" vertical="center" wrapText="1"/>
    </xf>
    <xf numFmtId="0" fontId="5" fillId="16" borderId="48" xfId="9" applyFont="1" applyFill="1" applyBorder="1" applyAlignment="1">
      <alignment horizontal="center" vertical="center" wrapText="1"/>
    </xf>
    <xf numFmtId="0" fontId="55" fillId="17" borderId="1" xfId="9" applyFont="1" applyFill="1" applyBorder="1" applyAlignment="1">
      <alignment horizontal="center"/>
    </xf>
    <xf numFmtId="0" fontId="63" fillId="0" borderId="0" xfId="9" applyFont="1" applyAlignment="1">
      <alignment horizontal="center"/>
    </xf>
    <xf numFmtId="0" fontId="73" fillId="0" borderId="1" xfId="9" applyFont="1" applyBorder="1" applyAlignment="1">
      <alignment horizontal="center" vertical="center" wrapText="1"/>
    </xf>
    <xf numFmtId="0" fontId="5" fillId="16" borderId="0" xfId="9" applyFont="1" applyFill="1" applyAlignment="1">
      <alignment vertical="center" wrapText="1"/>
    </xf>
    <xf numFmtId="0" fontId="5" fillId="16" borderId="48" xfId="9" applyFont="1" applyFill="1" applyBorder="1" applyAlignment="1">
      <alignment vertical="center" wrapText="1"/>
    </xf>
    <xf numFmtId="0" fontId="75" fillId="0" borderId="0" xfId="9" applyFont="1"/>
    <xf numFmtId="0" fontId="56" fillId="0" borderId="0" xfId="9" applyAlignment="1">
      <alignment vertical="center"/>
    </xf>
    <xf numFmtId="0" fontId="63" fillId="0" borderId="0" xfId="9" applyFont="1" applyAlignment="1">
      <alignment vertical="center"/>
    </xf>
    <xf numFmtId="0" fontId="31" fillId="0" borderId="0" xfId="9" applyFont="1" applyAlignment="1">
      <alignment vertical="center"/>
    </xf>
    <xf numFmtId="0" fontId="7" fillId="27" borderId="58" xfId="9" applyFont="1" applyFill="1" applyBorder="1" applyAlignment="1">
      <alignment horizontal="center" vertical="center" wrapText="1"/>
    </xf>
    <xf numFmtId="175" fontId="74" fillId="21" borderId="75" xfId="9" applyNumberFormat="1" applyFont="1" applyFill="1" applyBorder="1" applyAlignment="1">
      <alignment horizontal="center" vertical="center" wrapText="1"/>
    </xf>
    <xf numFmtId="0" fontId="25" fillId="0" borderId="0" xfId="0" applyFont="1" applyAlignment="1">
      <alignment horizontal="left" vertical="top" wrapText="1"/>
    </xf>
    <xf numFmtId="0" fontId="76" fillId="0" borderId="0" xfId="9" applyFont="1" applyAlignment="1">
      <alignment horizontal="center"/>
    </xf>
    <xf numFmtId="0" fontId="78" fillId="0" borderId="0" xfId="9" applyFont="1" applyAlignment="1">
      <alignment horizontal="center"/>
    </xf>
    <xf numFmtId="0" fontId="79" fillId="0" borderId="0" xfId="9" applyFont="1"/>
    <xf numFmtId="0" fontId="60" fillId="0" borderId="1" xfId="9" applyFont="1" applyBorder="1" applyAlignment="1" applyProtection="1">
      <alignment horizontal="center" vertical="center" wrapText="1"/>
      <protection hidden="1"/>
    </xf>
    <xf numFmtId="0" fontId="45" fillId="0" borderId="59" xfId="9" applyFont="1" applyBorder="1" applyAlignment="1">
      <alignment horizontal="center" vertical="center" wrapText="1"/>
    </xf>
    <xf numFmtId="0" fontId="2" fillId="0" borderId="0" xfId="0" applyFont="1" applyAlignment="1">
      <alignment vertical="center"/>
    </xf>
    <xf numFmtId="0" fontId="17" fillId="0" borderId="0" xfId="0" applyFont="1" applyAlignment="1">
      <alignment vertical="center"/>
    </xf>
    <xf numFmtId="0" fontId="15" fillId="0" borderId="0" xfId="0" applyFont="1" applyAlignment="1">
      <alignment vertical="center"/>
    </xf>
    <xf numFmtId="0" fontId="38" fillId="0" borderId="0" xfId="0" applyFont="1" applyAlignment="1">
      <alignment horizontal="left" vertical="center"/>
    </xf>
    <xf numFmtId="0" fontId="33" fillId="16" borderId="59" xfId="0" applyFont="1" applyFill="1" applyBorder="1" applyAlignment="1">
      <alignment horizontal="center" vertical="center" wrapText="1"/>
    </xf>
    <xf numFmtId="0" fontId="25" fillId="0" borderId="59" xfId="0" applyFont="1" applyBorder="1" applyAlignment="1">
      <alignment horizontal="center" vertical="center" wrapText="1"/>
    </xf>
    <xf numFmtId="9" fontId="25" fillId="0" borderId="59" xfId="0" applyNumberFormat="1" applyFont="1" applyBorder="1" applyAlignment="1">
      <alignment horizontal="center" vertical="center" wrapText="1"/>
    </xf>
    <xf numFmtId="0" fontId="27" fillId="0" borderId="59" xfId="0" applyFont="1" applyBorder="1" applyAlignment="1">
      <alignment horizontal="center" vertical="center" wrapText="1"/>
    </xf>
    <xf numFmtId="0" fontId="44" fillId="16" borderId="59" xfId="0" applyFont="1" applyFill="1" applyBorder="1" applyAlignment="1">
      <alignment horizontal="center" vertical="center" wrapText="1"/>
    </xf>
    <xf numFmtId="0" fontId="45" fillId="0" borderId="59" xfId="0" applyFont="1" applyBorder="1" applyAlignment="1">
      <alignment horizontal="center" vertical="center" wrapText="1"/>
    </xf>
    <xf numFmtId="6" fontId="45" fillId="0" borderId="59" xfId="0" applyNumberFormat="1" applyFont="1" applyBorder="1" applyAlignment="1">
      <alignment horizontal="right" vertical="center" wrapText="1"/>
    </xf>
    <xf numFmtId="0" fontId="45" fillId="0" borderId="59" xfId="0" applyFont="1" applyBorder="1" applyAlignment="1">
      <alignment horizontal="right" vertical="center" wrapText="1"/>
    </xf>
    <xf numFmtId="0" fontId="46" fillId="0" borderId="59" xfId="0" applyFont="1" applyBorder="1" applyAlignment="1">
      <alignment horizontal="center" vertical="center" wrapText="1"/>
    </xf>
    <xf numFmtId="0" fontId="83" fillId="0" borderId="59" xfId="0" applyFont="1" applyBorder="1" applyAlignment="1">
      <alignment horizontal="center" vertical="center" wrapText="1"/>
    </xf>
    <xf numFmtId="0" fontId="46" fillId="0" borderId="59" xfId="0" applyFont="1" applyBorder="1" applyAlignment="1">
      <alignment vertical="center" wrapText="1"/>
    </xf>
    <xf numFmtId="0" fontId="18" fillId="0" borderId="0" xfId="0" applyFont="1" applyAlignment="1">
      <alignment vertical="center"/>
    </xf>
    <xf numFmtId="0" fontId="84" fillId="16" borderId="59" xfId="0" applyFont="1" applyFill="1" applyBorder="1" applyAlignment="1">
      <alignment horizontal="center" vertical="center" wrapText="1"/>
    </xf>
    <xf numFmtId="0" fontId="2" fillId="0" borderId="59" xfId="0" applyFont="1" applyBorder="1" applyAlignment="1">
      <alignment horizontal="center" vertical="center" wrapText="1"/>
    </xf>
    <xf numFmtId="10" fontId="2" fillId="0" borderId="59" xfId="0" applyNumberFormat="1" applyFont="1" applyBorder="1" applyAlignment="1">
      <alignment horizontal="center" vertical="center" wrapText="1"/>
    </xf>
    <xf numFmtId="9" fontId="2" fillId="0" borderId="0" xfId="1" applyFont="1" applyAlignment="1">
      <alignment vertical="center"/>
    </xf>
    <xf numFmtId="0" fontId="23" fillId="0" borderId="59" xfId="0" applyFont="1" applyBorder="1" applyAlignment="1">
      <alignment horizontal="center" vertical="center" wrapText="1"/>
    </xf>
    <xf numFmtId="10" fontId="23" fillId="0" borderId="59" xfId="0" applyNumberFormat="1" applyFont="1" applyBorder="1" applyAlignment="1">
      <alignment horizontal="center" vertical="center" wrapText="1"/>
    </xf>
    <xf numFmtId="10" fontId="2" fillId="0" borderId="0" xfId="0" applyNumberFormat="1" applyFont="1" applyAlignment="1">
      <alignment vertical="center"/>
    </xf>
    <xf numFmtId="0" fontId="2" fillId="5" borderId="0" xfId="0" applyFont="1" applyFill="1" applyAlignment="1">
      <alignment vertical="center"/>
    </xf>
    <xf numFmtId="0" fontId="2" fillId="5" borderId="0" xfId="0" applyFont="1" applyFill="1" applyAlignment="1">
      <alignment horizontal="left" vertical="center" wrapText="1"/>
    </xf>
    <xf numFmtId="0" fontId="2" fillId="0" borderId="2" xfId="0" applyFont="1" applyBorder="1" applyAlignment="1">
      <alignment vertical="center"/>
    </xf>
    <xf numFmtId="0" fontId="85" fillId="0" borderId="16" xfId="0" applyFont="1" applyBorder="1" applyAlignment="1">
      <alignment vertical="center"/>
    </xf>
    <xf numFmtId="0" fontId="2" fillId="0" borderId="16" xfId="0" applyFont="1" applyBorder="1" applyAlignment="1">
      <alignment vertical="center"/>
    </xf>
    <xf numFmtId="0" fontId="2" fillId="0" borderId="79" xfId="0" applyFont="1" applyBorder="1" applyAlignment="1">
      <alignment vertical="center"/>
    </xf>
    <xf numFmtId="0" fontId="2" fillId="0" borderId="19" xfId="0" applyFont="1" applyBorder="1" applyAlignment="1">
      <alignment vertical="center"/>
    </xf>
    <xf numFmtId="0" fontId="86" fillId="0" borderId="0" xfId="11" applyFont="1"/>
    <xf numFmtId="0" fontId="2" fillId="0" borderId="80" xfId="0" applyFont="1" applyBorder="1" applyAlignment="1">
      <alignment vertical="center"/>
    </xf>
    <xf numFmtId="0" fontId="25" fillId="0" borderId="19" xfId="0" applyFont="1" applyBorder="1"/>
    <xf numFmtId="0" fontId="23" fillId="0" borderId="0" xfId="12" applyFont="1" applyAlignment="1">
      <alignment vertical="center"/>
    </xf>
    <xf numFmtId="0" fontId="25" fillId="0" borderId="0" xfId="12" applyFont="1" applyAlignment="1">
      <alignment vertical="center"/>
    </xf>
    <xf numFmtId="0" fontId="25" fillId="0" borderId="0" xfId="13" applyFont="1" applyAlignment="1">
      <alignment vertical="center"/>
    </xf>
    <xf numFmtId="0" fontId="27" fillId="33" borderId="1" xfId="5" applyFont="1" applyFill="1" applyBorder="1" applyAlignment="1">
      <alignment horizontal="center" vertical="center" wrapText="1"/>
    </xf>
    <xf numFmtId="0" fontId="87" fillId="33" borderId="1" xfId="5" applyFont="1" applyFill="1" applyBorder="1" applyAlignment="1">
      <alignment horizontal="center" vertical="center" wrapText="1"/>
    </xf>
    <xf numFmtId="0" fontId="23" fillId="33" borderId="1" xfId="15" applyFont="1" applyFill="1" applyBorder="1" applyAlignment="1">
      <alignment horizontal="center" vertical="center" wrapText="1"/>
    </xf>
    <xf numFmtId="0" fontId="88" fillId="33" borderId="1" xfId="15" applyFont="1" applyFill="1" applyBorder="1" applyAlignment="1">
      <alignment horizontal="center" vertical="center" wrapText="1"/>
    </xf>
    <xf numFmtId="0" fontId="25" fillId="0" borderId="80" xfId="0" applyFont="1" applyBorder="1"/>
    <xf numFmtId="0" fontId="25" fillId="0" borderId="19" xfId="12" applyFont="1" applyBorder="1" applyAlignment="1">
      <alignment vertical="center"/>
    </xf>
    <xf numFmtId="178" fontId="27" fillId="33" borderId="1" xfId="14" applyNumberFormat="1" applyFont="1" applyFill="1" applyBorder="1" applyAlignment="1">
      <alignment horizontal="center" vertical="center"/>
    </xf>
    <xf numFmtId="16" fontId="25" fillId="0" borderId="1" xfId="5" applyNumberFormat="1" applyFont="1" applyBorder="1" applyAlignment="1">
      <alignment horizontal="right"/>
    </xf>
    <xf numFmtId="178" fontId="25" fillId="0" borderId="1" xfId="14" applyNumberFormat="1" applyFont="1" applyBorder="1"/>
    <xf numFmtId="41" fontId="25" fillId="0" borderId="5" xfId="16" applyFont="1" applyBorder="1"/>
    <xf numFmtId="41" fontId="36" fillId="0" borderId="1" xfId="16" applyFont="1" applyBorder="1"/>
    <xf numFmtId="41" fontId="25" fillId="0" borderId="1" xfId="16" applyFont="1" applyBorder="1"/>
    <xf numFmtId="180" fontId="25" fillId="0" borderId="1" xfId="16" applyNumberFormat="1" applyFont="1" applyBorder="1"/>
    <xf numFmtId="181" fontId="25" fillId="0" borderId="1" xfId="16" applyNumberFormat="1" applyFont="1" applyBorder="1"/>
    <xf numFmtId="16" fontId="2" fillId="0" borderId="1" xfId="15" applyNumberFormat="1" applyFont="1" applyBorder="1"/>
    <xf numFmtId="41" fontId="2" fillId="0" borderId="1" xfId="16" applyFont="1" applyBorder="1"/>
    <xf numFmtId="41" fontId="82" fillId="0" borderId="1" xfId="16" applyFont="1" applyBorder="1"/>
    <xf numFmtId="180" fontId="2" fillId="0" borderId="1" xfId="16" applyNumberFormat="1" applyFont="1" applyBorder="1"/>
    <xf numFmtId="181" fontId="2" fillId="0" borderId="1" xfId="16" applyNumberFormat="1" applyFont="1" applyBorder="1"/>
    <xf numFmtId="41" fontId="25" fillId="0" borderId="1" xfId="17" applyFont="1" applyBorder="1"/>
    <xf numFmtId="41" fontId="2" fillId="0" borderId="1" xfId="17" applyFont="1" applyBorder="1"/>
    <xf numFmtId="0" fontId="27" fillId="33" borderId="1" xfId="0" applyFont="1" applyFill="1" applyBorder="1" applyAlignment="1">
      <alignment horizontal="center"/>
    </xf>
    <xf numFmtId="0" fontId="25" fillId="0" borderId="1" xfId="0" applyFont="1" applyBorder="1" applyAlignment="1">
      <alignment horizontal="center"/>
    </xf>
    <xf numFmtId="178" fontId="45" fillId="0" borderId="1" xfId="14" applyNumberFormat="1" applyFont="1" applyBorder="1"/>
    <xf numFmtId="164" fontId="25" fillId="0" borderId="1" xfId="2" applyFont="1" applyBorder="1" applyAlignment="1">
      <alignment horizontal="center"/>
    </xf>
    <xf numFmtId="178" fontId="25" fillId="0" borderId="1" xfId="0" applyNumberFormat="1" applyFont="1" applyBorder="1" applyAlignment="1">
      <alignment horizontal="center"/>
    </xf>
    <xf numFmtId="9" fontId="25" fillId="0" borderId="1" xfId="18" applyFont="1" applyBorder="1" applyAlignment="1">
      <alignment horizontal="center"/>
    </xf>
    <xf numFmtId="171" fontId="2" fillId="0" borderId="1" xfId="17" applyNumberFormat="1" applyFont="1" applyBorder="1"/>
    <xf numFmtId="0" fontId="25" fillId="0" borderId="3" xfId="0" applyFont="1" applyBorder="1" applyAlignment="1">
      <alignment horizontal="center"/>
    </xf>
    <xf numFmtId="164" fontId="25" fillId="0" borderId="3" xfId="2" applyFont="1" applyBorder="1" applyAlignment="1">
      <alignment horizontal="center"/>
    </xf>
    <xf numFmtId="0" fontId="25" fillId="0" borderId="6" xfId="0" applyFont="1" applyBorder="1"/>
    <xf numFmtId="0" fontId="25" fillId="0" borderId="7" xfId="0" applyFont="1" applyBorder="1"/>
    <xf numFmtId="0" fontId="25" fillId="0" borderId="8" xfId="0" applyFont="1" applyBorder="1"/>
    <xf numFmtId="9" fontId="25" fillId="0" borderId="8" xfId="0" applyNumberFormat="1" applyFont="1" applyBorder="1" applyAlignment="1">
      <alignment horizontal="center"/>
    </xf>
    <xf numFmtId="0" fontId="27" fillId="33" borderId="6" xfId="0" applyFont="1" applyFill="1" applyBorder="1" applyAlignment="1">
      <alignment horizontal="center"/>
    </xf>
    <xf numFmtId="0" fontId="25" fillId="0" borderId="0" xfId="0" applyFont="1" applyAlignment="1">
      <alignment horizontal="center"/>
    </xf>
    <xf numFmtId="178" fontId="25" fillId="0" borderId="1" xfId="14" applyNumberFormat="1" applyFont="1" applyBorder="1" applyAlignment="1">
      <alignment horizontal="center"/>
    </xf>
    <xf numFmtId="178" fontId="25" fillId="0" borderId="6" xfId="14" applyNumberFormat="1" applyFont="1" applyBorder="1" applyAlignment="1">
      <alignment horizontal="center"/>
    </xf>
    <xf numFmtId="9" fontId="25" fillId="0" borderId="1" xfId="19" applyFont="1" applyBorder="1" applyAlignment="1">
      <alignment horizontal="center"/>
    </xf>
    <xf numFmtId="0" fontId="25" fillId="0" borderId="0" xfId="14" applyNumberFormat="1" applyFont="1" applyBorder="1" applyAlignment="1">
      <alignment horizontal="center"/>
    </xf>
    <xf numFmtId="178" fontId="25" fillId="0" borderId="1" xfId="14" applyNumberFormat="1" applyFont="1" applyFill="1" applyBorder="1" applyAlignment="1">
      <alignment horizontal="center"/>
    </xf>
    <xf numFmtId="178" fontId="25" fillId="0" borderId="6" xfId="14" applyNumberFormat="1" applyFont="1" applyFill="1" applyBorder="1" applyAlignment="1">
      <alignment horizontal="center"/>
    </xf>
    <xf numFmtId="180" fontId="27" fillId="0" borderId="1" xfId="5" applyNumberFormat="1" applyFont="1" applyBorder="1" applyAlignment="1">
      <alignment vertical="center"/>
    </xf>
    <xf numFmtId="181" fontId="27" fillId="0" borderId="1" xfId="5" applyNumberFormat="1" applyFont="1" applyBorder="1" applyAlignment="1">
      <alignment vertical="center"/>
    </xf>
    <xf numFmtId="180" fontId="23" fillId="0" borderId="1" xfId="15" applyNumberFormat="1" applyFont="1" applyBorder="1" applyAlignment="1">
      <alignment vertical="center"/>
    </xf>
    <xf numFmtId="181" fontId="23" fillId="0" borderId="1" xfId="15" applyNumberFormat="1" applyFont="1" applyBorder="1" applyAlignment="1">
      <alignment vertical="center"/>
    </xf>
    <xf numFmtId="178" fontId="25" fillId="0" borderId="0" xfId="14" applyNumberFormat="1" applyFont="1" applyFill="1" applyBorder="1" applyAlignment="1">
      <alignment horizontal="center"/>
    </xf>
    <xf numFmtId="178" fontId="27" fillId="9" borderId="1" xfId="0" applyNumberFormat="1" applyFont="1" applyFill="1" applyBorder="1" applyAlignment="1">
      <alignment horizontal="center"/>
    </xf>
    <xf numFmtId="9" fontId="25" fillId="11" borderId="1" xfId="0" applyNumberFormat="1" applyFont="1" applyFill="1" applyBorder="1" applyAlignment="1">
      <alignment horizontal="center"/>
    </xf>
    <xf numFmtId="178" fontId="2" fillId="0" borderId="0" xfId="20" applyNumberFormat="1" applyFont="1" applyBorder="1"/>
    <xf numFmtId="178" fontId="23" fillId="34" borderId="0" xfId="21" applyNumberFormat="1" applyFont="1" applyFill="1" applyBorder="1"/>
    <xf numFmtId="0" fontId="23" fillId="0" borderId="0" xfId="15" applyFont="1" applyAlignment="1">
      <alignment horizontal="center" vertical="center"/>
    </xf>
    <xf numFmtId="180" fontId="23" fillId="0" borderId="0" xfId="15" applyNumberFormat="1" applyFont="1" applyAlignment="1">
      <alignment vertical="center"/>
    </xf>
    <xf numFmtId="181" fontId="23" fillId="0" borderId="0" xfId="15" applyNumberFormat="1" applyFont="1" applyAlignment="1">
      <alignment vertical="center"/>
    </xf>
    <xf numFmtId="43" fontId="25" fillId="0" borderId="0" xfId="14" applyFont="1" applyBorder="1"/>
    <xf numFmtId="0" fontId="2" fillId="0" borderId="0" xfId="22" applyFont="1"/>
    <xf numFmtId="178" fontId="2" fillId="0" borderId="0" xfId="22" applyNumberFormat="1" applyFont="1"/>
    <xf numFmtId="9" fontId="25" fillId="0" borderId="0" xfId="1" applyFont="1" applyBorder="1"/>
    <xf numFmtId="178" fontId="25" fillId="0" borderId="0" xfId="0" applyNumberFormat="1" applyFont="1"/>
    <xf numFmtId="0" fontId="27" fillId="0" borderId="0" xfId="0" applyFont="1"/>
    <xf numFmtId="0" fontId="27" fillId="11" borderId="0" xfId="23" applyFont="1" applyFill="1"/>
    <xf numFmtId="0" fontId="25" fillId="11" borderId="0" xfId="23" applyFont="1" applyFill="1"/>
    <xf numFmtId="0" fontId="27" fillId="33" borderId="1" xfId="23" applyFont="1" applyFill="1" applyBorder="1" applyAlignment="1">
      <alignment horizontal="center" vertical="center" wrapText="1"/>
    </xf>
    <xf numFmtId="0" fontId="27" fillId="33" borderId="1" xfId="23" applyFont="1" applyFill="1" applyBorder="1" applyAlignment="1">
      <alignment horizontal="center" vertical="center"/>
    </xf>
    <xf numFmtId="0" fontId="27" fillId="33" borderId="1" xfId="24" applyFont="1" applyFill="1" applyBorder="1" applyAlignment="1">
      <alignment horizontal="center" vertical="center" wrapText="1"/>
    </xf>
    <xf numFmtId="0" fontId="27" fillId="33" borderId="1" xfId="24" applyFont="1" applyFill="1" applyBorder="1" applyAlignment="1">
      <alignment horizontal="center" vertical="center"/>
    </xf>
    <xf numFmtId="0" fontId="25" fillId="0" borderId="1" xfId="23" applyFont="1" applyBorder="1"/>
    <xf numFmtId="41" fontId="25" fillId="0" borderId="1" xfId="25" applyFont="1" applyBorder="1"/>
    <xf numFmtId="41" fontId="25" fillId="0" borderId="1" xfId="25" applyFont="1" applyBorder="1" applyAlignment="1">
      <alignment horizontal="center" vertical="center"/>
    </xf>
    <xf numFmtId="0" fontId="25" fillId="0" borderId="1" xfId="24" applyFont="1" applyBorder="1"/>
    <xf numFmtId="0" fontId="27" fillId="0" borderId="1" xfId="24" applyFont="1" applyBorder="1" applyAlignment="1">
      <alignment horizontal="center" vertical="center"/>
    </xf>
    <xf numFmtId="0" fontId="76" fillId="11" borderId="0" xfId="23" applyFont="1" applyFill="1"/>
    <xf numFmtId="0" fontId="1" fillId="11" borderId="0" xfId="23" applyFill="1"/>
    <xf numFmtId="41" fontId="27" fillId="0" borderId="1" xfId="25" applyFont="1" applyBorder="1" applyAlignment="1">
      <alignment horizontal="center" vertical="center"/>
    </xf>
    <xf numFmtId="178" fontId="1" fillId="11" borderId="0" xfId="14" applyNumberFormat="1" applyFont="1" applyFill="1" applyBorder="1"/>
    <xf numFmtId="178" fontId="1" fillId="11" borderId="0" xfId="23" applyNumberFormat="1" applyFill="1"/>
    <xf numFmtId="41" fontId="25" fillId="0" borderId="0" xfId="23" applyNumberFormat="1" applyFont="1"/>
    <xf numFmtId="0" fontId="25" fillId="0" borderId="0" xfId="23" applyFont="1"/>
    <xf numFmtId="0" fontId="25" fillId="0" borderId="1" xfId="23" applyFont="1" applyBorder="1" applyAlignment="1">
      <alignment horizontal="center"/>
    </xf>
    <xf numFmtId="41" fontId="25" fillId="5" borderId="1" xfId="25" applyFont="1" applyFill="1" applyBorder="1"/>
    <xf numFmtId="0" fontId="25" fillId="0" borderId="1" xfId="24" applyFont="1" applyBorder="1" applyAlignment="1">
      <alignment horizontal="center"/>
    </xf>
    <xf numFmtId="3" fontId="25" fillId="11" borderId="0" xfId="23" applyNumberFormat="1" applyFont="1" applyFill="1"/>
    <xf numFmtId="0" fontId="25" fillId="11" borderId="0" xfId="24" applyFont="1" applyFill="1"/>
    <xf numFmtId="3" fontId="25" fillId="11" borderId="0" xfId="24" applyNumberFormat="1" applyFont="1" applyFill="1"/>
    <xf numFmtId="0" fontId="27" fillId="11" borderId="0" xfId="24" applyFont="1" applyFill="1"/>
    <xf numFmtId="41" fontId="25" fillId="0" borderId="0" xfId="25" applyFont="1" applyBorder="1"/>
    <xf numFmtId="41" fontId="25" fillId="5" borderId="0" xfId="25" applyFont="1" applyFill="1" applyBorder="1"/>
    <xf numFmtId="41" fontId="25" fillId="11" borderId="0" xfId="25" applyFont="1" applyFill="1" applyBorder="1"/>
    <xf numFmtId="41" fontId="25" fillId="11" borderId="0" xfId="23" applyNumberFormat="1" applyFont="1" applyFill="1"/>
    <xf numFmtId="41" fontId="25" fillId="11" borderId="0" xfId="24" applyNumberFormat="1" applyFont="1" applyFill="1"/>
    <xf numFmtId="0" fontId="27" fillId="33" borderId="1" xfId="23" applyFont="1" applyFill="1" applyBorder="1" applyAlignment="1">
      <alignment horizontal="center"/>
    </xf>
    <xf numFmtId="0" fontId="27" fillId="33" borderId="1" xfId="24" applyFont="1" applyFill="1" applyBorder="1" applyAlignment="1">
      <alignment horizontal="center"/>
    </xf>
    <xf numFmtId="0" fontId="25" fillId="5" borderId="1" xfId="23" applyFont="1" applyFill="1" applyBorder="1"/>
    <xf numFmtId="0" fontId="25" fillId="5" borderId="1" xfId="24" applyFont="1" applyFill="1" applyBorder="1"/>
    <xf numFmtId="41" fontId="25" fillId="11" borderId="9" xfId="23" applyNumberFormat="1" applyFont="1" applyFill="1" applyBorder="1"/>
    <xf numFmtId="41" fontId="25" fillId="11" borderId="9" xfId="24" applyNumberFormat="1" applyFont="1" applyFill="1" applyBorder="1"/>
    <xf numFmtId="0" fontId="25" fillId="11" borderId="0" xfId="23" quotePrefix="1" applyFont="1" applyFill="1"/>
    <xf numFmtId="2" fontId="27" fillId="11" borderId="0" xfId="23" applyNumberFormat="1" applyFont="1" applyFill="1" applyAlignment="1">
      <alignment horizontal="left"/>
    </xf>
    <xf numFmtId="0" fontId="25" fillId="11" borderId="0" xfId="24" quotePrefix="1" applyFont="1" applyFill="1"/>
    <xf numFmtId="2" fontId="27" fillId="11" borderId="0" xfId="24" applyNumberFormat="1" applyFont="1" applyFill="1" applyAlignment="1">
      <alignment horizontal="left"/>
    </xf>
    <xf numFmtId="0" fontId="25" fillId="0" borderId="0" xfId="24" applyFont="1"/>
    <xf numFmtId="0" fontId="25" fillId="11" borderId="0" xfId="26" applyFont="1" applyFill="1"/>
    <xf numFmtId="0" fontId="25" fillId="11" borderId="0" xfId="26" quotePrefix="1" applyFont="1" applyFill="1"/>
    <xf numFmtId="2" fontId="27" fillId="11" borderId="0" xfId="26" applyNumberFormat="1" applyFont="1" applyFill="1" applyAlignment="1">
      <alignment horizontal="left"/>
    </xf>
    <xf numFmtId="0" fontId="25" fillId="11" borderId="0" xfId="23" applyFont="1" applyFill="1" applyAlignment="1">
      <alignment horizontal="center" vertical="top" wrapText="1"/>
    </xf>
    <xf numFmtId="41" fontId="27" fillId="11" borderId="0" xfId="23" applyNumberFormat="1" applyFont="1" applyFill="1"/>
    <xf numFmtId="0" fontId="27" fillId="11" borderId="0" xfId="23" quotePrefix="1" applyFont="1" applyFill="1" applyAlignment="1">
      <alignment vertical="top"/>
    </xf>
    <xf numFmtId="0" fontId="27" fillId="11" borderId="0" xfId="26" applyFont="1" applyFill="1"/>
    <xf numFmtId="0" fontId="89" fillId="11" borderId="0" xfId="26" applyFont="1" applyFill="1"/>
    <xf numFmtId="0" fontId="25" fillId="0" borderId="0" xfId="26" applyFont="1"/>
    <xf numFmtId="0" fontId="27" fillId="9" borderId="82" xfId="26" quotePrefix="1" applyFont="1" applyFill="1" applyBorder="1" applyAlignment="1">
      <alignment horizontal="center"/>
    </xf>
    <xf numFmtId="179" fontId="27" fillId="9" borderId="82" xfId="14" quotePrefix="1" applyNumberFormat="1" applyFont="1" applyFill="1" applyBorder="1" applyAlignment="1">
      <alignment horizontal="center"/>
    </xf>
    <xf numFmtId="0" fontId="27" fillId="9" borderId="34" xfId="26" applyFont="1" applyFill="1" applyBorder="1" applyAlignment="1">
      <alignment horizontal="center"/>
    </xf>
    <xf numFmtId="0" fontId="27" fillId="9" borderId="4" xfId="14" applyNumberFormat="1" applyFont="1" applyFill="1" applyBorder="1" applyAlignment="1">
      <alignment horizontal="center" vertical="center"/>
    </xf>
    <xf numFmtId="179" fontId="27" fillId="9" borderId="4" xfId="14" applyNumberFormat="1" applyFont="1" applyFill="1" applyBorder="1" applyAlignment="1">
      <alignment horizontal="center" vertical="center"/>
    </xf>
    <xf numFmtId="0" fontId="27" fillId="9" borderId="4" xfId="26" applyFont="1" applyFill="1" applyBorder="1" applyAlignment="1">
      <alignment horizontal="center" vertical="center"/>
    </xf>
    <xf numFmtId="0" fontId="27" fillId="9" borderId="84" xfId="26" applyFont="1" applyFill="1" applyBorder="1" applyAlignment="1">
      <alignment horizontal="center" vertical="center"/>
    </xf>
    <xf numFmtId="0" fontId="27" fillId="9" borderId="1" xfId="26" applyFont="1" applyFill="1" applyBorder="1" applyAlignment="1">
      <alignment horizontal="center" vertical="center"/>
    </xf>
    <xf numFmtId="179" fontId="27" fillId="9" borderId="1" xfId="14" applyNumberFormat="1" applyFont="1" applyFill="1" applyBorder="1" applyAlignment="1">
      <alignment horizontal="center" vertical="center"/>
    </xf>
    <xf numFmtId="0" fontId="27" fillId="11" borderId="83" xfId="26" applyFont="1" applyFill="1" applyBorder="1" applyAlignment="1">
      <alignment horizontal="center"/>
    </xf>
    <xf numFmtId="0" fontId="27" fillId="11" borderId="45" xfId="26" applyFont="1" applyFill="1" applyBorder="1"/>
    <xf numFmtId="0" fontId="27" fillId="11" borderId="46" xfId="26" applyFont="1" applyFill="1" applyBorder="1"/>
    <xf numFmtId="0" fontId="27" fillId="11" borderId="4" xfId="26" applyFont="1" applyFill="1" applyBorder="1" applyAlignment="1">
      <alignment horizontal="center" vertical="center"/>
    </xf>
    <xf numFmtId="179" fontId="27" fillId="11" borderId="4" xfId="14" applyNumberFormat="1" applyFont="1" applyFill="1" applyBorder="1"/>
    <xf numFmtId="9" fontId="25" fillId="11" borderId="85" xfId="18" applyFont="1" applyFill="1" applyBorder="1" applyAlignment="1">
      <alignment horizontal="center"/>
    </xf>
    <xf numFmtId="0" fontId="25" fillId="11" borderId="86" xfId="26" applyFont="1" applyFill="1" applyBorder="1" applyAlignment="1">
      <alignment horizontal="center"/>
    </xf>
    <xf numFmtId="0" fontId="25" fillId="11" borderId="87" xfId="26" applyFont="1" applyFill="1" applyBorder="1"/>
    <xf numFmtId="0" fontId="25" fillId="11" borderId="39" xfId="26" applyFont="1" applyFill="1" applyBorder="1"/>
    <xf numFmtId="0" fontId="25" fillId="11" borderId="85" xfId="26" applyFont="1" applyFill="1" applyBorder="1"/>
    <xf numFmtId="0" fontId="25" fillId="11" borderId="88" xfId="26" applyFont="1" applyFill="1" applyBorder="1" applyAlignment="1">
      <alignment horizontal="center" vertical="center"/>
    </xf>
    <xf numFmtId="179" fontId="25" fillId="0" borderId="88" xfId="14" applyNumberFormat="1" applyFont="1" applyFill="1" applyBorder="1"/>
    <xf numFmtId="179" fontId="25" fillId="11" borderId="88" xfId="14" applyNumberFormat="1" applyFont="1" applyFill="1" applyBorder="1"/>
    <xf numFmtId="0" fontId="25" fillId="11" borderId="86" xfId="26" applyFont="1" applyFill="1" applyBorder="1"/>
    <xf numFmtId="0" fontId="25" fillId="0" borderId="85" xfId="26" applyFont="1" applyBorder="1"/>
    <xf numFmtId="179" fontId="25" fillId="11" borderId="85" xfId="14" applyNumberFormat="1" applyFont="1" applyFill="1" applyBorder="1"/>
    <xf numFmtId="179" fontId="25" fillId="11" borderId="85" xfId="26" applyNumberFormat="1" applyFont="1" applyFill="1" applyBorder="1"/>
    <xf numFmtId="0" fontId="25" fillId="11" borderId="83" xfId="26" applyFont="1" applyFill="1" applyBorder="1" applyAlignment="1">
      <alignment horizontal="center"/>
    </xf>
    <xf numFmtId="0" fontId="25" fillId="11" borderId="45" xfId="26" applyFont="1" applyFill="1" applyBorder="1"/>
    <xf numFmtId="0" fontId="25" fillId="11" borderId="46" xfId="26" applyFont="1" applyFill="1" applyBorder="1"/>
    <xf numFmtId="0" fontId="25" fillId="11" borderId="4" xfId="26" applyFont="1" applyFill="1" applyBorder="1" applyAlignment="1">
      <alignment horizontal="center" vertical="center"/>
    </xf>
    <xf numFmtId="179" fontId="25" fillId="0" borderId="4" xfId="14" applyNumberFormat="1" applyFont="1" applyFill="1" applyBorder="1"/>
    <xf numFmtId="179" fontId="25" fillId="11" borderId="4" xfId="14" applyNumberFormat="1" applyFont="1" applyFill="1" applyBorder="1"/>
    <xf numFmtId="0" fontId="25" fillId="11" borderId="4" xfId="18" applyNumberFormat="1" applyFont="1" applyFill="1" applyBorder="1" applyAlignment="1">
      <alignment horizontal="center"/>
    </xf>
    <xf numFmtId="0" fontId="25" fillId="11" borderId="84" xfId="26" applyFont="1" applyFill="1" applyBorder="1" applyAlignment="1">
      <alignment horizontal="center"/>
    </xf>
    <xf numFmtId="0" fontId="25" fillId="11" borderId="6" xfId="26" applyFont="1" applyFill="1" applyBorder="1"/>
    <xf numFmtId="0" fontId="25" fillId="11" borderId="7" xfId="26" applyFont="1" applyFill="1" applyBorder="1"/>
    <xf numFmtId="0" fontId="25" fillId="11" borderId="8" xfId="26" applyFont="1" applyFill="1" applyBorder="1"/>
    <xf numFmtId="0" fontId="25" fillId="11" borderId="1" xfId="26" applyFont="1" applyFill="1" applyBorder="1" applyAlignment="1">
      <alignment horizontal="center" vertical="center"/>
    </xf>
    <xf numFmtId="179" fontId="25" fillId="0" borderId="1" xfId="14" applyNumberFormat="1" applyFont="1" applyFill="1" applyBorder="1"/>
    <xf numFmtId="179" fontId="25" fillId="11" borderId="1" xfId="14" applyNumberFormat="1" applyFont="1" applyFill="1" applyBorder="1"/>
    <xf numFmtId="9" fontId="25" fillId="11" borderId="1" xfId="18" applyFont="1" applyFill="1" applyBorder="1" applyAlignment="1">
      <alignment horizontal="center"/>
    </xf>
    <xf numFmtId="0" fontId="27" fillId="5" borderId="45" xfId="26" applyFont="1" applyFill="1" applyBorder="1"/>
    <xf numFmtId="0" fontId="27" fillId="5" borderId="0" xfId="26" applyFont="1" applyFill="1"/>
    <xf numFmtId="0" fontId="27" fillId="5" borderId="46" xfId="26" applyFont="1" applyFill="1" applyBorder="1"/>
    <xf numFmtId="0" fontId="27" fillId="5" borderId="4" xfId="26" applyFont="1" applyFill="1" applyBorder="1" applyAlignment="1">
      <alignment horizontal="center" vertical="center"/>
    </xf>
    <xf numFmtId="179" fontId="27" fillId="5" borderId="4" xfId="14" applyNumberFormat="1" applyFont="1" applyFill="1" applyBorder="1"/>
    <xf numFmtId="9" fontId="25" fillId="5" borderId="85" xfId="18" applyFont="1" applyFill="1" applyBorder="1" applyAlignment="1">
      <alignment horizontal="center"/>
    </xf>
    <xf numFmtId="0" fontId="27" fillId="11" borderId="86" xfId="26" applyFont="1" applyFill="1" applyBorder="1" applyAlignment="1">
      <alignment horizontal="center"/>
    </xf>
    <xf numFmtId="0" fontId="27" fillId="11" borderId="87" xfId="26" applyFont="1" applyFill="1" applyBorder="1"/>
    <xf numFmtId="0" fontId="27" fillId="11" borderId="39" xfId="26" applyFont="1" applyFill="1" applyBorder="1"/>
    <xf numFmtId="0" fontId="27" fillId="11" borderId="85" xfId="26" applyFont="1" applyFill="1" applyBorder="1"/>
    <xf numFmtId="0" fontId="27" fillId="11" borderId="88" xfId="26" applyFont="1" applyFill="1" applyBorder="1" applyAlignment="1">
      <alignment horizontal="center"/>
    </xf>
    <xf numFmtId="179" fontId="27" fillId="0" borderId="88" xfId="14" applyNumberFormat="1" applyFont="1" applyFill="1" applyBorder="1"/>
    <xf numFmtId="179" fontId="27" fillId="11" borderId="88" xfId="14" applyNumberFormat="1" applyFont="1" applyFill="1" applyBorder="1"/>
    <xf numFmtId="0" fontId="25" fillId="11" borderId="23" xfId="26" quotePrefix="1" applyFont="1" applyFill="1" applyBorder="1"/>
    <xf numFmtId="0" fontId="25" fillId="11" borderId="88" xfId="26" applyFont="1" applyFill="1" applyBorder="1" applyAlignment="1">
      <alignment horizontal="center"/>
    </xf>
    <xf numFmtId="0" fontId="25" fillId="11" borderId="89" xfId="26" applyFont="1" applyFill="1" applyBorder="1" applyAlignment="1">
      <alignment horizontal="center"/>
    </xf>
    <xf numFmtId="0" fontId="25" fillId="11" borderId="90" xfId="26" applyFont="1" applyFill="1" applyBorder="1"/>
    <xf numFmtId="0" fontId="25" fillId="11" borderId="23" xfId="26" applyFont="1" applyFill="1" applyBorder="1"/>
    <xf numFmtId="0" fontId="25" fillId="11" borderId="91" xfId="26" applyFont="1" applyFill="1" applyBorder="1" applyAlignment="1">
      <alignment horizontal="center"/>
    </xf>
    <xf numFmtId="0" fontId="25" fillId="11" borderId="39" xfId="26" quotePrefix="1" applyFont="1" applyFill="1" applyBorder="1"/>
    <xf numFmtId="0" fontId="25" fillId="11" borderId="85" xfId="26" quotePrefix="1" applyFont="1" applyFill="1" applyBorder="1"/>
    <xf numFmtId="0" fontId="25" fillId="11" borderId="92" xfId="26" applyFont="1" applyFill="1" applyBorder="1"/>
    <xf numFmtId="179" fontId="25" fillId="11" borderId="91" xfId="14" applyNumberFormat="1" applyFont="1" applyFill="1" applyBorder="1"/>
    <xf numFmtId="0" fontId="27" fillId="11" borderId="91" xfId="26" applyFont="1" applyFill="1" applyBorder="1" applyAlignment="1">
      <alignment horizontal="center"/>
    </xf>
    <xf numFmtId="0" fontId="25" fillId="11" borderId="93" xfId="26" applyFont="1" applyFill="1" applyBorder="1" applyAlignment="1">
      <alignment horizontal="center"/>
    </xf>
    <xf numFmtId="0" fontId="25" fillId="11" borderId="94" xfId="26" applyFont="1" applyFill="1" applyBorder="1"/>
    <xf numFmtId="0" fontId="25" fillId="11" borderId="31" xfId="26" applyFont="1" applyFill="1" applyBorder="1"/>
    <xf numFmtId="0" fontId="25" fillId="11" borderId="95" xfId="26" applyFont="1" applyFill="1" applyBorder="1"/>
    <xf numFmtId="0" fontId="25" fillId="11" borderId="96" xfId="26" applyFont="1" applyFill="1" applyBorder="1"/>
    <xf numFmtId="179" fontId="25" fillId="11" borderId="96" xfId="14" applyNumberFormat="1" applyFont="1" applyFill="1" applyBorder="1"/>
    <xf numFmtId="179" fontId="27" fillId="11" borderId="97" xfId="14" applyNumberFormat="1" applyFont="1" applyFill="1" applyBorder="1"/>
    <xf numFmtId="0" fontId="25" fillId="0" borderId="0" xfId="27" applyFont="1"/>
    <xf numFmtId="0" fontId="25" fillId="11" borderId="0" xfId="27" applyFont="1" applyFill="1" applyAlignment="1">
      <alignment horizontal="right"/>
    </xf>
    <xf numFmtId="0" fontId="27" fillId="9" borderId="82" xfId="27" quotePrefix="1" applyFont="1" applyFill="1" applyBorder="1" applyAlignment="1">
      <alignment horizontal="center"/>
    </xf>
    <xf numFmtId="0" fontId="27" fillId="9" borderId="34" xfId="27" applyFont="1" applyFill="1" applyBorder="1" applyAlignment="1">
      <alignment horizontal="center"/>
    </xf>
    <xf numFmtId="0" fontId="27" fillId="9" borderId="4" xfId="28" applyNumberFormat="1" applyFont="1" applyFill="1" applyBorder="1" applyAlignment="1">
      <alignment horizontal="center" vertical="center"/>
    </xf>
    <xf numFmtId="179" fontId="27" fillId="9" borderId="4" xfId="28" applyNumberFormat="1" applyFont="1" applyFill="1" applyBorder="1" applyAlignment="1">
      <alignment horizontal="center" vertical="center"/>
    </xf>
    <xf numFmtId="0" fontId="27" fillId="9" borderId="4" xfId="27" applyFont="1" applyFill="1" applyBorder="1" applyAlignment="1">
      <alignment horizontal="center" vertical="center"/>
    </xf>
    <xf numFmtId="0" fontId="27" fillId="9" borderId="84" xfId="27" applyFont="1" applyFill="1" applyBorder="1" applyAlignment="1">
      <alignment horizontal="center" vertical="center"/>
    </xf>
    <xf numFmtId="0" fontId="27" fillId="9" borderId="1" xfId="27" applyFont="1" applyFill="1" applyBorder="1" applyAlignment="1">
      <alignment horizontal="center" vertical="center"/>
    </xf>
    <xf numFmtId="0" fontId="27" fillId="9" borderId="1" xfId="28" applyNumberFormat="1" applyFont="1" applyFill="1" applyBorder="1" applyAlignment="1">
      <alignment horizontal="center"/>
    </xf>
    <xf numFmtId="0" fontId="27" fillId="11" borderId="83" xfId="27" applyFont="1" applyFill="1" applyBorder="1" applyAlignment="1">
      <alignment horizontal="center"/>
    </xf>
    <xf numFmtId="0" fontId="27" fillId="11" borderId="45" xfId="27" applyFont="1" applyFill="1" applyBorder="1"/>
    <xf numFmtId="0" fontId="27" fillId="11" borderId="0" xfId="27" applyFont="1" applyFill="1"/>
    <xf numFmtId="0" fontId="27" fillId="11" borderId="46" xfId="27" applyFont="1" applyFill="1" applyBorder="1"/>
    <xf numFmtId="0" fontId="27" fillId="11" borderId="4" xfId="27" applyFont="1" applyFill="1" applyBorder="1" applyAlignment="1">
      <alignment horizontal="center" vertical="center"/>
    </xf>
    <xf numFmtId="179" fontId="27" fillId="11" borderId="4" xfId="28" applyNumberFormat="1" applyFont="1" applyFill="1" applyBorder="1"/>
    <xf numFmtId="0" fontId="25" fillId="11" borderId="86" xfId="27" applyFont="1" applyFill="1" applyBorder="1" applyAlignment="1">
      <alignment horizontal="center"/>
    </xf>
    <xf numFmtId="0" fontId="25" fillId="11" borderId="87" xfId="27" applyFont="1" applyFill="1" applyBorder="1"/>
    <xf numFmtId="0" fontId="25" fillId="11" borderId="39" xfId="27" applyFont="1" applyFill="1" applyBorder="1"/>
    <xf numFmtId="0" fontId="25" fillId="11" borderId="85" xfId="27" applyFont="1" applyFill="1" applyBorder="1"/>
    <xf numFmtId="0" fontId="25" fillId="11" borderId="88" xfId="27" applyFont="1" applyFill="1" applyBorder="1" applyAlignment="1">
      <alignment horizontal="center" vertical="center"/>
    </xf>
    <xf numFmtId="179" fontId="25" fillId="0" borderId="88" xfId="28" applyNumberFormat="1" applyFont="1" applyFill="1" applyBorder="1"/>
    <xf numFmtId="179" fontId="25" fillId="11" borderId="88" xfId="28" applyNumberFormat="1" applyFont="1" applyFill="1" applyBorder="1"/>
    <xf numFmtId="0" fontId="25" fillId="11" borderId="86" xfId="27" applyFont="1" applyFill="1" applyBorder="1"/>
    <xf numFmtId="0" fontId="25" fillId="0" borderId="85" xfId="27" applyFont="1" applyBorder="1"/>
    <xf numFmtId="179" fontId="25" fillId="11" borderId="85" xfId="28" applyNumberFormat="1" applyFont="1" applyFill="1" applyBorder="1"/>
    <xf numFmtId="179" fontId="25" fillId="11" borderId="85" xfId="27" applyNumberFormat="1" applyFont="1" applyFill="1" applyBorder="1"/>
    <xf numFmtId="0" fontId="25" fillId="11" borderId="83" xfId="27" applyFont="1" applyFill="1" applyBorder="1" applyAlignment="1">
      <alignment horizontal="center"/>
    </xf>
    <xf numFmtId="0" fontId="25" fillId="11" borderId="45" xfId="27" applyFont="1" applyFill="1" applyBorder="1"/>
    <xf numFmtId="0" fontId="25" fillId="11" borderId="46" xfId="27" applyFont="1" applyFill="1" applyBorder="1"/>
    <xf numFmtId="0" fontId="25" fillId="11" borderId="4" xfId="27" applyFont="1" applyFill="1" applyBorder="1" applyAlignment="1">
      <alignment horizontal="center" vertical="center"/>
    </xf>
    <xf numFmtId="179" fontId="25" fillId="0" borderId="4" xfId="28" applyNumberFormat="1" applyFont="1" applyFill="1" applyBorder="1"/>
    <xf numFmtId="179" fontId="25" fillId="11" borderId="4" xfId="28" applyNumberFormat="1" applyFont="1" applyFill="1" applyBorder="1"/>
    <xf numFmtId="0" fontId="25" fillId="11" borderId="84" xfId="27" applyFont="1" applyFill="1" applyBorder="1" applyAlignment="1">
      <alignment horizontal="center"/>
    </xf>
    <xf numFmtId="0" fontId="25" fillId="11" borderId="6" xfId="27" applyFont="1" applyFill="1" applyBorder="1"/>
    <xf numFmtId="0" fontId="25" fillId="11" borderId="7" xfId="27" applyFont="1" applyFill="1" applyBorder="1"/>
    <xf numFmtId="0" fontId="25" fillId="11" borderId="8" xfId="27" applyFont="1" applyFill="1" applyBorder="1"/>
    <xf numFmtId="0" fontId="25" fillId="11" borderId="1" xfId="27" applyFont="1" applyFill="1" applyBorder="1" applyAlignment="1">
      <alignment horizontal="center" vertical="center"/>
    </xf>
    <xf numFmtId="179" fontId="25" fillId="0" borderId="1" xfId="28" applyNumberFormat="1" applyFont="1" applyFill="1" applyBorder="1"/>
    <xf numFmtId="179" fontId="25" fillId="11" borderId="1" xfId="28" applyNumberFormat="1" applyFont="1" applyFill="1" applyBorder="1"/>
    <xf numFmtId="0" fontId="27" fillId="5" borderId="83" xfId="27" applyFont="1" applyFill="1" applyBorder="1" applyAlignment="1">
      <alignment horizontal="center"/>
    </xf>
    <xf numFmtId="0" fontId="27" fillId="5" borderId="45" xfId="27" applyFont="1" applyFill="1" applyBorder="1"/>
    <xf numFmtId="0" fontId="27" fillId="5" borderId="0" xfId="27" applyFont="1" applyFill="1"/>
    <xf numFmtId="0" fontId="27" fillId="5" borderId="46" xfId="27" applyFont="1" applyFill="1" applyBorder="1"/>
    <xf numFmtId="0" fontId="27" fillId="5" borderId="4" xfId="27" applyFont="1" applyFill="1" applyBorder="1" applyAlignment="1">
      <alignment horizontal="center" vertical="center"/>
    </xf>
    <xf numFmtId="179" fontId="27" fillId="5" borderId="4" xfId="28" applyNumberFormat="1" applyFont="1" applyFill="1" applyBorder="1"/>
    <xf numFmtId="0" fontId="27" fillId="11" borderId="86" xfId="27" applyFont="1" applyFill="1" applyBorder="1" applyAlignment="1">
      <alignment horizontal="center"/>
    </xf>
    <xf numFmtId="0" fontId="27" fillId="11" borderId="87" xfId="27" applyFont="1" applyFill="1" applyBorder="1"/>
    <xf numFmtId="0" fontId="27" fillId="11" borderId="39" xfId="27" applyFont="1" applyFill="1" applyBorder="1"/>
    <xf numFmtId="0" fontId="27" fillId="11" borderId="85" xfId="27" applyFont="1" applyFill="1" applyBorder="1"/>
    <xf numFmtId="0" fontId="27" fillId="11" borderId="88" xfId="27" applyFont="1" applyFill="1" applyBorder="1" applyAlignment="1">
      <alignment horizontal="center"/>
    </xf>
    <xf numFmtId="179" fontId="27" fillId="0" borderId="88" xfId="28" applyNumberFormat="1" applyFont="1" applyFill="1" applyBorder="1"/>
    <xf numFmtId="179" fontId="27" fillId="11" borderId="88" xfId="28" applyNumberFormat="1" applyFont="1" applyFill="1" applyBorder="1"/>
    <xf numFmtId="0" fontId="25" fillId="11" borderId="23" xfId="27" quotePrefix="1" applyFont="1" applyFill="1" applyBorder="1"/>
    <xf numFmtId="0" fontId="25" fillId="11" borderId="88" xfId="27" applyFont="1" applyFill="1" applyBorder="1" applyAlignment="1">
      <alignment horizontal="center"/>
    </xf>
    <xf numFmtId="0" fontId="25" fillId="11" borderId="89" xfId="27" applyFont="1" applyFill="1" applyBorder="1" applyAlignment="1">
      <alignment horizontal="center"/>
    </xf>
    <xf numFmtId="0" fontId="25" fillId="11" borderId="90" xfId="27" applyFont="1" applyFill="1" applyBorder="1"/>
    <xf numFmtId="0" fontId="25" fillId="11" borderId="23" xfId="27" applyFont="1" applyFill="1" applyBorder="1"/>
    <xf numFmtId="0" fontId="25" fillId="11" borderId="91" xfId="27" applyFont="1" applyFill="1" applyBorder="1" applyAlignment="1">
      <alignment horizontal="center"/>
    </xf>
    <xf numFmtId="0" fontId="25" fillId="11" borderId="39" xfId="27" quotePrefix="1" applyFont="1" applyFill="1" applyBorder="1"/>
    <xf numFmtId="0" fontId="25" fillId="11" borderId="85" xfId="27" quotePrefix="1" applyFont="1" applyFill="1" applyBorder="1"/>
    <xf numFmtId="0" fontId="25" fillId="11" borderId="92" xfId="27" applyFont="1" applyFill="1" applyBorder="1"/>
    <xf numFmtId="179" fontId="25" fillId="11" borderId="91" xfId="28" applyNumberFormat="1" applyFont="1" applyFill="1" applyBorder="1"/>
    <xf numFmtId="0" fontId="27" fillId="11" borderId="91" xfId="27" applyFont="1" applyFill="1" applyBorder="1" applyAlignment="1">
      <alignment horizontal="center"/>
    </xf>
    <xf numFmtId="0" fontId="25" fillId="11" borderId="93" xfId="27" applyFont="1" applyFill="1" applyBorder="1" applyAlignment="1">
      <alignment horizontal="center"/>
    </xf>
    <xf numFmtId="0" fontId="25" fillId="11" borderId="94" xfId="27" applyFont="1" applyFill="1" applyBorder="1"/>
    <xf numFmtId="0" fontId="25" fillId="11" borderId="31" xfId="27" applyFont="1" applyFill="1" applyBorder="1"/>
    <xf numFmtId="0" fontId="25" fillId="11" borderId="95" xfId="27" applyFont="1" applyFill="1" applyBorder="1"/>
    <xf numFmtId="0" fontId="25" fillId="11" borderId="96" xfId="27" applyFont="1" applyFill="1" applyBorder="1"/>
    <xf numFmtId="179" fontId="25" fillId="11" borderId="96" xfId="28" applyNumberFormat="1" applyFont="1" applyFill="1" applyBorder="1"/>
    <xf numFmtId="179" fontId="27" fillId="11" borderId="97" xfId="28" applyNumberFormat="1" applyFont="1" applyFill="1" applyBorder="1"/>
    <xf numFmtId="0" fontId="25" fillId="11" borderId="0" xfId="27" applyFont="1" applyFill="1" applyAlignment="1">
      <alignment horizontal="center"/>
    </xf>
    <xf numFmtId="0" fontId="25" fillId="11" borderId="0" xfId="27" applyFont="1" applyFill="1"/>
    <xf numFmtId="179" fontId="25" fillId="11" borderId="0" xfId="28" applyNumberFormat="1" applyFont="1" applyFill="1" applyBorder="1"/>
    <xf numFmtId="179" fontId="27" fillId="11" borderId="0" xfId="28" applyNumberFormat="1" applyFont="1" applyFill="1" applyBorder="1"/>
    <xf numFmtId="0" fontId="25" fillId="0" borderId="0" xfId="29" applyFont="1"/>
    <xf numFmtId="0" fontId="25" fillId="11" borderId="0" xfId="29" applyFont="1" applyFill="1" applyAlignment="1">
      <alignment horizontal="right"/>
    </xf>
    <xf numFmtId="0" fontId="27" fillId="35" borderId="82" xfId="29" quotePrefix="1" applyFont="1" applyFill="1" applyBorder="1" applyAlignment="1">
      <alignment horizontal="center"/>
    </xf>
    <xf numFmtId="0" fontId="27" fillId="35" borderId="34" xfId="29" applyFont="1" applyFill="1" applyBorder="1" applyAlignment="1">
      <alignment horizontal="center"/>
    </xf>
    <xf numFmtId="0" fontId="27" fillId="35" borderId="4" xfId="30" applyNumberFormat="1" applyFont="1" applyFill="1" applyBorder="1" applyAlignment="1">
      <alignment horizontal="center" vertical="center"/>
    </xf>
    <xf numFmtId="179" fontId="27" fillId="35" borderId="4" xfId="30" applyNumberFormat="1" applyFont="1" applyFill="1" applyBorder="1" applyAlignment="1">
      <alignment horizontal="center" vertical="center"/>
    </xf>
    <xf numFmtId="0" fontId="27" fillId="35" borderId="4" xfId="29" applyFont="1" applyFill="1" applyBorder="1" applyAlignment="1">
      <alignment horizontal="center" vertical="center"/>
    </xf>
    <xf numFmtId="0" fontId="27" fillId="35" borderId="84" xfId="29" applyFont="1" applyFill="1" applyBorder="1" applyAlignment="1">
      <alignment horizontal="center" vertical="center"/>
    </xf>
    <xf numFmtId="0" fontId="27" fillId="35" borderId="1" xfId="29" applyFont="1" applyFill="1" applyBorder="1" applyAlignment="1">
      <alignment horizontal="center" vertical="center"/>
    </xf>
    <xf numFmtId="0" fontId="27" fillId="35" borderId="1" xfId="30" applyNumberFormat="1" applyFont="1" applyFill="1" applyBorder="1" applyAlignment="1">
      <alignment horizontal="center"/>
    </xf>
    <xf numFmtId="0" fontId="27" fillId="11" borderId="83" xfId="29" applyFont="1" applyFill="1" applyBorder="1" applyAlignment="1">
      <alignment horizontal="center"/>
    </xf>
    <xf numFmtId="0" fontId="27" fillId="11" borderId="45" xfId="29" applyFont="1" applyFill="1" applyBorder="1"/>
    <xf numFmtId="0" fontId="27" fillId="11" borderId="0" xfId="29" applyFont="1" applyFill="1"/>
    <xf numFmtId="0" fontId="27" fillId="11" borderId="46" xfId="29" applyFont="1" applyFill="1" applyBorder="1"/>
    <xf numFmtId="0" fontId="27" fillId="11" borderId="4" xfId="29" applyFont="1" applyFill="1" applyBorder="1" applyAlignment="1">
      <alignment horizontal="center" vertical="center"/>
    </xf>
    <xf numFmtId="179" fontId="27" fillId="11" borderId="4" xfId="30" applyNumberFormat="1" applyFont="1" applyFill="1" applyBorder="1"/>
    <xf numFmtId="0" fontId="25" fillId="11" borderId="86" xfId="29" applyFont="1" applyFill="1" applyBorder="1" applyAlignment="1">
      <alignment horizontal="center"/>
    </xf>
    <xf numFmtId="0" fontId="25" fillId="11" borderId="87" xfId="29" applyFont="1" applyFill="1" applyBorder="1"/>
    <xf numFmtId="0" fontId="25" fillId="11" borderId="39" xfId="29" applyFont="1" applyFill="1" applyBorder="1"/>
    <xf numFmtId="0" fontId="25" fillId="11" borderId="85" xfId="29" applyFont="1" applyFill="1" applyBorder="1"/>
    <xf numFmtId="0" fontId="25" fillId="11" borderId="88" xfId="29" applyFont="1" applyFill="1" applyBorder="1" applyAlignment="1">
      <alignment horizontal="center" vertical="center"/>
    </xf>
    <xf numFmtId="179" fontId="25" fillId="0" borderId="88" xfId="30" applyNumberFormat="1" applyFont="1" applyFill="1" applyBorder="1"/>
    <xf numFmtId="179" fontId="25" fillId="11" borderId="88" xfId="30" applyNumberFormat="1" applyFont="1" applyFill="1" applyBorder="1"/>
    <xf numFmtId="0" fontId="25" fillId="11" borderId="86" xfId="29" applyFont="1" applyFill="1" applyBorder="1"/>
    <xf numFmtId="0" fontId="25" fillId="0" borderId="85" xfId="29" applyFont="1" applyBorder="1"/>
    <xf numFmtId="179" fontId="25" fillId="11" borderId="85" xfId="30" applyNumberFormat="1" applyFont="1" applyFill="1" applyBorder="1"/>
    <xf numFmtId="179" fontId="25" fillId="11" borderId="85" xfId="29" applyNumberFormat="1" applyFont="1" applyFill="1" applyBorder="1"/>
    <xf numFmtId="0" fontId="25" fillId="11" borderId="83" xfId="29" applyFont="1" applyFill="1" applyBorder="1" applyAlignment="1">
      <alignment horizontal="center"/>
    </xf>
    <xf numFmtId="0" fontId="25" fillId="11" borderId="45" xfId="29" applyFont="1" applyFill="1" applyBorder="1"/>
    <xf numFmtId="0" fontId="25" fillId="11" borderId="46" xfId="29" applyFont="1" applyFill="1" applyBorder="1"/>
    <xf numFmtId="0" fontId="25" fillId="11" borderId="4" xfId="29" applyFont="1" applyFill="1" applyBorder="1" applyAlignment="1">
      <alignment horizontal="center" vertical="center"/>
    </xf>
    <xf numFmtId="179" fontId="25" fillId="0" borderId="4" xfId="30" applyNumberFormat="1" applyFont="1" applyFill="1" applyBorder="1"/>
    <xf numFmtId="179" fontId="25" fillId="11" borderId="4" xfId="30" applyNumberFormat="1" applyFont="1" applyFill="1" applyBorder="1"/>
    <xf numFmtId="0" fontId="25" fillId="11" borderId="84" xfId="29" applyFont="1" applyFill="1" applyBorder="1" applyAlignment="1">
      <alignment horizontal="center"/>
    </xf>
    <xf numFmtId="0" fontId="25" fillId="11" borderId="6" xfId="29" applyFont="1" applyFill="1" applyBorder="1"/>
    <xf numFmtId="0" fontId="25" fillId="11" borderId="7" xfId="29" applyFont="1" applyFill="1" applyBorder="1"/>
    <xf numFmtId="0" fontId="25" fillId="11" borderId="8" xfId="29" applyFont="1" applyFill="1" applyBorder="1"/>
    <xf numFmtId="0" fontId="25" fillId="11" borderId="1" xfId="29" applyFont="1" applyFill="1" applyBorder="1" applyAlignment="1">
      <alignment horizontal="center" vertical="center"/>
    </xf>
    <xf numFmtId="179" fontId="25" fillId="0" borderId="1" xfId="30" applyNumberFormat="1" applyFont="1" applyFill="1" applyBorder="1"/>
    <xf numFmtId="179" fontId="25" fillId="11" borderId="1" xfId="30" applyNumberFormat="1" applyFont="1" applyFill="1" applyBorder="1"/>
    <xf numFmtId="0" fontId="27" fillId="5" borderId="83" xfId="29" applyFont="1" applyFill="1" applyBorder="1" applyAlignment="1">
      <alignment horizontal="center"/>
    </xf>
    <xf numFmtId="0" fontId="27" fillId="5" borderId="45" xfId="29" applyFont="1" applyFill="1" applyBorder="1"/>
    <xf numFmtId="0" fontId="27" fillId="5" borderId="0" xfId="29" applyFont="1" applyFill="1"/>
    <xf numFmtId="0" fontId="27" fillId="5" borderId="46" xfId="29" applyFont="1" applyFill="1" applyBorder="1"/>
    <xf numFmtId="0" fontId="27" fillId="5" borderId="4" xfId="29" applyFont="1" applyFill="1" applyBorder="1" applyAlignment="1">
      <alignment horizontal="center" vertical="center"/>
    </xf>
    <xf numFmtId="179" fontId="27" fillId="5" borderId="4" xfId="30" applyNumberFormat="1" applyFont="1" applyFill="1" applyBorder="1"/>
    <xf numFmtId="179" fontId="25" fillId="5" borderId="0" xfId="0" applyNumberFormat="1" applyFont="1" applyFill="1"/>
    <xf numFmtId="0" fontId="27" fillId="11" borderId="86" xfId="29" applyFont="1" applyFill="1" applyBorder="1" applyAlignment="1">
      <alignment horizontal="center"/>
    </xf>
    <xf numFmtId="0" fontId="27" fillId="11" borderId="87" xfId="29" applyFont="1" applyFill="1" applyBorder="1"/>
    <xf numFmtId="0" fontId="27" fillId="11" borderId="39" xfId="29" applyFont="1" applyFill="1" applyBorder="1"/>
    <xf numFmtId="0" fontId="27" fillId="11" borderId="85" xfId="29" applyFont="1" applyFill="1" applyBorder="1"/>
    <xf numFmtId="0" fontId="27" fillId="11" borderId="88" xfId="29" applyFont="1" applyFill="1" applyBorder="1" applyAlignment="1">
      <alignment horizontal="center"/>
    </xf>
    <xf numFmtId="179" fontId="27" fillId="0" borderId="88" xfId="30" applyNumberFormat="1" applyFont="1" applyFill="1" applyBorder="1"/>
    <xf numFmtId="179" fontId="27" fillId="11" borderId="88" xfId="30" applyNumberFormat="1" applyFont="1" applyFill="1" applyBorder="1"/>
    <xf numFmtId="0" fontId="25" fillId="11" borderId="23" xfId="29" quotePrefix="1" applyFont="1" applyFill="1" applyBorder="1"/>
    <xf numFmtId="0" fontId="25" fillId="11" borderId="88" xfId="29" applyFont="1" applyFill="1" applyBorder="1" applyAlignment="1">
      <alignment horizontal="center"/>
    </xf>
    <xf numFmtId="0" fontId="25" fillId="11" borderId="89" xfId="29" applyFont="1" applyFill="1" applyBorder="1" applyAlignment="1">
      <alignment horizontal="center"/>
    </xf>
    <xf numFmtId="0" fontId="25" fillId="11" borderId="90" xfId="29" applyFont="1" applyFill="1" applyBorder="1"/>
    <xf numFmtId="0" fontId="25" fillId="11" borderId="23" xfId="29" applyFont="1" applyFill="1" applyBorder="1"/>
    <xf numFmtId="0" fontId="25" fillId="11" borderId="91" xfId="29" applyFont="1" applyFill="1" applyBorder="1" applyAlignment="1">
      <alignment horizontal="center"/>
    </xf>
    <xf numFmtId="0" fontId="25" fillId="11" borderId="39" xfId="29" quotePrefix="1" applyFont="1" applyFill="1" applyBorder="1"/>
    <xf numFmtId="0" fontId="25" fillId="11" borderId="85" xfId="29" quotePrefix="1" applyFont="1" applyFill="1" applyBorder="1"/>
    <xf numFmtId="0" fontId="25" fillId="11" borderId="92" xfId="29" applyFont="1" applyFill="1" applyBorder="1"/>
    <xf numFmtId="179" fontId="25" fillId="11" borderId="91" xfId="30" applyNumberFormat="1" applyFont="1" applyFill="1" applyBorder="1"/>
    <xf numFmtId="0" fontId="27" fillId="11" borderId="91" xfId="29" applyFont="1" applyFill="1" applyBorder="1" applyAlignment="1">
      <alignment horizontal="center"/>
    </xf>
    <xf numFmtId="9" fontId="27" fillId="11" borderId="85" xfId="18" applyFont="1" applyFill="1" applyBorder="1" applyAlignment="1">
      <alignment horizontal="center"/>
    </xf>
    <xf numFmtId="0" fontId="25" fillId="11" borderId="93" xfId="29" applyFont="1" applyFill="1" applyBorder="1" applyAlignment="1">
      <alignment horizontal="center"/>
    </xf>
    <xf numFmtId="0" fontId="25" fillId="11" borderId="94" xfId="29" applyFont="1" applyFill="1" applyBorder="1"/>
    <xf numFmtId="0" fontId="25" fillId="11" borderId="31" xfId="29" applyFont="1" applyFill="1" applyBorder="1"/>
    <xf numFmtId="0" fontId="25" fillId="11" borderId="95" xfId="29" applyFont="1" applyFill="1" applyBorder="1"/>
    <xf numFmtId="0" fontId="25" fillId="11" borderId="96" xfId="29" applyFont="1" applyFill="1" applyBorder="1"/>
    <xf numFmtId="179" fontId="25" fillId="11" borderId="96" xfId="30" applyNumberFormat="1" applyFont="1" applyFill="1" applyBorder="1"/>
    <xf numFmtId="179" fontId="27" fillId="11" borderId="97" xfId="30" applyNumberFormat="1" applyFont="1" applyFill="1" applyBorder="1"/>
    <xf numFmtId="0" fontId="27" fillId="33" borderId="1" xfId="0" applyFont="1" applyFill="1" applyBorder="1" applyAlignment="1">
      <alignment horizontal="center" vertical="center"/>
    </xf>
    <xf numFmtId="0" fontId="25" fillId="0" borderId="1" xfId="0" applyFont="1" applyBorder="1"/>
    <xf numFmtId="9" fontId="25" fillId="0" borderId="1" xfId="14" applyNumberFormat="1" applyFont="1" applyBorder="1"/>
    <xf numFmtId="9" fontId="25" fillId="36" borderId="1" xfId="14" applyNumberFormat="1" applyFont="1" applyFill="1" applyBorder="1"/>
    <xf numFmtId="0" fontId="25" fillId="0" borderId="46" xfId="0" applyFont="1" applyBorder="1" applyAlignment="1">
      <alignment horizontal="center"/>
    </xf>
    <xf numFmtId="178" fontId="25" fillId="0" borderId="0" xfId="14" applyNumberFormat="1" applyFont="1" applyBorder="1"/>
    <xf numFmtId="9" fontId="25" fillId="0" borderId="0" xfId="14" applyNumberFormat="1" applyFont="1" applyBorder="1"/>
    <xf numFmtId="9" fontId="25" fillId="0" borderId="80" xfId="14" applyNumberFormat="1" applyFont="1" applyBorder="1"/>
    <xf numFmtId="9" fontId="25" fillId="36" borderId="1" xfId="18" applyFont="1" applyFill="1" applyBorder="1"/>
    <xf numFmtId="10" fontId="25" fillId="0" borderId="0" xfId="0" applyNumberFormat="1" applyFont="1"/>
    <xf numFmtId="0" fontId="25" fillId="5" borderId="0" xfId="0" applyFont="1" applyFill="1"/>
    <xf numFmtId="178" fontId="25" fillId="5" borderId="0" xfId="14" applyNumberFormat="1" applyFont="1" applyFill="1" applyBorder="1"/>
    <xf numFmtId="178" fontId="25" fillId="5" borderId="0" xfId="0" applyNumberFormat="1" applyFont="1" applyFill="1"/>
    <xf numFmtId="178" fontId="27" fillId="33" borderId="1" xfId="14" applyNumberFormat="1" applyFont="1" applyFill="1" applyBorder="1" applyAlignment="1">
      <alignment horizontal="center"/>
    </xf>
    <xf numFmtId="9" fontId="25" fillId="0" borderId="0" xfId="18" applyFont="1" applyBorder="1"/>
    <xf numFmtId="0" fontId="2" fillId="0" borderId="30" xfId="0" applyFont="1" applyBorder="1" applyAlignment="1">
      <alignment vertical="center"/>
    </xf>
    <xf numFmtId="0" fontId="2" fillId="0" borderId="31" xfId="0" applyFont="1" applyBorder="1" applyAlignment="1">
      <alignment vertical="center"/>
    </xf>
    <xf numFmtId="0" fontId="2" fillId="0" borderId="98" xfId="0" applyFont="1" applyBorder="1" applyAlignment="1">
      <alignment vertical="center"/>
    </xf>
    <xf numFmtId="0" fontId="25" fillId="0" borderId="2" xfId="0" applyFont="1" applyBorder="1" applyAlignment="1">
      <alignment vertical="center"/>
    </xf>
    <xf numFmtId="0" fontId="25" fillId="0" borderId="16" xfId="0" applyFont="1" applyBorder="1" applyAlignment="1">
      <alignment vertical="center"/>
    </xf>
    <xf numFmtId="0" fontId="25" fillId="0" borderId="79" xfId="0" applyFont="1" applyBorder="1" applyAlignment="1">
      <alignment vertical="center"/>
    </xf>
    <xf numFmtId="0" fontId="25" fillId="0" borderId="19" xfId="0" applyFont="1" applyBorder="1" applyAlignment="1">
      <alignment vertical="center"/>
    </xf>
    <xf numFmtId="0" fontId="25" fillId="0" borderId="80" xfId="0" applyFont="1" applyBorder="1" applyAlignment="1">
      <alignment vertical="center"/>
    </xf>
    <xf numFmtId="0" fontId="25" fillId="0" borderId="0" xfId="0" applyFont="1" applyAlignment="1">
      <alignment horizontal="left" vertical="center" wrapText="1"/>
    </xf>
    <xf numFmtId="0" fontId="25" fillId="33" borderId="1" xfId="0" applyFont="1" applyFill="1" applyBorder="1" applyAlignment="1">
      <alignment horizontal="center" vertical="center"/>
    </xf>
    <xf numFmtId="9" fontId="25" fillId="0" borderId="0" xfId="0" applyNumberFormat="1" applyFont="1" applyAlignment="1">
      <alignment vertical="center"/>
    </xf>
    <xf numFmtId="0" fontId="25" fillId="0" borderId="1" xfId="0" applyFont="1" applyBorder="1" applyAlignment="1">
      <alignment horizontal="center" vertical="center"/>
    </xf>
    <xf numFmtId="0" fontId="25" fillId="0" borderId="1" xfId="0" applyFont="1" applyBorder="1" applyAlignment="1">
      <alignment vertical="center"/>
    </xf>
    <xf numFmtId="1" fontId="25" fillId="0" borderId="1" xfId="0" applyNumberFormat="1" applyFont="1" applyBorder="1" applyAlignment="1">
      <alignment vertical="center"/>
    </xf>
    <xf numFmtId="182" fontId="25" fillId="0" borderId="1" xfId="1" applyNumberFormat="1" applyFont="1" applyBorder="1" applyAlignment="1">
      <alignment vertical="center"/>
    </xf>
    <xf numFmtId="0" fontId="27" fillId="0" borderId="1" xfId="0" applyFont="1" applyBorder="1" applyAlignment="1">
      <alignment horizontal="center" vertical="center"/>
    </xf>
    <xf numFmtId="1" fontId="27" fillId="0" borderId="1" xfId="0" applyNumberFormat="1" applyFont="1" applyBorder="1" applyAlignment="1">
      <alignment vertical="center"/>
    </xf>
    <xf numFmtId="9" fontId="27" fillId="0" borderId="1" xfId="1" applyFont="1" applyBorder="1" applyAlignment="1">
      <alignment vertical="center"/>
    </xf>
    <xf numFmtId="0" fontId="25" fillId="33" borderId="1" xfId="0" applyFont="1" applyFill="1" applyBorder="1" applyAlignment="1">
      <alignment horizontal="center" vertical="center" wrapText="1"/>
    </xf>
    <xf numFmtId="9" fontId="25" fillId="0" borderId="1" xfId="1" applyFont="1" applyBorder="1" applyAlignment="1">
      <alignment horizontal="center" vertical="center"/>
    </xf>
    <xf numFmtId="9" fontId="25" fillId="0" borderId="1" xfId="0" applyNumberFormat="1" applyFont="1" applyBorder="1" applyAlignment="1">
      <alignment vertical="center"/>
    </xf>
    <xf numFmtId="1" fontId="27" fillId="0" borderId="1" xfId="0" applyNumberFormat="1" applyFont="1" applyBorder="1" applyAlignment="1">
      <alignment horizontal="center" vertical="center"/>
    </xf>
    <xf numFmtId="9" fontId="27" fillId="0" borderId="1" xfId="0" applyNumberFormat="1" applyFont="1" applyBorder="1" applyAlignment="1">
      <alignment horizontal="center" vertical="center"/>
    </xf>
    <xf numFmtId="9" fontId="27" fillId="0" borderId="1" xfId="0" applyNumberFormat="1" applyFont="1" applyBorder="1" applyAlignment="1">
      <alignment vertical="center"/>
    </xf>
    <xf numFmtId="0" fontId="25" fillId="0" borderId="19" xfId="0" applyFont="1" applyBorder="1" applyAlignment="1">
      <alignment vertical="center" wrapText="1"/>
    </xf>
    <xf numFmtId="0" fontId="25" fillId="0" borderId="0" xfId="0" applyFont="1" applyAlignment="1">
      <alignment vertical="center" wrapText="1"/>
    </xf>
    <xf numFmtId="0" fontId="25" fillId="0" borderId="80" xfId="0" applyFont="1" applyBorder="1" applyAlignment="1">
      <alignment vertical="center" wrapText="1"/>
    </xf>
    <xf numFmtId="10" fontId="25" fillId="0" borderId="1" xfId="1" applyNumberFormat="1" applyFont="1" applyBorder="1" applyAlignment="1">
      <alignment vertical="center"/>
    </xf>
    <xf numFmtId="182" fontId="25" fillId="0" borderId="1" xfId="0" applyNumberFormat="1" applyFont="1" applyBorder="1" applyAlignment="1">
      <alignment vertical="center"/>
    </xf>
    <xf numFmtId="0" fontId="27" fillId="0" borderId="1" xfId="0" applyFont="1" applyBorder="1" applyAlignment="1">
      <alignment vertical="center"/>
    </xf>
    <xf numFmtId="9" fontId="25" fillId="0" borderId="0" xfId="0" applyNumberFormat="1" applyFont="1" applyAlignment="1">
      <alignment horizontal="center" vertical="center"/>
    </xf>
    <xf numFmtId="0" fontId="25" fillId="33" borderId="99" xfId="0" applyFont="1" applyFill="1" applyBorder="1" applyAlignment="1">
      <alignment horizontal="center" vertical="center"/>
    </xf>
    <xf numFmtId="0" fontId="25" fillId="0" borderId="99" xfId="0" applyFont="1" applyBorder="1" applyAlignment="1">
      <alignment horizontal="center" vertical="center"/>
    </xf>
    <xf numFmtId="0" fontId="25" fillId="0" borderId="100" xfId="0" applyFont="1" applyBorder="1" applyAlignment="1">
      <alignment horizontal="center" vertical="center"/>
    </xf>
    <xf numFmtId="9" fontId="25" fillId="0" borderId="1" xfId="0" applyNumberFormat="1" applyFont="1" applyBorder="1" applyAlignment="1">
      <alignment horizontal="center" vertical="center"/>
    </xf>
    <xf numFmtId="0" fontId="27" fillId="0" borderId="19" xfId="0" applyFont="1" applyBorder="1" applyAlignment="1">
      <alignment vertical="center"/>
    </xf>
    <xf numFmtId="9" fontId="27" fillId="0" borderId="0" xfId="0" applyNumberFormat="1" applyFont="1" applyAlignment="1">
      <alignment horizontal="left" vertical="center"/>
    </xf>
    <xf numFmtId="9" fontId="27" fillId="0" borderId="0" xfId="0" applyNumberFormat="1" applyFont="1" applyAlignment="1">
      <alignment horizontal="center" vertical="center"/>
    </xf>
    <xf numFmtId="0" fontId="27" fillId="0" borderId="0" xfId="0" applyFont="1" applyAlignment="1">
      <alignment horizontal="center" vertical="center"/>
    </xf>
    <xf numFmtId="9" fontId="27" fillId="0" borderId="0" xfId="0" applyNumberFormat="1" applyFont="1" applyAlignment="1">
      <alignment vertical="center"/>
    </xf>
    <xf numFmtId="0" fontId="27" fillId="0" borderId="80"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98" xfId="0" applyFont="1" applyBorder="1" applyAlignment="1">
      <alignment vertical="center"/>
    </xf>
    <xf numFmtId="0" fontId="25" fillId="0" borderId="101" xfId="0" applyFont="1" applyBorder="1" applyAlignment="1">
      <alignment vertical="center"/>
    </xf>
    <xf numFmtId="0" fontId="85" fillId="0" borderId="102" xfId="0" applyFont="1" applyBorder="1" applyAlignment="1">
      <alignment vertical="center"/>
    </xf>
    <xf numFmtId="0" fontId="25" fillId="0" borderId="102" xfId="0" applyFont="1" applyBorder="1" applyAlignment="1">
      <alignment vertical="center"/>
    </xf>
    <xf numFmtId="0" fontId="25" fillId="0" borderId="103" xfId="0" applyFont="1" applyBorder="1" applyAlignment="1">
      <alignment vertical="center"/>
    </xf>
    <xf numFmtId="0" fontId="91" fillId="0" borderId="16" xfId="0" applyFont="1" applyBorder="1" applyAlignment="1">
      <alignment vertical="center"/>
    </xf>
    <xf numFmtId="0" fontId="25" fillId="0" borderId="104" xfId="0" applyFont="1" applyBorder="1" applyAlignment="1">
      <alignment vertical="center"/>
    </xf>
    <xf numFmtId="0" fontId="25" fillId="0" borderId="105" xfId="0" applyFont="1" applyBorder="1" applyAlignment="1">
      <alignment vertical="center"/>
    </xf>
    <xf numFmtId="0" fontId="27" fillId="33" borderId="1" xfId="0" applyFont="1" applyFill="1" applyBorder="1" applyAlignment="1">
      <alignment horizontal="center" vertical="center" wrapText="1"/>
    </xf>
    <xf numFmtId="10" fontId="25" fillId="0" borderId="1" xfId="0" applyNumberFormat="1" applyFont="1" applyBorder="1" applyAlignment="1">
      <alignment horizontal="center" vertical="center"/>
    </xf>
    <xf numFmtId="179" fontId="25" fillId="0" borderId="1" xfId="14" applyNumberFormat="1" applyFont="1" applyFill="1" applyBorder="1" applyAlignment="1">
      <alignment vertical="center"/>
    </xf>
    <xf numFmtId="182" fontId="27" fillId="0" borderId="1" xfId="0" applyNumberFormat="1" applyFont="1" applyBorder="1" applyAlignment="1">
      <alignment horizontal="center" vertical="center" wrapText="1"/>
    </xf>
    <xf numFmtId="10" fontId="27" fillId="0" borderId="1" xfId="0" applyNumberFormat="1" applyFont="1" applyBorder="1" applyAlignment="1">
      <alignment horizontal="center" vertical="center" wrapText="1"/>
    </xf>
    <xf numFmtId="0" fontId="25" fillId="0" borderId="106" xfId="0" applyFont="1" applyBorder="1" applyAlignment="1">
      <alignment vertical="center"/>
    </xf>
    <xf numFmtId="0" fontId="85" fillId="0" borderId="107" xfId="0" applyFont="1" applyBorder="1" applyAlignment="1">
      <alignment vertical="center"/>
    </xf>
    <xf numFmtId="0" fontId="25" fillId="0" borderId="107" xfId="0" applyFont="1" applyBorder="1" applyAlignment="1">
      <alignment vertical="center"/>
    </xf>
    <xf numFmtId="0" fontId="25" fillId="0" borderId="108" xfId="0" applyFont="1" applyBorder="1" applyAlignment="1">
      <alignment vertical="center"/>
    </xf>
    <xf numFmtId="0" fontId="25" fillId="0" borderId="109" xfId="0" applyFont="1" applyBorder="1" applyAlignment="1">
      <alignment vertical="center"/>
    </xf>
    <xf numFmtId="0" fontId="25" fillId="0" borderId="110" xfId="0" applyFont="1" applyBorder="1" applyAlignment="1">
      <alignment vertical="center"/>
    </xf>
    <xf numFmtId="0" fontId="27" fillId="0" borderId="0" xfId="0" applyFont="1" applyAlignment="1">
      <alignment horizontal="center" vertical="center" wrapText="1"/>
    </xf>
    <xf numFmtId="0" fontId="27" fillId="0" borderId="0" xfId="0" applyFont="1" applyAlignment="1">
      <alignment horizontal="left" vertical="center"/>
    </xf>
    <xf numFmtId="0" fontId="27" fillId="0" borderId="0" xfId="0" applyFont="1" applyAlignment="1">
      <alignment vertical="center" wrapText="1"/>
    </xf>
    <xf numFmtId="0" fontId="38" fillId="0" borderId="0" xfId="0" applyFont="1" applyAlignment="1">
      <alignment vertical="center"/>
    </xf>
    <xf numFmtId="0" fontId="25" fillId="0" borderId="111" xfId="0" applyFont="1" applyBorder="1" applyAlignment="1">
      <alignment vertical="center"/>
    </xf>
    <xf numFmtId="0" fontId="25" fillId="0" borderId="112" xfId="0" applyFont="1" applyBorder="1" applyAlignment="1">
      <alignment vertical="center"/>
    </xf>
    <xf numFmtId="0" fontId="25" fillId="0" borderId="113" xfId="0" applyFont="1" applyBorder="1" applyAlignment="1">
      <alignment vertical="center"/>
    </xf>
    <xf numFmtId="0" fontId="25" fillId="0" borderId="19" xfId="0" applyFont="1" applyBorder="1" applyAlignment="1">
      <alignment horizontal="center" vertical="center"/>
    </xf>
    <xf numFmtId="0" fontId="25" fillId="0" borderId="0" xfId="12" applyFont="1" applyAlignment="1">
      <alignment horizontal="center" vertical="center"/>
    </xf>
    <xf numFmtId="0" fontId="27" fillId="33" borderId="1" xfId="12" applyFont="1" applyFill="1" applyBorder="1" applyAlignment="1">
      <alignment horizontal="center" vertical="center" wrapText="1"/>
    </xf>
    <xf numFmtId="0" fontId="27" fillId="33" borderId="1" xfId="12" applyFont="1" applyFill="1" applyBorder="1" applyAlignment="1">
      <alignment horizontal="center" vertical="center"/>
    </xf>
    <xf numFmtId="0" fontId="25" fillId="0" borderId="0" xfId="12" applyFont="1" applyAlignment="1">
      <alignment horizontal="center" vertical="center" wrapText="1"/>
    </xf>
    <xf numFmtId="0" fontId="25" fillId="0" borderId="80" xfId="0" applyFont="1" applyBorder="1" applyAlignment="1">
      <alignment horizontal="center" vertical="center"/>
    </xf>
    <xf numFmtId="178" fontId="25" fillId="0" borderId="1" xfId="14" applyNumberFormat="1" applyFont="1" applyBorder="1" applyAlignment="1">
      <alignment vertical="center"/>
    </xf>
    <xf numFmtId="178" fontId="25" fillId="0" borderId="1" xfId="14" applyNumberFormat="1" applyFont="1" applyFill="1" applyBorder="1" applyAlignment="1">
      <alignment vertical="center"/>
    </xf>
    <xf numFmtId="178" fontId="25" fillId="0" borderId="0" xfId="14" applyNumberFormat="1" applyFont="1" applyBorder="1" applyAlignment="1">
      <alignment horizontal="center" vertical="center"/>
    </xf>
    <xf numFmtId="178" fontId="25" fillId="0" borderId="1" xfId="0" applyNumberFormat="1" applyFont="1" applyBorder="1" applyAlignment="1">
      <alignment vertical="center"/>
    </xf>
    <xf numFmtId="178" fontId="27" fillId="0" borderId="1" xfId="14" applyNumberFormat="1" applyFont="1" applyBorder="1" applyAlignment="1">
      <alignment vertical="center"/>
    </xf>
    <xf numFmtId="43" fontId="27" fillId="0" borderId="0" xfId="14" applyFont="1" applyBorder="1" applyAlignment="1">
      <alignment vertical="center"/>
    </xf>
    <xf numFmtId="178" fontId="27" fillId="0" borderId="0" xfId="14" applyNumberFormat="1" applyFont="1" applyBorder="1" applyAlignment="1">
      <alignment vertical="center"/>
    </xf>
    <xf numFmtId="43" fontId="25" fillId="0" borderId="0" xfId="14" applyFont="1" applyBorder="1" applyAlignment="1">
      <alignment vertical="center"/>
    </xf>
    <xf numFmtId="0" fontId="27" fillId="0" borderId="0" xfId="0" applyFont="1" applyAlignment="1">
      <alignment horizontal="right" vertical="center"/>
    </xf>
    <xf numFmtId="9" fontId="27" fillId="0" borderId="0" xfId="1" applyFont="1" applyBorder="1" applyAlignment="1">
      <alignment vertical="center"/>
    </xf>
    <xf numFmtId="178" fontId="25" fillId="0" borderId="0" xfId="14" applyNumberFormat="1" applyFont="1" applyBorder="1" applyAlignment="1">
      <alignment vertical="center"/>
    </xf>
    <xf numFmtId="0" fontId="27" fillId="0" borderId="1" xfId="12" applyFont="1" applyBorder="1" applyAlignment="1">
      <alignment horizontal="center" vertical="center"/>
    </xf>
    <xf numFmtId="0" fontId="27" fillId="9" borderId="1" xfId="12"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37" borderId="1" xfId="12" applyFont="1" applyFill="1" applyBorder="1" applyAlignment="1">
      <alignment horizontal="center" vertical="center" wrapText="1"/>
    </xf>
    <xf numFmtId="0" fontId="27" fillId="37" borderId="1" xfId="0" applyFont="1" applyFill="1" applyBorder="1" applyAlignment="1">
      <alignment horizontal="center" vertical="center" wrapText="1"/>
    </xf>
    <xf numFmtId="0" fontId="27" fillId="37" borderId="1" xfId="0" applyFont="1" applyFill="1" applyBorder="1" applyAlignment="1">
      <alignment horizontal="center" vertical="center"/>
    </xf>
    <xf numFmtId="0" fontId="25" fillId="0" borderId="1" xfId="12" applyFont="1" applyBorder="1" applyAlignment="1">
      <alignment horizontal="center" vertical="center"/>
    </xf>
    <xf numFmtId="0" fontId="25" fillId="0" borderId="1" xfId="12" applyFont="1" applyBorder="1" applyAlignment="1">
      <alignment vertical="center"/>
    </xf>
    <xf numFmtId="2" fontId="25" fillId="0" borderId="1" xfId="0" applyNumberFormat="1" applyFont="1" applyBorder="1" applyAlignment="1">
      <alignment vertical="center"/>
    </xf>
    <xf numFmtId="0" fontId="25" fillId="6" borderId="1" xfId="0" applyFont="1" applyFill="1" applyBorder="1" applyAlignment="1">
      <alignment horizontal="center" vertical="center"/>
    </xf>
    <xf numFmtId="2" fontId="25" fillId="5" borderId="1" xfId="0" applyNumberFormat="1" applyFont="1" applyFill="1" applyBorder="1" applyAlignment="1">
      <alignment vertical="center"/>
    </xf>
    <xf numFmtId="0" fontId="25" fillId="5" borderId="1" xfId="0" applyFont="1" applyFill="1" applyBorder="1" applyAlignment="1">
      <alignment horizontal="center" vertical="center"/>
    </xf>
    <xf numFmtId="182" fontId="27" fillId="0" borderId="1" xfId="0" applyNumberFormat="1" applyFont="1" applyBorder="1" applyAlignment="1">
      <alignment vertical="center"/>
    </xf>
    <xf numFmtId="0" fontId="25" fillId="0" borderId="0" xfId="0" applyFont="1" applyAlignment="1">
      <alignment horizontal="right" vertical="center"/>
    </xf>
    <xf numFmtId="0" fontId="25" fillId="0" borderId="0" xfId="0" applyFont="1" applyAlignment="1">
      <alignment horizontal="center" vertical="center" wrapText="1"/>
    </xf>
    <xf numFmtId="0" fontId="25" fillId="5" borderId="1" xfId="0" applyFont="1" applyFill="1" applyBorder="1" applyAlignment="1">
      <alignment vertical="center"/>
    </xf>
    <xf numFmtId="0" fontId="25" fillId="38" borderId="1" xfId="12" applyFont="1" applyFill="1" applyBorder="1" applyAlignment="1">
      <alignment horizontal="center" vertical="center"/>
    </xf>
    <xf numFmtId="0" fontId="25" fillId="0" borderId="31" xfId="12" applyFont="1" applyBorder="1" applyAlignment="1">
      <alignment vertical="center" wrapText="1"/>
    </xf>
    <xf numFmtId="0" fontId="2" fillId="0" borderId="0" xfId="12" applyFont="1" applyAlignment="1">
      <alignment vertical="center"/>
    </xf>
    <xf numFmtId="0" fontId="17" fillId="39" borderId="0" xfId="12" applyFont="1" applyFill="1" applyAlignment="1">
      <alignment vertical="center"/>
    </xf>
    <xf numFmtId="0" fontId="25" fillId="39" borderId="0" xfId="12" applyFont="1" applyFill="1" applyAlignment="1">
      <alignment vertical="center"/>
    </xf>
    <xf numFmtId="0" fontId="92" fillId="11" borderId="0" xfId="12" applyFont="1" applyFill="1" applyAlignment="1">
      <alignment vertical="center"/>
    </xf>
    <xf numFmtId="0" fontId="93" fillId="11" borderId="0" xfId="12" applyFont="1" applyFill="1" applyAlignment="1">
      <alignment vertical="center"/>
    </xf>
    <xf numFmtId="0" fontId="93" fillId="11" borderId="0" xfId="0" applyFont="1" applyFill="1" applyAlignment="1">
      <alignment vertical="center"/>
    </xf>
    <xf numFmtId="0" fontId="93" fillId="0" borderId="0" xfId="0" applyFont="1" applyAlignment="1">
      <alignment vertical="center"/>
    </xf>
    <xf numFmtId="0" fontId="93" fillId="0" borderId="110" xfId="0" applyFont="1" applyBorder="1" applyAlignment="1">
      <alignment vertical="center"/>
    </xf>
    <xf numFmtId="0" fontId="93" fillId="0" borderId="0" xfId="12" applyFont="1" applyAlignment="1">
      <alignment vertical="center"/>
    </xf>
    <xf numFmtId="0" fontId="93" fillId="40" borderId="0" xfId="0" applyFont="1" applyFill="1" applyAlignment="1">
      <alignment vertical="center"/>
    </xf>
    <xf numFmtId="0" fontId="93" fillId="40" borderId="0" xfId="12" applyFont="1" applyFill="1" applyAlignment="1">
      <alignment vertical="center"/>
    </xf>
    <xf numFmtId="0" fontId="93" fillId="40" borderId="114" xfId="12" applyFont="1" applyFill="1" applyBorder="1" applyAlignment="1">
      <alignment vertical="center"/>
    </xf>
    <xf numFmtId="0" fontId="93" fillId="40" borderId="114" xfId="0" applyFont="1" applyFill="1" applyBorder="1" applyAlignment="1">
      <alignment vertical="center"/>
    </xf>
    <xf numFmtId="0" fontId="25" fillId="0" borderId="112" xfId="12" applyFont="1" applyBorder="1" applyAlignment="1">
      <alignment vertical="center" wrapText="1"/>
    </xf>
    <xf numFmtId="0" fontId="25" fillId="0" borderId="113" xfId="12" applyFont="1" applyBorder="1" applyAlignment="1">
      <alignment vertical="center" wrapText="1"/>
    </xf>
    <xf numFmtId="0" fontId="2" fillId="0" borderId="0" xfId="12" applyFont="1" applyAlignment="1">
      <alignment vertical="center" wrapText="1"/>
    </xf>
    <xf numFmtId="0" fontId="25" fillId="0" borderId="2" xfId="0" applyFont="1" applyBorder="1" applyAlignment="1">
      <alignment vertical="center" wrapText="1"/>
    </xf>
    <xf numFmtId="0" fontId="25" fillId="0" borderId="16" xfId="0" applyFont="1" applyBorder="1" applyAlignment="1">
      <alignment vertical="center" wrapText="1"/>
    </xf>
    <xf numFmtId="0" fontId="25" fillId="0" borderId="79" xfId="0" applyFont="1" applyBorder="1" applyAlignment="1">
      <alignment vertical="center" wrapText="1"/>
    </xf>
    <xf numFmtId="0" fontId="2" fillId="0" borderId="0" xfId="0" applyFont="1" applyAlignment="1">
      <alignment vertical="center" wrapText="1"/>
    </xf>
    <xf numFmtId="0" fontId="23" fillId="0" borderId="0" xfId="0" applyFont="1" applyAlignment="1">
      <alignment horizontal="center" vertical="center" wrapText="1"/>
    </xf>
    <xf numFmtId="0" fontId="2" fillId="0" borderId="80" xfId="0" applyFont="1" applyBorder="1" applyAlignment="1">
      <alignment vertical="center" wrapText="1"/>
    </xf>
    <xf numFmtId="0" fontId="27" fillId="33" borderId="59" xfId="0" applyFont="1" applyFill="1" applyBorder="1" applyAlignment="1">
      <alignment horizontal="center" vertical="center" wrapText="1"/>
    </xf>
    <xf numFmtId="9" fontId="25" fillId="0" borderId="59" xfId="0" applyNumberFormat="1" applyFont="1" applyBorder="1" applyAlignment="1">
      <alignment vertical="center" wrapText="1"/>
    </xf>
    <xf numFmtId="183" fontId="25" fillId="0" borderId="59" xfId="0" applyNumberFormat="1" applyFont="1" applyBorder="1" applyAlignment="1">
      <alignment vertical="center" wrapText="1"/>
    </xf>
    <xf numFmtId="165" fontId="25" fillId="0" borderId="0" xfId="0" applyNumberFormat="1" applyFont="1" applyAlignment="1">
      <alignment vertical="center" wrapText="1"/>
    </xf>
    <xf numFmtId="183" fontId="25" fillId="0" borderId="59" xfId="0" applyNumberFormat="1" applyFont="1" applyBorder="1" applyAlignment="1">
      <alignment vertical="center"/>
    </xf>
    <xf numFmtId="9" fontId="27" fillId="0" borderId="59" xfId="0" applyNumberFormat="1" applyFont="1" applyBorder="1" applyAlignment="1">
      <alignment vertical="center" wrapText="1"/>
    </xf>
    <xf numFmtId="183" fontId="27" fillId="0" borderId="59" xfId="0" applyNumberFormat="1" applyFont="1" applyBorder="1" applyAlignment="1">
      <alignment vertical="center" wrapText="1"/>
    </xf>
    <xf numFmtId="165" fontId="27" fillId="0" borderId="0" xfId="0" applyNumberFormat="1" applyFont="1" applyAlignment="1">
      <alignment vertical="center" wrapText="1"/>
    </xf>
    <xf numFmtId="0" fontId="95" fillId="33" borderId="59" xfId="0" applyFont="1" applyFill="1" applyBorder="1" applyAlignment="1">
      <alignment horizontal="center"/>
    </xf>
    <xf numFmtId="0" fontId="95" fillId="33" borderId="54" xfId="0" applyFont="1" applyFill="1" applyBorder="1" applyAlignment="1">
      <alignment horizontal="center"/>
    </xf>
    <xf numFmtId="0" fontId="35" fillId="0" borderId="58" xfId="0" applyFont="1" applyBorder="1"/>
    <xf numFmtId="0" fontId="35" fillId="0" borderId="51" xfId="0" applyFont="1" applyBorder="1" applyAlignment="1">
      <alignment horizontal="center"/>
    </xf>
    <xf numFmtId="0" fontId="95" fillId="0" borderId="58" xfId="0" applyFont="1" applyBorder="1"/>
    <xf numFmtId="0" fontId="95" fillId="0" borderId="51" xfId="0" applyFont="1" applyBorder="1" applyAlignment="1">
      <alignment horizontal="center"/>
    </xf>
    <xf numFmtId="9" fontId="95" fillId="0" borderId="51" xfId="0" applyNumberFormat="1" applyFont="1" applyBorder="1" applyAlignment="1">
      <alignment horizontal="center"/>
    </xf>
    <xf numFmtId="0" fontId="25" fillId="0" borderId="0" xfId="0" applyFont="1" applyAlignment="1">
      <alignment horizontal="center" vertical="top" wrapText="1"/>
    </xf>
    <xf numFmtId="0" fontId="23" fillId="0" borderId="0" xfId="0" applyFont="1" applyAlignment="1">
      <alignment horizontal="center" wrapText="1"/>
    </xf>
    <xf numFmtId="0" fontId="23" fillId="0" borderId="0" xfId="0" applyFont="1" applyAlignment="1">
      <alignment horizontal="left" vertical="center"/>
    </xf>
    <xf numFmtId="0" fontId="25" fillId="0" borderId="0" xfId="0" applyFont="1" applyAlignment="1">
      <alignment horizontal="right" vertical="center" wrapText="1"/>
    </xf>
    <xf numFmtId="0" fontId="23" fillId="11" borderId="0" xfId="0" applyFont="1" applyFill="1" applyAlignment="1">
      <alignment horizontal="center" vertical="center" wrapText="1"/>
    </xf>
    <xf numFmtId="0" fontId="27" fillId="33" borderId="59" xfId="0" applyFont="1" applyFill="1" applyBorder="1" applyAlignment="1">
      <alignment horizontal="center" vertical="center"/>
    </xf>
    <xf numFmtId="0" fontId="25" fillId="0" borderId="59" xfId="0" applyFont="1" applyBorder="1" applyAlignment="1">
      <alignment horizontal="center" vertical="center"/>
    </xf>
    <xf numFmtId="4" fontId="25" fillId="0" borderId="59" xfId="0" applyNumberFormat="1" applyFont="1" applyBorder="1" applyAlignment="1">
      <alignment horizontal="center" vertical="center" wrapText="1"/>
    </xf>
    <xf numFmtId="4" fontId="25" fillId="0" borderId="59" xfId="0" applyNumberFormat="1" applyFont="1" applyBorder="1" applyAlignment="1">
      <alignment horizontal="center" vertical="top" wrapText="1"/>
    </xf>
    <xf numFmtId="3" fontId="25" fillId="0" borderId="0" xfId="0" applyNumberFormat="1" applyFont="1" applyAlignment="1">
      <alignment horizontal="center" vertical="top" wrapText="1"/>
    </xf>
    <xf numFmtId="4" fontId="25" fillId="0" borderId="59" xfId="0" applyNumberFormat="1" applyFont="1" applyBorder="1" applyAlignment="1">
      <alignment horizontal="center" vertical="center"/>
    </xf>
    <xf numFmtId="0" fontId="25" fillId="33" borderId="59" xfId="0" applyFont="1" applyFill="1" applyBorder="1" applyAlignment="1">
      <alignment horizontal="center" vertical="center" wrapText="1"/>
    </xf>
    <xf numFmtId="10" fontId="25" fillId="0" borderId="59" xfId="0" applyNumberFormat="1" applyFont="1" applyBorder="1" applyAlignment="1">
      <alignment horizontal="center" vertical="center"/>
    </xf>
    <xf numFmtId="9" fontId="25" fillId="0" borderId="59" xfId="0" applyNumberFormat="1" applyFont="1" applyBorder="1" applyAlignment="1">
      <alignment horizontal="center" vertical="center"/>
    </xf>
    <xf numFmtId="0" fontId="25" fillId="0" borderId="30" xfId="0" applyFont="1" applyBorder="1" applyAlignment="1">
      <alignment vertical="center" wrapText="1"/>
    </xf>
    <xf numFmtId="0" fontId="2" fillId="39" borderId="0" xfId="12" applyFont="1" applyFill="1" applyAlignment="1">
      <alignment vertical="center"/>
    </xf>
    <xf numFmtId="0" fontId="23" fillId="0" borderId="0" xfId="0" applyFont="1" applyAlignment="1">
      <alignment horizontal="center"/>
    </xf>
    <xf numFmtId="3" fontId="25" fillId="0" borderId="59" xfId="0" applyNumberFormat="1" applyFont="1" applyBorder="1" applyAlignment="1">
      <alignment horizontal="center" wrapText="1"/>
    </xf>
    <xf numFmtId="0" fontId="25" fillId="0" borderId="59" xfId="0" applyFont="1" applyBorder="1" applyAlignment="1">
      <alignment horizontal="right" wrapText="1"/>
    </xf>
    <xf numFmtId="3" fontId="25" fillId="0" borderId="59" xfId="0" applyNumberFormat="1" applyFont="1" applyBorder="1" applyAlignment="1">
      <alignment wrapText="1"/>
    </xf>
    <xf numFmtId="3" fontId="25" fillId="0" borderId="59" xfId="0" applyNumberFormat="1" applyFont="1" applyBorder="1" applyAlignment="1">
      <alignment horizontal="right" wrapText="1"/>
    </xf>
    <xf numFmtId="184" fontId="25" fillId="0" borderId="59" xfId="0" applyNumberFormat="1" applyFont="1" applyBorder="1" applyAlignment="1">
      <alignment horizontal="right" wrapText="1"/>
    </xf>
    <xf numFmtId="0" fontId="25" fillId="0" borderId="59" xfId="0" applyFont="1" applyBorder="1" applyAlignment="1">
      <alignment wrapText="1"/>
    </xf>
    <xf numFmtId="3" fontId="27" fillId="41" borderId="59" xfId="0" applyNumberFormat="1" applyFont="1" applyFill="1" applyBorder="1" applyAlignment="1">
      <alignment horizontal="right" wrapText="1"/>
    </xf>
    <xf numFmtId="2" fontId="25" fillId="0" borderId="59" xfId="0" applyNumberFormat="1" applyFont="1" applyBorder="1" applyAlignment="1">
      <alignment wrapText="1"/>
    </xf>
    <xf numFmtId="2" fontId="25" fillId="0" borderId="59" xfId="0" applyNumberFormat="1" applyFont="1" applyBorder="1" applyAlignment="1">
      <alignment horizontal="center" vertical="center"/>
    </xf>
    <xf numFmtId="3" fontId="27" fillId="0" borderId="59" xfId="0" applyNumberFormat="1" applyFont="1" applyBorder="1"/>
    <xf numFmtId="184" fontId="27" fillId="0" borderId="59" xfId="0" applyNumberFormat="1" applyFont="1" applyBorder="1"/>
    <xf numFmtId="3" fontId="35" fillId="41" borderId="47" xfId="0" applyNumberFormat="1" applyFont="1" applyFill="1" applyBorder="1" applyAlignment="1">
      <alignment horizontal="right"/>
    </xf>
    <xf numFmtId="3" fontId="35" fillId="0" borderId="54" xfId="0" applyNumberFormat="1" applyFont="1" applyBorder="1" applyAlignment="1">
      <alignment horizontal="right"/>
    </xf>
    <xf numFmtId="0" fontId="96" fillId="0" borderId="54" xfId="0" applyFont="1" applyBorder="1" applyAlignment="1">
      <alignment horizontal="right"/>
    </xf>
    <xf numFmtId="3" fontId="25" fillId="0" borderId="57" xfId="0" applyNumberFormat="1" applyFont="1" applyBorder="1" applyAlignment="1">
      <alignment horizontal="right"/>
    </xf>
    <xf numFmtId="3" fontId="35" fillId="41" borderId="54" xfId="0" applyNumberFormat="1" applyFont="1" applyFill="1" applyBorder="1" applyAlignment="1">
      <alignment horizontal="right"/>
    </xf>
    <xf numFmtId="0" fontId="35" fillId="0" borderId="54" xfId="0" applyFont="1" applyBorder="1" applyAlignment="1">
      <alignment horizontal="right"/>
    </xf>
    <xf numFmtId="3" fontId="35" fillId="0" borderId="51" xfId="0" applyNumberFormat="1" applyFont="1" applyBorder="1" applyAlignment="1">
      <alignment horizontal="right"/>
    </xf>
    <xf numFmtId="0" fontId="96" fillId="0" borderId="51" xfId="0" applyFont="1" applyBorder="1" applyAlignment="1">
      <alignment horizontal="right"/>
    </xf>
    <xf numFmtId="0" fontId="35" fillId="0" borderId="51" xfId="0" applyFont="1" applyBorder="1" applyAlignment="1">
      <alignment horizontal="right"/>
    </xf>
    <xf numFmtId="3" fontId="35" fillId="41" borderId="51" xfId="0" applyNumberFormat="1" applyFont="1" applyFill="1" applyBorder="1" applyAlignment="1">
      <alignment horizontal="right"/>
    </xf>
    <xf numFmtId="3" fontId="35" fillId="0" borderId="59" xfId="0" applyNumberFormat="1" applyFont="1" applyBorder="1" applyAlignment="1">
      <alignment horizontal="right"/>
    </xf>
    <xf numFmtId="3" fontId="25" fillId="0" borderId="59" xfId="0" applyNumberFormat="1" applyFont="1" applyBorder="1" applyAlignment="1">
      <alignment horizontal="right"/>
    </xf>
    <xf numFmtId="0" fontId="23" fillId="0" borderId="0" xfId="0" applyFont="1" applyAlignment="1">
      <alignment horizontal="center" vertical="center"/>
    </xf>
    <xf numFmtId="0" fontId="25" fillId="0" borderId="0" xfId="0" applyFont="1" applyAlignment="1">
      <alignment vertical="top" wrapText="1"/>
    </xf>
    <xf numFmtId="0" fontId="27" fillId="33" borderId="59" xfId="0" applyFont="1" applyFill="1" applyBorder="1" applyAlignment="1">
      <alignment horizontal="center" vertical="top" wrapText="1"/>
    </xf>
    <xf numFmtId="0" fontId="25" fillId="0" borderId="59" xfId="0" applyFont="1" applyBorder="1" applyAlignment="1">
      <alignment vertical="center"/>
    </xf>
    <xf numFmtId="0" fontId="25" fillId="0" borderId="0" xfId="0" applyFont="1" applyAlignment="1">
      <alignment wrapText="1"/>
    </xf>
    <xf numFmtId="0" fontId="92" fillId="0" borderId="0" xfId="0" applyFont="1" applyAlignment="1">
      <alignment horizontal="center" vertical="center"/>
    </xf>
    <xf numFmtId="0" fontId="92" fillId="40" borderId="0" xfId="0" applyFont="1" applyFill="1" applyAlignment="1">
      <alignment vertical="center"/>
    </xf>
    <xf numFmtId="0" fontId="25" fillId="40" borderId="0" xfId="0" applyFont="1" applyFill="1" applyAlignment="1">
      <alignment vertical="center"/>
    </xf>
    <xf numFmtId="0" fontId="94" fillId="40" borderId="0" xfId="0" applyFont="1" applyFill="1" applyAlignment="1">
      <alignment vertical="top"/>
    </xf>
    <xf numFmtId="0" fontId="25" fillId="40" borderId="0" xfId="0" applyFont="1" applyFill="1"/>
    <xf numFmtId="0" fontId="25" fillId="40" borderId="0" xfId="0" applyFont="1" applyFill="1" applyAlignment="1">
      <alignment wrapText="1"/>
    </xf>
    <xf numFmtId="0" fontId="25" fillId="40" borderId="0" xfId="0" applyFont="1" applyFill="1" applyAlignment="1">
      <alignment horizontal="left" vertical="center"/>
    </xf>
    <xf numFmtId="0" fontId="25" fillId="40" borderId="0" xfId="0" applyFont="1" applyFill="1" applyAlignment="1">
      <alignment horizontal="left" wrapText="1"/>
    </xf>
    <xf numFmtId="0" fontId="94" fillId="0" borderId="0" xfId="12" applyFont="1" applyAlignment="1">
      <alignment vertical="center"/>
    </xf>
    <xf numFmtId="0" fontId="25" fillId="0" borderId="80" xfId="12" applyFont="1" applyBorder="1" applyAlignment="1">
      <alignment vertical="center"/>
    </xf>
    <xf numFmtId="0" fontId="25" fillId="0" borderId="31" xfId="12" applyFont="1" applyBorder="1" applyAlignment="1">
      <alignment vertical="center"/>
    </xf>
    <xf numFmtId="0" fontId="25" fillId="0" borderId="98" xfId="12" applyFont="1" applyBorder="1" applyAlignment="1">
      <alignment vertical="center"/>
    </xf>
    <xf numFmtId="0" fontId="25" fillId="42" borderId="1" xfId="0" applyFont="1" applyFill="1" applyBorder="1" applyAlignment="1">
      <alignment horizontal="center"/>
    </xf>
    <xf numFmtId="179" fontId="25" fillId="0" borderId="1" xfId="14" applyNumberFormat="1" applyFont="1" applyBorder="1"/>
    <xf numFmtId="179" fontId="25" fillId="0" borderId="1" xfId="0" applyNumberFormat="1" applyFont="1" applyBorder="1"/>
    <xf numFmtId="9" fontId="25" fillId="0" borderId="1" xfId="1" applyFont="1" applyBorder="1"/>
    <xf numFmtId="0" fontId="25" fillId="0" borderId="6" xfId="0" applyFont="1" applyBorder="1" applyAlignment="1">
      <alignment horizontal="center"/>
    </xf>
    <xf numFmtId="0" fontId="25" fillId="0" borderId="8" xfId="0" applyFont="1" applyBorder="1" applyAlignment="1">
      <alignment horizontal="center"/>
    </xf>
    <xf numFmtId="0" fontId="25" fillId="0" borderId="1" xfId="0" quotePrefix="1" applyFont="1" applyBorder="1"/>
    <xf numFmtId="9" fontId="25" fillId="43" borderId="1" xfId="1" applyFont="1" applyFill="1" applyBorder="1"/>
    <xf numFmtId="0" fontId="25" fillId="0" borderId="0" xfId="0" applyFont="1" applyAlignment="1">
      <alignment horizontal="right"/>
    </xf>
    <xf numFmtId="179" fontId="25" fillId="0" borderId="0" xfId="0" applyNumberFormat="1" applyFont="1"/>
    <xf numFmtId="0" fontId="25" fillId="42" borderId="1" xfId="0" applyFont="1" applyFill="1" applyBorder="1"/>
    <xf numFmtId="179" fontId="25" fillId="42" borderId="1" xfId="0" applyNumberFormat="1" applyFont="1" applyFill="1" applyBorder="1"/>
    <xf numFmtId="179" fontId="25" fillId="0" borderId="0" xfId="14" applyNumberFormat="1" applyFont="1" applyBorder="1" applyAlignment="1">
      <alignment horizontal="center"/>
    </xf>
    <xf numFmtId="9" fontId="25" fillId="0" borderId="0" xfId="0" applyNumberFormat="1" applyFont="1" applyAlignment="1">
      <alignment horizontal="center"/>
    </xf>
    <xf numFmtId="165" fontId="25" fillId="0" borderId="0" xfId="14" applyNumberFormat="1" applyFont="1" applyBorder="1" applyAlignment="1">
      <alignment horizontal="center"/>
    </xf>
    <xf numFmtId="179" fontId="25" fillId="0" borderId="0" xfId="0" applyNumberFormat="1" applyFont="1" applyAlignment="1">
      <alignment horizontal="center"/>
    </xf>
    <xf numFmtId="0" fontId="25" fillId="42" borderId="0" xfId="0" applyFont="1" applyFill="1"/>
    <xf numFmtId="179" fontId="25" fillId="42" borderId="0" xfId="0" applyNumberFormat="1" applyFont="1" applyFill="1"/>
    <xf numFmtId="1" fontId="25" fillId="0" borderId="1" xfId="0" applyNumberFormat="1" applyFont="1" applyBorder="1" applyAlignment="1">
      <alignment horizontal="center"/>
    </xf>
    <xf numFmtId="179" fontId="25" fillId="0" borderId="1" xfId="14" applyNumberFormat="1" applyFont="1" applyBorder="1" applyAlignment="1">
      <alignment horizontal="center"/>
    </xf>
    <xf numFmtId="179" fontId="25" fillId="0" borderId="0" xfId="14" applyNumberFormat="1" applyFont="1" applyBorder="1"/>
    <xf numFmtId="165" fontId="25" fillId="0" borderId="0" xfId="0" applyNumberFormat="1" applyFont="1"/>
    <xf numFmtId="10" fontId="25" fillId="0" borderId="0" xfId="1" applyNumberFormat="1" applyFont="1" applyBorder="1"/>
    <xf numFmtId="9" fontId="25" fillId="0" borderId="0" xfId="1" applyFont="1" applyBorder="1" applyAlignment="1">
      <alignment horizontal="center"/>
    </xf>
    <xf numFmtId="0" fontId="25" fillId="0" borderId="31" xfId="0" applyFont="1" applyBorder="1" applyAlignment="1">
      <alignment horizontal="left" vertical="center" wrapText="1"/>
    </xf>
    <xf numFmtId="0" fontId="25" fillId="0" borderId="98" xfId="0" applyFont="1" applyBorder="1" applyAlignment="1">
      <alignment horizontal="left" vertical="center" wrapText="1"/>
    </xf>
    <xf numFmtId="0" fontId="85" fillId="0" borderId="0" xfId="0" applyFont="1" applyAlignment="1">
      <alignment vertical="center"/>
    </xf>
    <xf numFmtId="0" fontId="92" fillId="0" borderId="0" xfId="12" applyFont="1" applyAlignment="1">
      <alignment vertical="center"/>
    </xf>
    <xf numFmtId="0" fontId="82" fillId="0" borderId="0" xfId="12" applyFont="1" applyAlignment="1">
      <alignment vertical="center"/>
    </xf>
    <xf numFmtId="0" fontId="2" fillId="11" borderId="0" xfId="12" applyFont="1" applyFill="1" applyAlignment="1">
      <alignment vertical="center"/>
    </xf>
    <xf numFmtId="0" fontId="97" fillId="44" borderId="1" xfId="0" applyFont="1" applyFill="1" applyBorder="1" applyAlignment="1">
      <alignment horizontal="center"/>
    </xf>
    <xf numFmtId="0" fontId="2" fillId="0" borderId="1" xfId="0" applyFont="1" applyBorder="1"/>
    <xf numFmtId="164" fontId="2" fillId="0" borderId="0" xfId="0" applyNumberFormat="1" applyFont="1"/>
    <xf numFmtId="9" fontId="2" fillId="0" borderId="0" xfId="1" applyFont="1"/>
    <xf numFmtId="179" fontId="23" fillId="45" borderId="0" xfId="6" applyNumberFormat="1" applyFont="1" applyFill="1"/>
    <xf numFmtId="179" fontId="23" fillId="34" borderId="0" xfId="6" applyNumberFormat="1" applyFont="1" applyFill="1"/>
    <xf numFmtId="179" fontId="23" fillId="5" borderId="0" xfId="6" applyNumberFormat="1" applyFont="1" applyFill="1"/>
    <xf numFmtId="179" fontId="23" fillId="37" borderId="0" xfId="6" applyNumberFormat="1" applyFont="1" applyFill="1"/>
    <xf numFmtId="164" fontId="2" fillId="0" borderId="1" xfId="2" applyFont="1" applyBorder="1"/>
    <xf numFmtId="0" fontId="2" fillId="0" borderId="0" xfId="12" applyFont="1" applyAlignment="1">
      <alignment horizontal="left" vertical="center" wrapText="1"/>
    </xf>
    <xf numFmtId="0" fontId="33" fillId="16" borderId="1" xfId="0" applyFont="1" applyFill="1" applyBorder="1" applyAlignment="1">
      <alignment horizontal="center" vertical="center" wrapText="1"/>
    </xf>
    <xf numFmtId="0" fontId="25" fillId="0" borderId="59" xfId="0" applyFont="1" applyBorder="1" applyAlignment="1">
      <alignment vertical="center" wrapText="1"/>
    </xf>
    <xf numFmtId="0" fontId="2" fillId="0" borderId="59" xfId="0" applyFont="1" applyBorder="1" applyAlignment="1">
      <alignment vertical="top" wrapText="1"/>
    </xf>
    <xf numFmtId="0" fontId="76" fillId="33" borderId="1" xfId="0" applyFont="1" applyFill="1" applyBorder="1" applyAlignment="1">
      <alignment horizontal="center" wrapText="1"/>
    </xf>
    <xf numFmtId="0" fontId="1" fillId="0" borderId="1" xfId="0" applyFont="1" applyBorder="1" applyAlignment="1">
      <alignment horizontal="center" wrapText="1"/>
    </xf>
    <xf numFmtId="0" fontId="1" fillId="0" borderId="1" xfId="2" applyNumberFormat="1" applyFont="1" applyBorder="1" applyAlignment="1">
      <alignment horizontal="center" wrapText="1"/>
    </xf>
    <xf numFmtId="0" fontId="60" fillId="0" borderId="0" xfId="0" applyFont="1"/>
    <xf numFmtId="0" fontId="1" fillId="0" borderId="1" xfId="0" applyFont="1" applyBorder="1" applyAlignment="1">
      <alignment wrapText="1"/>
    </xf>
    <xf numFmtId="0" fontId="33" fillId="16" borderId="47" xfId="0" applyFont="1" applyFill="1" applyBorder="1" applyAlignment="1">
      <alignment horizontal="center" vertical="center" wrapText="1"/>
    </xf>
    <xf numFmtId="0" fontId="33" fillId="16" borderId="58" xfId="0" applyFont="1" applyFill="1" applyBorder="1" applyAlignment="1">
      <alignment horizontal="center" vertical="center" wrapText="1"/>
    </xf>
    <xf numFmtId="0" fontId="25" fillId="0" borderId="58" xfId="0" applyFont="1" applyBorder="1" applyAlignment="1">
      <alignment vertical="center" wrapText="1"/>
    </xf>
    <xf numFmtId="0" fontId="98" fillId="0" borderId="1" xfId="0" applyFont="1" applyBorder="1" applyAlignment="1">
      <alignment horizontal="center" wrapText="1"/>
    </xf>
    <xf numFmtId="0" fontId="80" fillId="0" borderId="1" xfId="0" applyFont="1" applyBorder="1" applyAlignment="1">
      <alignment horizontal="center" wrapText="1"/>
    </xf>
    <xf numFmtId="0" fontId="23" fillId="33" borderId="1" xfId="0" applyFont="1" applyFill="1" applyBorder="1" applyAlignment="1">
      <alignment horizontal="center" vertical="center" wrapText="1"/>
    </xf>
    <xf numFmtId="0" fontId="23" fillId="33" borderId="1" xfId="0" applyFont="1" applyFill="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xf>
    <xf numFmtId="0" fontId="2" fillId="0" borderId="1" xfId="0" applyFont="1" applyBorder="1" applyAlignment="1">
      <alignment horizontal="center"/>
    </xf>
    <xf numFmtId="43" fontId="2" fillId="0" borderId="1" xfId="14" applyFont="1" applyBorder="1" applyAlignment="1">
      <alignment horizontal="center" vertical="center"/>
    </xf>
    <xf numFmtId="43" fontId="2" fillId="0" borderId="0" xfId="14" applyFont="1" applyBorder="1" applyAlignment="1">
      <alignment horizontal="center" vertical="center"/>
    </xf>
    <xf numFmtId="9" fontId="2" fillId="0" borderId="1" xfId="1" applyFont="1" applyBorder="1" applyAlignment="1">
      <alignment horizontal="center" vertical="center"/>
    </xf>
    <xf numFmtId="0" fontId="23" fillId="33" borderId="1" xfId="0" applyFont="1" applyFill="1" applyBorder="1" applyAlignment="1">
      <alignment horizontal="center"/>
    </xf>
    <xf numFmtId="0" fontId="25" fillId="33" borderId="1" xfId="0" applyFont="1" applyFill="1" applyBorder="1" applyAlignment="1">
      <alignment horizontal="center"/>
    </xf>
    <xf numFmtId="43" fontId="25" fillId="0" borderId="1" xfId="14" applyFont="1" applyBorder="1"/>
    <xf numFmtId="165" fontId="25" fillId="0" borderId="1" xfId="0" applyNumberFormat="1" applyFont="1" applyBorder="1"/>
    <xf numFmtId="10" fontId="25" fillId="0" borderId="1" xfId="1" applyNumberFormat="1" applyFont="1" applyBorder="1"/>
    <xf numFmtId="43" fontId="27" fillId="0" borderId="1" xfId="14" applyFont="1" applyBorder="1"/>
    <xf numFmtId="182" fontId="25" fillId="0" borderId="1" xfId="1" applyNumberFormat="1" applyFont="1" applyBorder="1"/>
    <xf numFmtId="0" fontId="25" fillId="0" borderId="0" xfId="0" applyFont="1" applyAlignment="1">
      <alignment horizontal="left"/>
    </xf>
    <xf numFmtId="182" fontId="25" fillId="0" borderId="0" xfId="1" applyNumberFormat="1" applyFont="1" applyBorder="1"/>
    <xf numFmtId="0" fontId="25" fillId="0" borderId="0" xfId="0" applyFont="1" applyAlignment="1">
      <alignment horizontal="left" vertical="top"/>
    </xf>
    <xf numFmtId="43" fontId="25" fillId="0" borderId="0" xfId="14" applyFont="1" applyBorder="1" applyAlignment="1">
      <alignment vertical="top"/>
    </xf>
    <xf numFmtId="182" fontId="25" fillId="0" borderId="0" xfId="1" applyNumberFormat="1" applyFont="1" applyBorder="1" applyAlignment="1">
      <alignment vertical="top"/>
    </xf>
    <xf numFmtId="10" fontId="25" fillId="0" borderId="1" xfId="1" applyNumberFormat="1" applyFont="1" applyBorder="1" applyAlignment="1">
      <alignment horizontal="center"/>
    </xf>
    <xf numFmtId="43" fontId="25" fillId="0" borderId="1" xfId="14" applyFont="1" applyBorder="1" applyAlignment="1">
      <alignment horizontal="center" vertical="center"/>
    </xf>
    <xf numFmtId="10" fontId="25" fillId="0" borderId="1" xfId="0" applyNumberFormat="1" applyFont="1" applyBorder="1"/>
    <xf numFmtId="0" fontId="27" fillId="0" borderId="0" xfId="12" applyFont="1" applyAlignment="1">
      <alignment vertical="center"/>
    </xf>
    <xf numFmtId="2" fontId="25" fillId="0" borderId="1" xfId="12" applyNumberFormat="1" applyFont="1" applyBorder="1" applyAlignment="1">
      <alignment horizontal="center" vertical="center"/>
    </xf>
    <xf numFmtId="9" fontId="26" fillId="0" borderId="0" xfId="1" applyFont="1" applyFill="1" applyBorder="1" applyAlignment="1">
      <alignment vertical="center"/>
    </xf>
    <xf numFmtId="2" fontId="25" fillId="0" borderId="0" xfId="12" applyNumberFormat="1" applyFont="1" applyAlignment="1">
      <alignment horizontal="center" vertical="center"/>
    </xf>
    <xf numFmtId="10" fontId="25" fillId="0" borderId="0" xfId="0" applyNumberFormat="1" applyFont="1" applyAlignment="1">
      <alignment horizontal="center" vertical="center"/>
    </xf>
    <xf numFmtId="9" fontId="25" fillId="0" borderId="0" xfId="1" applyFont="1" applyFill="1" applyBorder="1" applyAlignment="1">
      <alignment vertical="center"/>
    </xf>
    <xf numFmtId="9" fontId="25" fillId="0" borderId="1" xfId="1" applyFont="1" applyFill="1" applyBorder="1" applyAlignment="1">
      <alignment vertical="center"/>
    </xf>
    <xf numFmtId="0" fontId="25" fillId="0" borderId="46" xfId="12" applyFont="1" applyBorder="1" applyAlignment="1">
      <alignment vertical="center"/>
    </xf>
    <xf numFmtId="2" fontId="25" fillId="46" borderId="1" xfId="12" applyNumberFormat="1" applyFont="1" applyFill="1" applyBorder="1" applyAlignment="1">
      <alignment horizontal="center" vertical="center"/>
    </xf>
    <xf numFmtId="10" fontId="25" fillId="46" borderId="1" xfId="1" applyNumberFormat="1" applyFont="1" applyFill="1" applyBorder="1" applyAlignment="1">
      <alignment vertical="center"/>
    </xf>
    <xf numFmtId="0" fontId="99" fillId="6" borderId="45" xfId="0" applyFont="1" applyFill="1" applyBorder="1" applyAlignment="1">
      <alignment vertical="center"/>
    </xf>
    <xf numFmtId="0" fontId="26" fillId="6" borderId="0" xfId="0" applyFont="1" applyFill="1" applyAlignment="1">
      <alignment vertical="center"/>
    </xf>
    <xf numFmtId="10" fontId="25" fillId="5" borderId="0" xfId="1" applyNumberFormat="1" applyFont="1" applyFill="1" applyBorder="1" applyAlignment="1">
      <alignment vertical="center"/>
    </xf>
    <xf numFmtId="9" fontId="25" fillId="0" borderId="0" xfId="1" applyFont="1" applyBorder="1" applyAlignment="1">
      <alignment horizontal="center" vertical="center"/>
    </xf>
    <xf numFmtId="0" fontId="27" fillId="0" borderId="0" xfId="12" applyFont="1" applyAlignment="1">
      <alignment horizontal="center" vertical="center"/>
    </xf>
    <xf numFmtId="2" fontId="25" fillId="0" borderId="1" xfId="0" applyNumberFormat="1" applyFont="1" applyBorder="1" applyAlignment="1">
      <alignment horizontal="center" vertical="center"/>
    </xf>
    <xf numFmtId="2" fontId="25" fillId="0" borderId="0" xfId="0" applyNumberFormat="1" applyFont="1" applyAlignment="1">
      <alignment horizontal="center" vertical="center"/>
    </xf>
    <xf numFmtId="0" fontId="99" fillId="6" borderId="0" xfId="0" applyFont="1" applyFill="1" applyAlignment="1">
      <alignment vertical="center"/>
    </xf>
    <xf numFmtId="0" fontId="25" fillId="6" borderId="0" xfId="0" applyFont="1" applyFill="1" applyAlignment="1">
      <alignment vertical="center"/>
    </xf>
    <xf numFmtId="9" fontId="25" fillId="46" borderId="1" xfId="1" applyFont="1" applyFill="1" applyBorder="1" applyAlignment="1">
      <alignment vertical="center"/>
    </xf>
    <xf numFmtId="4" fontId="25" fillId="0" borderId="1" xfId="12" applyNumberFormat="1" applyFont="1" applyBorder="1" applyAlignment="1">
      <alignment horizontal="center" vertical="center"/>
    </xf>
    <xf numFmtId="4" fontId="25" fillId="0" borderId="1" xfId="0" applyNumberFormat="1" applyFont="1" applyBorder="1" applyAlignment="1">
      <alignment horizontal="center" vertical="center"/>
    </xf>
    <xf numFmtId="4" fontId="25" fillId="0" borderId="0" xfId="12" applyNumberFormat="1" applyFont="1" applyAlignment="1">
      <alignment horizontal="center" vertical="center"/>
    </xf>
    <xf numFmtId="4" fontId="25" fillId="0" borderId="0" xfId="0" applyNumberFormat="1" applyFont="1" applyAlignment="1">
      <alignment horizontal="center" vertical="center"/>
    </xf>
    <xf numFmtId="182" fontId="25" fillId="46" borderId="1" xfId="1" applyNumberFormat="1" applyFont="1" applyFill="1" applyBorder="1" applyAlignment="1">
      <alignment vertical="center"/>
    </xf>
    <xf numFmtId="9" fontId="25" fillId="0" borderId="1" xfId="1" applyFont="1" applyBorder="1" applyAlignment="1">
      <alignment horizontal="center" vertical="center" wrapText="1"/>
    </xf>
    <xf numFmtId="0" fontId="25" fillId="0" borderId="0" xfId="12" applyFont="1" applyAlignment="1">
      <alignment vertical="center" wrapText="1"/>
    </xf>
    <xf numFmtId="9" fontId="25" fillId="0" borderId="0" xfId="1" applyFont="1" applyBorder="1" applyAlignment="1">
      <alignment horizontal="center" vertical="center" wrapText="1"/>
    </xf>
    <xf numFmtId="9" fontId="27" fillId="0" borderId="0" xfId="1" applyFont="1" applyBorder="1" applyAlignment="1">
      <alignment horizontal="center" vertical="center" wrapText="1"/>
    </xf>
    <xf numFmtId="10" fontId="35" fillId="0" borderId="1" xfId="1" applyNumberFormat="1" applyFont="1" applyBorder="1" applyAlignment="1">
      <alignment horizontal="center" vertical="center"/>
    </xf>
    <xf numFmtId="0" fontId="95" fillId="0" borderId="1" xfId="12" applyFont="1" applyBorder="1" applyAlignment="1">
      <alignment horizontal="center" vertical="center"/>
    </xf>
    <xf numFmtId="10" fontId="95" fillId="0" borderId="1" xfId="1" applyNumberFormat="1" applyFont="1" applyBorder="1" applyAlignment="1">
      <alignment horizontal="center" vertical="center"/>
    </xf>
    <xf numFmtId="0" fontId="25" fillId="9" borderId="1" xfId="0" applyFont="1" applyFill="1" applyBorder="1" applyAlignment="1">
      <alignment horizontal="center"/>
    </xf>
    <xf numFmtId="43" fontId="25" fillId="9" borderId="1" xfId="14" applyFont="1" applyFill="1" applyBorder="1" applyAlignment="1">
      <alignment horizontal="center"/>
    </xf>
    <xf numFmtId="0" fontId="25" fillId="0" borderId="46" xfId="0" applyFont="1" applyBorder="1" applyAlignment="1">
      <alignment vertical="center"/>
    </xf>
    <xf numFmtId="187" fontId="25" fillId="0" borderId="1" xfId="14" applyNumberFormat="1" applyFont="1" applyBorder="1"/>
    <xf numFmtId="187" fontId="25" fillId="5" borderId="1" xfId="0" applyNumberFormat="1" applyFont="1" applyFill="1" applyBorder="1"/>
    <xf numFmtId="0" fontId="27" fillId="5" borderId="1" xfId="0" applyFont="1" applyFill="1" applyBorder="1" applyAlignment="1">
      <alignment horizontal="center" vertical="center"/>
    </xf>
    <xf numFmtId="0" fontId="27" fillId="5" borderId="1" xfId="0" applyFont="1" applyFill="1" applyBorder="1" applyAlignment="1">
      <alignment horizontal="center" vertical="center" wrapText="1"/>
    </xf>
    <xf numFmtId="0" fontId="25" fillId="6" borderId="0" xfId="0" applyFont="1" applyFill="1"/>
    <xf numFmtId="10" fontId="27" fillId="5" borderId="0" xfId="1" applyNumberFormat="1" applyFont="1" applyFill="1" applyBorder="1"/>
    <xf numFmtId="0" fontId="25" fillId="0" borderId="31" xfId="0" applyFont="1" applyBorder="1"/>
    <xf numFmtId="178" fontId="31" fillId="28" borderId="1" xfId="10" applyNumberFormat="1" applyFont="1" applyFill="1" applyBorder="1" applyAlignment="1" applyProtection="1">
      <alignment vertical="center"/>
      <protection hidden="1"/>
    </xf>
    <xf numFmtId="179" fontId="31" fillId="28" borderId="1" xfId="8" applyNumberFormat="1" applyFont="1" applyFill="1" applyBorder="1" applyAlignment="1">
      <alignment vertical="center"/>
    </xf>
    <xf numFmtId="0" fontId="8" fillId="11" borderId="1" xfId="0" applyFont="1" applyFill="1" applyBorder="1" applyAlignment="1">
      <alignment horizontal="left" vertical="top" wrapText="1"/>
    </xf>
    <xf numFmtId="0" fontId="104" fillId="0" borderId="0" xfId="31" applyFont="1" applyAlignment="1">
      <alignment horizontal="left" wrapText="1"/>
    </xf>
    <xf numFmtId="0" fontId="103" fillId="0" borderId="0" xfId="31"/>
    <xf numFmtId="0" fontId="104" fillId="0" borderId="0" xfId="31" applyFont="1" applyAlignment="1">
      <alignment horizontal="left" vertical="top"/>
    </xf>
    <xf numFmtId="0" fontId="114" fillId="0" borderId="59" xfId="31" quotePrefix="1" applyFont="1" applyBorder="1" applyAlignment="1">
      <alignment horizontal="left" vertical="top" wrapText="1"/>
    </xf>
    <xf numFmtId="0" fontId="104" fillId="0" borderId="0" xfId="31" applyFont="1" applyAlignment="1">
      <alignment horizontal="left" vertical="center" wrapText="1"/>
    </xf>
    <xf numFmtId="0" fontId="114" fillId="0" borderId="59" xfId="31" applyFont="1" applyBorder="1" applyAlignment="1">
      <alignment horizontal="left" vertical="top" wrapText="1"/>
    </xf>
    <xf numFmtId="0" fontId="104" fillId="0" borderId="0" xfId="31" applyFont="1" applyAlignment="1">
      <alignment horizontal="left" vertical="top" wrapText="1"/>
    </xf>
    <xf numFmtId="0" fontId="114" fillId="0" borderId="59" xfId="31" applyFont="1" applyBorder="1" applyAlignment="1">
      <alignment horizontal="right" vertical="top" wrapText="1"/>
    </xf>
    <xf numFmtId="0" fontId="114" fillId="5" borderId="59" xfId="31" applyFont="1" applyFill="1" applyBorder="1" applyAlignment="1">
      <alignment horizontal="right" vertical="top" wrapText="1"/>
    </xf>
    <xf numFmtId="1" fontId="202" fillId="0" borderId="0" xfId="31" applyNumberFormat="1" applyFont="1" applyAlignment="1">
      <alignment horizontal="center" vertical="top" shrinkToFit="1"/>
    </xf>
    <xf numFmtId="0" fontId="8" fillId="0" borderId="0" xfId="31" applyFont="1" applyAlignment="1">
      <alignment horizontal="left" vertical="top" wrapText="1"/>
    </xf>
    <xf numFmtId="0" fontId="35" fillId="0" borderId="0" xfId="31" applyFont="1" applyAlignment="1">
      <alignment horizontal="left" vertical="top"/>
    </xf>
    <xf numFmtId="0" fontId="35" fillId="0" borderId="0" xfId="31" applyFont="1" applyAlignment="1">
      <alignment horizontal="left" vertical="center" wrapText="1"/>
    </xf>
    <xf numFmtId="0" fontId="35" fillId="0" borderId="0" xfId="31" applyFont="1" applyAlignment="1">
      <alignment horizontal="left" vertical="top" wrapText="1"/>
    </xf>
    <xf numFmtId="0" fontId="8" fillId="47" borderId="59" xfId="9" applyFont="1" applyFill="1" applyBorder="1" applyAlignment="1">
      <alignment horizontal="center" vertical="center" wrapText="1"/>
    </xf>
    <xf numFmtId="0" fontId="28" fillId="0" borderId="0" xfId="9" applyFont="1" applyAlignment="1">
      <alignment vertical="center" wrapText="1"/>
    </xf>
    <xf numFmtId="0" fontId="4" fillId="0" borderId="0" xfId="3" applyFont="1"/>
    <xf numFmtId="0" fontId="313" fillId="5" borderId="1" xfId="0" applyFont="1" applyFill="1" applyBorder="1" applyAlignment="1" applyProtection="1">
      <alignment horizontal="left" vertical="center" wrapText="1"/>
      <protection locked="0"/>
    </xf>
    <xf numFmtId="0" fontId="14" fillId="0" borderId="1" xfId="0" applyFont="1" applyBorder="1" applyAlignment="1">
      <alignment horizontal="center" vertical="center" wrapText="1"/>
    </xf>
    <xf numFmtId="0" fontId="76" fillId="0" borderId="0" xfId="0" applyFont="1"/>
    <xf numFmtId="0" fontId="2" fillId="0" borderId="1" xfId="0" applyFont="1" applyBorder="1" applyAlignment="1">
      <alignment horizontal="left" vertical="center"/>
    </xf>
    <xf numFmtId="9" fontId="2" fillId="0" borderId="1" xfId="0" applyNumberFormat="1" applyFont="1" applyBorder="1"/>
    <xf numFmtId="165" fontId="8" fillId="0" borderId="1" xfId="8" applyFont="1" applyBorder="1" applyAlignment="1">
      <alignment horizontal="center" vertical="center"/>
    </xf>
    <xf numFmtId="1" fontId="31" fillId="28" borderId="1" xfId="8" applyNumberFormat="1" applyFont="1" applyFill="1" applyBorder="1" applyAlignment="1">
      <alignment vertical="center"/>
    </xf>
    <xf numFmtId="179" fontId="314" fillId="16" borderId="48" xfId="8" applyNumberFormat="1" applyFont="1" applyFill="1" applyBorder="1" applyAlignment="1">
      <alignment vertical="center" wrapText="1"/>
    </xf>
    <xf numFmtId="0" fontId="8" fillId="2" borderId="52" xfId="9" applyFont="1" applyFill="1" applyBorder="1" applyAlignment="1">
      <alignment horizontal="left" vertical="center" wrapText="1"/>
    </xf>
    <xf numFmtId="0" fontId="8" fillId="2" borderId="54" xfId="9" applyFont="1" applyFill="1" applyBorder="1" applyAlignment="1">
      <alignment horizontal="left" vertical="center" wrapText="1"/>
    </xf>
    <xf numFmtId="0" fontId="8" fillId="2" borderId="59" xfId="9" applyFont="1" applyFill="1" applyBorder="1" applyAlignment="1">
      <alignment horizontal="left" vertical="center" wrapText="1"/>
    </xf>
    <xf numFmtId="0" fontId="8" fillId="2" borderId="59" xfId="9" applyFont="1" applyFill="1" applyBorder="1" applyAlignment="1">
      <alignment horizontal="center" vertical="center" wrapText="1"/>
    </xf>
    <xf numFmtId="0" fontId="31" fillId="2" borderId="1" xfId="9" applyFont="1" applyFill="1" applyBorder="1" applyAlignment="1">
      <alignment vertical="center"/>
    </xf>
    <xf numFmtId="0" fontId="31" fillId="2" borderId="1" xfId="9" applyFont="1" applyFill="1" applyBorder="1" applyAlignment="1">
      <alignment vertical="center" wrapText="1"/>
    </xf>
    <xf numFmtId="3" fontId="31" fillId="2" borderId="1" xfId="9" applyNumberFormat="1" applyFont="1" applyFill="1" applyBorder="1" applyAlignment="1">
      <alignment vertical="center" wrapText="1"/>
    </xf>
    <xf numFmtId="0" fontId="0" fillId="0" borderId="0" xfId="9" applyFont="1" applyAlignment="1">
      <alignment horizontal="center"/>
    </xf>
    <xf numFmtId="0" fontId="31" fillId="2" borderId="1" xfId="12" applyFont="1" applyFill="1" applyBorder="1" applyAlignment="1">
      <alignment vertical="center"/>
    </xf>
    <xf numFmtId="179" fontId="73" fillId="0" borderId="1" xfId="8" applyNumberFormat="1" applyFont="1" applyBorder="1" applyAlignment="1">
      <alignment horizontal="center" vertical="center" wrapText="1"/>
    </xf>
    <xf numFmtId="9" fontId="31" fillId="0" borderId="1" xfId="9" applyNumberFormat="1" applyFont="1" applyBorder="1" applyAlignment="1">
      <alignment vertical="center"/>
    </xf>
    <xf numFmtId="10" fontId="2" fillId="0" borderId="0" xfId="1" applyNumberFormat="1" applyFont="1"/>
    <xf numFmtId="0" fontId="31" fillId="0" borderId="1" xfId="9" applyFont="1" applyBorder="1" applyAlignment="1">
      <alignment horizontal="center" vertical="center" wrapText="1"/>
    </xf>
    <xf numFmtId="0" fontId="316" fillId="0" borderId="1" xfId="0" applyFont="1" applyBorder="1" applyAlignment="1">
      <alignment vertical="center"/>
    </xf>
    <xf numFmtId="9" fontId="316" fillId="0" borderId="1" xfId="0" applyNumberFormat="1" applyFont="1" applyBorder="1" applyAlignment="1">
      <alignment vertical="center"/>
    </xf>
    <xf numFmtId="0" fontId="316" fillId="49" borderId="1" xfId="0" applyFont="1" applyFill="1" applyBorder="1" applyAlignment="1">
      <alignment vertical="center"/>
    </xf>
    <xf numFmtId="0" fontId="316" fillId="49" borderId="1" xfId="0" applyFont="1" applyFill="1" applyBorder="1" applyAlignment="1">
      <alignment vertical="center" wrapText="1"/>
    </xf>
    <xf numFmtId="0" fontId="316" fillId="0" borderId="1" xfId="0" applyFont="1" applyBorder="1" applyAlignment="1">
      <alignment vertical="center" wrapText="1"/>
    </xf>
    <xf numFmtId="0" fontId="316" fillId="49" borderId="3" xfId="0" applyFont="1" applyFill="1" applyBorder="1" applyAlignment="1">
      <alignment vertical="center" wrapText="1"/>
    </xf>
    <xf numFmtId="0" fontId="320" fillId="0" borderId="1" xfId="0" applyFont="1" applyBorder="1" applyAlignment="1">
      <alignment horizontal="center" vertical="center"/>
    </xf>
    <xf numFmtId="0" fontId="320" fillId="0" borderId="1" xfId="0" applyFont="1" applyBorder="1"/>
    <xf numFmtId="0" fontId="320" fillId="0" borderId="1" xfId="0" applyFont="1" applyBorder="1" applyAlignment="1">
      <alignment horizontal="center"/>
    </xf>
    <xf numFmtId="179" fontId="320" fillId="0" borderId="1" xfId="0" applyNumberFormat="1" applyFont="1" applyBorder="1"/>
    <xf numFmtId="179" fontId="320" fillId="0" borderId="1" xfId="0" applyNumberFormat="1" applyFont="1" applyBorder="1" applyAlignment="1">
      <alignment horizontal="center" vertical="center"/>
    </xf>
    <xf numFmtId="179" fontId="320" fillId="0" borderId="1" xfId="0" applyNumberFormat="1" applyFont="1" applyBorder="1" applyAlignment="1">
      <alignment horizontal="center"/>
    </xf>
    <xf numFmtId="0" fontId="76" fillId="0" borderId="1" xfId="12" applyFont="1" applyBorder="1" applyAlignment="1">
      <alignment horizontal="center"/>
    </xf>
    <xf numFmtId="0" fontId="76" fillId="2" borderId="1" xfId="12" applyFont="1" applyFill="1" applyBorder="1" applyAlignment="1">
      <alignment horizontal="center"/>
    </xf>
    <xf numFmtId="179" fontId="321" fillId="0" borderId="1" xfId="0" applyNumberFormat="1" applyFont="1" applyBorder="1"/>
    <xf numFmtId="3" fontId="321" fillId="0" borderId="1" xfId="0" applyNumberFormat="1" applyFont="1" applyBorder="1" applyAlignment="1">
      <alignment horizontal="right"/>
    </xf>
    <xf numFmtId="0" fontId="1" fillId="0" borderId="1" xfId="12" applyBorder="1"/>
    <xf numFmtId="0" fontId="320" fillId="0" borderId="0" xfId="0" applyFont="1"/>
    <xf numFmtId="180" fontId="0" fillId="0" borderId="1" xfId="32" applyNumberFormat="1" applyFont="1" applyBorder="1"/>
    <xf numFmtId="180" fontId="1" fillId="0" borderId="1" xfId="12" applyNumberFormat="1" applyBorder="1"/>
    <xf numFmtId="0" fontId="1" fillId="0" borderId="3" xfId="12" applyBorder="1"/>
    <xf numFmtId="165" fontId="1" fillId="0" borderId="3" xfId="12" applyNumberFormat="1" applyBorder="1"/>
    <xf numFmtId="164" fontId="76" fillId="0" borderId="1" xfId="12" applyNumberFormat="1" applyFont="1" applyBorder="1"/>
    <xf numFmtId="164" fontId="1" fillId="0" borderId="1" xfId="12" applyNumberFormat="1" applyBorder="1"/>
    <xf numFmtId="179" fontId="1" fillId="0" borderId="0" xfId="8" applyNumberFormat="1" applyFont="1" applyBorder="1"/>
    <xf numFmtId="164" fontId="79" fillId="0" borderId="0" xfId="33" applyFont="1" applyBorder="1"/>
    <xf numFmtId="0" fontId="76" fillId="0" borderId="1" xfId="12" applyFont="1" applyBorder="1" applyAlignment="1">
      <alignment horizontal="center" vertical="center"/>
    </xf>
    <xf numFmtId="0" fontId="76" fillId="0" borderId="1" xfId="12" applyFont="1" applyBorder="1"/>
    <xf numFmtId="4" fontId="1" fillId="0" borderId="1" xfId="12" applyNumberFormat="1" applyBorder="1" applyAlignment="1">
      <alignment horizontal="right"/>
    </xf>
    <xf numFmtId="0" fontId="76" fillId="0" borderId="1" xfId="12" applyFont="1" applyBorder="1" applyAlignment="1">
      <alignment horizontal="left"/>
    </xf>
    <xf numFmtId="9" fontId="76" fillId="0" borderId="1" xfId="1" applyFont="1" applyBorder="1" applyAlignment="1">
      <alignment horizontal="center"/>
    </xf>
    <xf numFmtId="40" fontId="1" fillId="0" borderId="1" xfId="12" applyNumberFormat="1" applyBorder="1" applyAlignment="1">
      <alignment horizontal="right"/>
    </xf>
    <xf numFmtId="40" fontId="1" fillId="0" borderId="3" xfId="12" applyNumberFormat="1" applyBorder="1" applyAlignment="1">
      <alignment horizontal="right"/>
    </xf>
    <xf numFmtId="38" fontId="0" fillId="0" borderId="1" xfId="32" applyNumberFormat="1" applyFont="1" applyBorder="1"/>
    <xf numFmtId="38" fontId="0" fillId="11" borderId="1" xfId="10" applyNumberFormat="1" applyFont="1" applyFill="1" applyBorder="1"/>
    <xf numFmtId="38" fontId="1" fillId="0" borderId="3" xfId="12" applyNumberFormat="1" applyBorder="1"/>
    <xf numFmtId="38" fontId="1" fillId="11" borderId="3" xfId="12" applyNumberFormat="1" applyFill="1" applyBorder="1"/>
    <xf numFmtId="38" fontId="79" fillId="0" borderId="1" xfId="33" applyNumberFormat="1" applyFont="1" applyBorder="1"/>
    <xf numFmtId="38" fontId="1" fillId="11" borderId="1" xfId="16" applyNumberFormat="1" applyFont="1" applyFill="1" applyBorder="1" applyAlignment="1">
      <alignment vertical="center"/>
    </xf>
    <xf numFmtId="38" fontId="1" fillId="0" borderId="1" xfId="16" applyNumberFormat="1" applyFont="1" applyBorder="1" applyAlignment="1">
      <alignment vertical="center"/>
    </xf>
    <xf numFmtId="38" fontId="76" fillId="0" borderId="1" xfId="12" applyNumberFormat="1" applyFont="1" applyBorder="1"/>
    <xf numFmtId="38" fontId="1" fillId="0" borderId="1" xfId="12" applyNumberFormat="1" applyBorder="1"/>
    <xf numFmtId="41" fontId="27" fillId="10" borderId="1" xfId="25" applyFont="1" applyFill="1" applyBorder="1"/>
    <xf numFmtId="10" fontId="27" fillId="10" borderId="1" xfId="1" applyNumberFormat="1" applyFont="1" applyFill="1" applyBorder="1"/>
    <xf numFmtId="0" fontId="316" fillId="0" borderId="59" xfId="0" applyFont="1" applyBorder="1" applyAlignment="1">
      <alignment horizontal="center" vertical="center" wrapText="1"/>
    </xf>
    <xf numFmtId="0" fontId="316" fillId="49" borderId="59" xfId="0" applyFont="1" applyFill="1" applyBorder="1" applyAlignment="1">
      <alignment horizontal="center" vertical="center" wrapText="1"/>
    </xf>
    <xf numFmtId="0" fontId="31" fillId="0" borderId="59" xfId="9" applyFont="1" applyBorder="1" applyAlignment="1">
      <alignment horizontal="center" vertical="center" wrapText="1"/>
    </xf>
    <xf numFmtId="0" fontId="316" fillId="49" borderId="59" xfId="0" applyFont="1" applyFill="1" applyBorder="1" applyAlignment="1">
      <alignment horizontal="left" vertical="center" wrapText="1"/>
    </xf>
    <xf numFmtId="0" fontId="316" fillId="0" borderId="59" xfId="0" applyFont="1" applyBorder="1" applyAlignment="1">
      <alignment horizontal="left" vertical="center" wrapText="1"/>
    </xf>
    <xf numFmtId="0" fontId="31" fillId="47" borderId="59" xfId="9" applyFont="1" applyFill="1" applyBorder="1" applyAlignment="1">
      <alignment horizontal="center" vertical="center" wrapText="1"/>
    </xf>
    <xf numFmtId="9" fontId="316" fillId="0" borderId="59" xfId="0" applyNumberFormat="1" applyFont="1" applyBorder="1" applyAlignment="1">
      <alignment horizontal="center" vertical="center" wrapText="1"/>
    </xf>
    <xf numFmtId="0" fontId="316" fillId="49" borderId="52" xfId="0" applyFont="1" applyFill="1" applyBorder="1" applyAlignment="1">
      <alignment horizontal="left" vertical="center" wrapText="1"/>
    </xf>
    <xf numFmtId="0" fontId="316" fillId="49" borderId="54" xfId="0" applyFont="1" applyFill="1" applyBorder="1" applyAlignment="1">
      <alignment horizontal="left" vertical="center" wrapText="1"/>
    </xf>
    <xf numFmtId="0" fontId="316" fillId="0" borderId="52" xfId="0" applyFont="1" applyBorder="1" applyAlignment="1">
      <alignment horizontal="center" vertical="center" wrapText="1"/>
    </xf>
    <xf numFmtId="0" fontId="31" fillId="2" borderId="59" xfId="9" applyFont="1" applyFill="1" applyBorder="1" applyAlignment="1">
      <alignment horizontal="center" vertical="center" wrapText="1"/>
    </xf>
    <xf numFmtId="0" fontId="31" fillId="2" borderId="59" xfId="9" applyFont="1" applyFill="1" applyBorder="1" applyAlignment="1">
      <alignment horizontal="left" vertical="center" wrapText="1"/>
    </xf>
    <xf numFmtId="0" fontId="31" fillId="0" borderId="59" xfId="9" applyFont="1" applyBorder="1" applyAlignment="1">
      <alignment horizontal="left" vertical="center" wrapText="1"/>
    </xf>
    <xf numFmtId="0" fontId="31" fillId="11" borderId="59" xfId="9" applyFont="1" applyFill="1" applyBorder="1" applyAlignment="1">
      <alignment horizontal="left" vertical="center" wrapText="1"/>
    </xf>
    <xf numFmtId="9" fontId="31" fillId="0" borderId="59" xfId="1" applyFont="1" applyFill="1" applyBorder="1" applyAlignment="1">
      <alignment horizontal="center" vertical="center" wrapText="1"/>
    </xf>
    <xf numFmtId="0" fontId="31" fillId="2" borderId="52" xfId="9" applyFont="1" applyFill="1" applyBorder="1" applyAlignment="1">
      <alignment horizontal="left" vertical="center" wrapText="1"/>
    </xf>
    <xf numFmtId="0" fontId="31" fillId="2" borderId="54" xfId="9" applyFont="1" applyFill="1" applyBorder="1" applyAlignment="1">
      <alignment horizontal="left" vertical="center" wrapText="1"/>
    </xf>
    <xf numFmtId="0" fontId="31" fillId="0" borderId="52" xfId="9" applyFont="1" applyBorder="1" applyAlignment="1">
      <alignment horizontal="center" vertical="center" wrapText="1"/>
    </xf>
    <xf numFmtId="0" fontId="31" fillId="0" borderId="1" xfId="9" applyFont="1" applyBorder="1" applyAlignment="1" applyProtection="1">
      <alignment horizontal="center" vertical="center" wrapText="1"/>
      <protection locked="0"/>
    </xf>
    <xf numFmtId="0" fontId="31" fillId="0" borderId="1" xfId="9" applyFont="1" applyBorder="1" applyAlignment="1" applyProtection="1">
      <alignment horizontal="left" vertical="center" wrapText="1"/>
      <protection locked="0"/>
    </xf>
    <xf numFmtId="0" fontId="31" fillId="0" borderId="1" xfId="9" quotePrefix="1" applyFont="1" applyBorder="1" applyAlignment="1" applyProtection="1">
      <alignment horizontal="left" vertical="center" wrapText="1"/>
      <protection locked="0"/>
    </xf>
    <xf numFmtId="0" fontId="31" fillId="0" borderId="58" xfId="9" applyFont="1" applyBorder="1" applyAlignment="1">
      <alignment horizontal="center" vertical="center" wrapText="1"/>
    </xf>
    <xf numFmtId="0" fontId="31" fillId="0" borderId="58" xfId="9" applyFont="1" applyBorder="1" applyAlignment="1">
      <alignment horizontal="left" vertical="center" wrapText="1"/>
    </xf>
    <xf numFmtId="10" fontId="31" fillId="0" borderId="1" xfId="9" applyNumberFormat="1" applyFont="1" applyBorder="1" applyAlignment="1">
      <alignment horizontal="center" vertical="center" wrapText="1"/>
    </xf>
    <xf numFmtId="0" fontId="31" fillId="2" borderId="50" xfId="9" applyFont="1" applyFill="1" applyBorder="1" applyAlignment="1">
      <alignment horizontal="left" vertical="center" wrapText="1"/>
    </xf>
    <xf numFmtId="9" fontId="31" fillId="0" borderId="1" xfId="1" applyFont="1" applyFill="1" applyBorder="1" applyAlignment="1">
      <alignment horizontal="center" vertical="center" wrapText="1"/>
    </xf>
    <xf numFmtId="0" fontId="31" fillId="0" borderId="59" xfId="9" applyFont="1" applyBorder="1" applyAlignment="1">
      <alignment horizontal="center" vertical="center"/>
    </xf>
    <xf numFmtId="177" fontId="31" fillId="0" borderId="59" xfId="9" applyNumberFormat="1" applyFont="1" applyBorder="1" applyAlignment="1">
      <alignment horizontal="center" vertical="center" wrapText="1"/>
    </xf>
    <xf numFmtId="0" fontId="316" fillId="0" borderId="1" xfId="9" applyFont="1" applyBorder="1" applyAlignment="1" applyProtection="1">
      <alignment horizontal="center" vertical="center" wrapText="1"/>
      <protection hidden="1"/>
    </xf>
    <xf numFmtId="9" fontId="31" fillId="0" borderId="59" xfId="1" applyFont="1" applyBorder="1" applyAlignment="1">
      <alignment horizontal="center" vertical="center" wrapText="1"/>
    </xf>
    <xf numFmtId="0" fontId="322" fillId="50" borderId="59" xfId="0" applyFont="1" applyFill="1" applyBorder="1" applyAlignment="1">
      <alignment horizontal="center" vertical="center" wrapText="1"/>
    </xf>
    <xf numFmtId="40" fontId="1" fillId="5" borderId="1" xfId="12" applyNumberFormat="1" applyFill="1" applyBorder="1" applyAlignment="1">
      <alignment horizontal="right"/>
    </xf>
    <xf numFmtId="177" fontId="61" fillId="0" borderId="59" xfId="12" applyNumberFormat="1" applyFont="1" applyBorder="1" applyAlignment="1">
      <alignment horizontal="center" vertical="center" wrapText="1"/>
    </xf>
    <xf numFmtId="0" fontId="321" fillId="0" borderId="1" xfId="12" applyFont="1" applyBorder="1" applyAlignment="1">
      <alignment horizontal="center"/>
    </xf>
    <xf numFmtId="0" fontId="321" fillId="2" borderId="1" xfId="12" applyFont="1" applyFill="1" applyBorder="1" applyAlignment="1">
      <alignment horizontal="center"/>
    </xf>
    <xf numFmtId="3" fontId="321" fillId="0" borderId="1" xfId="12" applyNumberFormat="1" applyFont="1" applyBorder="1" applyAlignment="1">
      <alignment horizontal="right"/>
    </xf>
    <xf numFmtId="0" fontId="320" fillId="0" borderId="1" xfId="12" applyFont="1" applyBorder="1"/>
    <xf numFmtId="17" fontId="320" fillId="0" borderId="1" xfId="0" quotePrefix="1" applyNumberFormat="1" applyFont="1" applyBorder="1" applyAlignment="1">
      <alignment horizontal="center" vertical="center"/>
    </xf>
    <xf numFmtId="0" fontId="320" fillId="0" borderId="1" xfId="34" applyBorder="1"/>
    <xf numFmtId="9" fontId="320" fillId="0" borderId="0" xfId="1" applyFont="1" applyBorder="1"/>
    <xf numFmtId="0" fontId="315" fillId="0" borderId="59" xfId="9" applyFont="1" applyBorder="1" applyAlignment="1">
      <alignment horizontal="center" vertical="center" wrapText="1"/>
    </xf>
    <xf numFmtId="0" fontId="315" fillId="0" borderId="1" xfId="9" applyFont="1" applyBorder="1" applyAlignment="1">
      <alignment vertical="center"/>
    </xf>
    <xf numFmtId="0" fontId="325" fillId="0" borderId="0" xfId="0" applyFont="1"/>
    <xf numFmtId="0" fontId="327" fillId="0" borderId="1" xfId="0" applyFont="1" applyBorder="1" applyAlignment="1">
      <alignment horizontal="center"/>
    </xf>
    <xf numFmtId="0" fontId="325" fillId="0" borderId="1" xfId="0" applyFont="1" applyBorder="1" applyAlignment="1">
      <alignment horizontal="center"/>
    </xf>
    <xf numFmtId="0" fontId="325" fillId="0" borderId="1" xfId="12" applyFont="1" applyBorder="1" applyAlignment="1">
      <alignment horizontal="center"/>
    </xf>
    <xf numFmtId="0" fontId="325" fillId="0" borderId="1" xfId="12" applyFont="1" applyBorder="1"/>
    <xf numFmtId="182" fontId="325" fillId="0" borderId="1" xfId="1" applyNumberFormat="1" applyFont="1" applyBorder="1"/>
    <xf numFmtId="179" fontId="325" fillId="0" borderId="1" xfId="8" applyNumberFormat="1" applyFont="1" applyBorder="1"/>
    <xf numFmtId="0" fontId="327" fillId="0" borderId="1" xfId="0" applyFont="1" applyBorder="1" applyAlignment="1">
      <alignment horizontal="center" vertical="center" wrapText="1"/>
    </xf>
    <xf numFmtId="179" fontId="325" fillId="0" borderId="1" xfId="8" applyNumberFormat="1" applyFont="1" applyFill="1" applyBorder="1"/>
    <xf numFmtId="179" fontId="325" fillId="0" borderId="1" xfId="0" applyNumberFormat="1" applyFont="1" applyBorder="1" applyAlignment="1">
      <alignment horizontal="center" vertical="center" wrapText="1"/>
    </xf>
    <xf numFmtId="9" fontId="325" fillId="0" borderId="1" xfId="1" applyFont="1" applyBorder="1" applyAlignment="1">
      <alignment horizontal="right" vertical="center" wrapText="1"/>
    </xf>
    <xf numFmtId="0" fontId="325" fillId="0" borderId="1" xfId="0" applyFont="1" applyBorder="1"/>
    <xf numFmtId="9" fontId="325" fillId="0" borderId="1" xfId="0" applyNumberFormat="1" applyFont="1" applyBorder="1"/>
    <xf numFmtId="179" fontId="325" fillId="0" borderId="0" xfId="8" applyNumberFormat="1" applyFont="1" applyBorder="1"/>
    <xf numFmtId="179" fontId="325" fillId="52" borderId="0" xfId="8" applyNumberFormat="1" applyFont="1" applyFill="1" applyBorder="1" applyAlignment="1">
      <alignment horizontal="center"/>
    </xf>
    <xf numFmtId="0" fontId="329" fillId="33" borderId="1" xfId="23" applyFont="1" applyFill="1" applyBorder="1" applyAlignment="1">
      <alignment horizontal="center" vertical="center" wrapText="1"/>
    </xf>
    <xf numFmtId="0" fontId="329" fillId="33" borderId="1" xfId="23" applyFont="1" applyFill="1" applyBorder="1" applyAlignment="1">
      <alignment horizontal="center" vertical="center"/>
    </xf>
    <xf numFmtId="0" fontId="329" fillId="51" borderId="1" xfId="23" applyFont="1" applyFill="1" applyBorder="1" applyAlignment="1">
      <alignment horizontal="center" vertical="center"/>
    </xf>
    <xf numFmtId="0" fontId="329" fillId="33" borderId="6" xfId="23" applyFont="1" applyFill="1" applyBorder="1" applyAlignment="1">
      <alignment horizontal="center" vertical="center"/>
    </xf>
    <xf numFmtId="41" fontId="328" fillId="0" borderId="1" xfId="25" applyFont="1" applyBorder="1"/>
    <xf numFmtId="41" fontId="325" fillId="0" borderId="1" xfId="12" applyNumberFormat="1" applyFont="1" applyBorder="1"/>
    <xf numFmtId="41" fontId="328" fillId="11" borderId="1" xfId="25" applyFont="1" applyFill="1" applyBorder="1"/>
    <xf numFmtId="38" fontId="325" fillId="0" borderId="1" xfId="12" applyNumberFormat="1" applyFont="1" applyBorder="1"/>
    <xf numFmtId="0" fontId="328" fillId="0" borderId="1" xfId="23" applyFont="1" applyBorder="1"/>
    <xf numFmtId="41" fontId="328" fillId="0" borderId="6" xfId="25" applyFont="1" applyBorder="1"/>
    <xf numFmtId="41" fontId="328" fillId="0" borderId="1" xfId="25" applyFont="1" applyFill="1" applyBorder="1"/>
    <xf numFmtId="0" fontId="328" fillId="0" borderId="1" xfId="23" applyFont="1" applyBorder="1" applyAlignment="1">
      <alignment horizontal="center"/>
    </xf>
    <xf numFmtId="41" fontId="327" fillId="0" borderId="6" xfId="0" applyNumberFormat="1" applyFont="1" applyBorder="1"/>
    <xf numFmtId="41" fontId="328" fillId="5" borderId="1" xfId="25" applyFont="1" applyFill="1" applyBorder="1"/>
    <xf numFmtId="0" fontId="327" fillId="5" borderId="6" xfId="0" applyFont="1" applyFill="1" applyBorder="1"/>
    <xf numFmtId="41" fontId="328" fillId="5" borderId="6" xfId="25" applyFont="1" applyFill="1" applyBorder="1"/>
    <xf numFmtId="0" fontId="327" fillId="0" borderId="1" xfId="12" applyFont="1" applyBorder="1" applyAlignment="1">
      <alignment horizontal="center"/>
    </xf>
    <xf numFmtId="0" fontId="327" fillId="2" borderId="1" xfId="12" applyFont="1" applyFill="1" applyBorder="1" applyAlignment="1">
      <alignment horizontal="center"/>
    </xf>
    <xf numFmtId="10" fontId="325" fillId="0" borderId="1" xfId="0" applyNumberFormat="1" applyFont="1" applyBorder="1" applyAlignment="1">
      <alignment horizontal="center"/>
    </xf>
    <xf numFmtId="10" fontId="325" fillId="0" borderId="1" xfId="12" applyNumberFormat="1" applyFont="1" applyBorder="1"/>
    <xf numFmtId="9" fontId="325" fillId="0" borderId="1" xfId="12" applyNumberFormat="1" applyFont="1" applyBorder="1"/>
    <xf numFmtId="3" fontId="325" fillId="0" borderId="1" xfId="12" applyNumberFormat="1" applyFont="1" applyBorder="1"/>
    <xf numFmtId="3" fontId="325" fillId="0" borderId="1" xfId="12" applyNumberFormat="1" applyFont="1" applyBorder="1" applyAlignment="1">
      <alignment horizontal="center"/>
    </xf>
    <xf numFmtId="180" fontId="325" fillId="0" borderId="1" xfId="32" applyNumberFormat="1" applyFont="1" applyBorder="1"/>
    <xf numFmtId="180" fontId="325" fillId="0" borderId="1" xfId="12" applyNumberFormat="1" applyFont="1" applyBorder="1"/>
    <xf numFmtId="0" fontId="1" fillId="0" borderId="116" xfId="12" applyBorder="1"/>
    <xf numFmtId="0" fontId="1" fillId="0" borderId="117" xfId="12" applyBorder="1"/>
    <xf numFmtId="0" fontId="1" fillId="0" borderId="0" xfId="12"/>
    <xf numFmtId="0" fontId="1" fillId="0" borderId="119" xfId="12" applyBorder="1"/>
    <xf numFmtId="0" fontId="0" fillId="0" borderId="118" xfId="0" applyBorder="1"/>
    <xf numFmtId="0" fontId="76" fillId="0" borderId="0" xfId="12" applyFont="1" applyAlignment="1">
      <alignment horizontal="center"/>
    </xf>
    <xf numFmtId="0" fontId="1" fillId="0" borderId="120" xfId="12" applyBorder="1"/>
    <xf numFmtId="0" fontId="1" fillId="0" borderId="121" xfId="12" applyBorder="1"/>
    <xf numFmtId="0" fontId="1" fillId="0" borderId="122" xfId="12" applyBorder="1"/>
    <xf numFmtId="0" fontId="0" fillId="0" borderId="119" xfId="0" applyBorder="1"/>
    <xf numFmtId="41" fontId="1" fillId="0" borderId="0" xfId="12" applyNumberFormat="1"/>
    <xf numFmtId="0" fontId="96" fillId="0" borderId="0" xfId="0" applyFont="1"/>
    <xf numFmtId="0" fontId="0" fillId="0" borderId="121" xfId="0" applyBorder="1"/>
    <xf numFmtId="0" fontId="0" fillId="0" borderId="122" xfId="0" applyBorder="1"/>
    <xf numFmtId="0" fontId="320" fillId="0" borderId="123" xfId="12" applyFont="1" applyBorder="1"/>
    <xf numFmtId="0" fontId="320" fillId="0" borderId="124" xfId="12" applyFont="1" applyBorder="1"/>
    <xf numFmtId="0" fontId="320" fillId="0" borderId="125" xfId="12" applyFont="1" applyBorder="1"/>
    <xf numFmtId="0" fontId="324" fillId="0" borderId="126" xfId="0" applyFont="1" applyBorder="1"/>
    <xf numFmtId="0" fontId="324" fillId="0" borderId="0" xfId="0" applyFont="1"/>
    <xf numFmtId="0" fontId="318" fillId="0" borderId="0" xfId="0" applyFont="1"/>
    <xf numFmtId="0" fontId="318" fillId="0" borderId="0" xfId="12" applyFont="1"/>
    <xf numFmtId="0" fontId="320" fillId="0" borderId="0" xfId="12" applyFont="1"/>
    <xf numFmtId="0" fontId="320" fillId="0" borderId="127" xfId="12" applyFont="1" applyBorder="1"/>
    <xf numFmtId="0" fontId="320" fillId="0" borderId="126" xfId="12" applyFont="1" applyBorder="1"/>
    <xf numFmtId="0" fontId="318" fillId="0" borderId="0" xfId="0" applyFont="1" applyAlignment="1">
      <alignment vertical="center"/>
    </xf>
    <xf numFmtId="0" fontId="319" fillId="0" borderId="0" xfId="0" applyFont="1" applyAlignment="1">
      <alignment vertical="center"/>
    </xf>
    <xf numFmtId="0" fontId="320" fillId="0" borderId="127" xfId="0" applyFont="1" applyBorder="1"/>
    <xf numFmtId="0" fontId="320" fillId="0" borderId="0" xfId="0" applyFont="1" applyAlignment="1">
      <alignment horizontal="center" vertical="center"/>
    </xf>
    <xf numFmtId="0" fontId="320" fillId="0" borderId="126" xfId="0" applyFont="1" applyBorder="1"/>
    <xf numFmtId="179" fontId="320" fillId="0" borderId="0" xfId="0" applyNumberFormat="1" applyFont="1" applyAlignment="1">
      <alignment horizontal="center" vertical="center"/>
    </xf>
    <xf numFmtId="0" fontId="320" fillId="0" borderId="0" xfId="0" applyFont="1" applyAlignment="1">
      <alignment horizontal="center"/>
    </xf>
    <xf numFmtId="179" fontId="320" fillId="0" borderId="0" xfId="0" applyNumberFormat="1" applyFont="1" applyAlignment="1">
      <alignment horizontal="center"/>
    </xf>
    <xf numFmtId="179" fontId="320" fillId="0" borderId="0" xfId="0" applyNumberFormat="1" applyFont="1"/>
    <xf numFmtId="0" fontId="321" fillId="0" borderId="0" xfId="12" applyFont="1"/>
    <xf numFmtId="179" fontId="320" fillId="0" borderId="0" xfId="12" applyNumberFormat="1" applyFont="1"/>
    <xf numFmtId="0" fontId="320" fillId="0" borderId="0" xfId="34"/>
    <xf numFmtId="0" fontId="320" fillId="0" borderId="0" xfId="34" applyAlignment="1">
      <alignment horizontal="center" vertical="center"/>
    </xf>
    <xf numFmtId="0" fontId="320" fillId="0" borderId="0" xfId="34" applyAlignment="1">
      <alignment horizontal="center"/>
    </xf>
    <xf numFmtId="0" fontId="320" fillId="0" borderId="128" xfId="0" applyFont="1" applyBorder="1"/>
    <xf numFmtId="0" fontId="320" fillId="0" borderId="129" xfId="0" applyFont="1" applyBorder="1"/>
    <xf numFmtId="0" fontId="320" fillId="0" borderId="130" xfId="0" applyFont="1" applyBorder="1"/>
    <xf numFmtId="0" fontId="326" fillId="0" borderId="115" xfId="0" applyFont="1" applyBorder="1"/>
    <xf numFmtId="0" fontId="326" fillId="0" borderId="116" xfId="0" applyFont="1" applyBorder="1"/>
    <xf numFmtId="0" fontId="325" fillId="0" borderId="116" xfId="12" applyFont="1" applyBorder="1"/>
    <xf numFmtId="0" fontId="325" fillId="0" borderId="117" xfId="12" applyFont="1" applyBorder="1"/>
    <xf numFmtId="0" fontId="325" fillId="0" borderId="118" xfId="12" applyFont="1" applyBorder="1"/>
    <xf numFmtId="0" fontId="325" fillId="0" borderId="0" xfId="12" applyFont="1"/>
    <xf numFmtId="0" fontId="325" fillId="0" borderId="119" xfId="12" applyFont="1" applyBorder="1"/>
    <xf numFmtId="0" fontId="325" fillId="0" borderId="120" xfId="12" applyFont="1" applyBorder="1"/>
    <xf numFmtId="0" fontId="325" fillId="0" borderId="121" xfId="12" applyFont="1" applyBorder="1"/>
    <xf numFmtId="0" fontId="325" fillId="0" borderId="122" xfId="12" applyFont="1" applyBorder="1"/>
    <xf numFmtId="10" fontId="323" fillId="0" borderId="1" xfId="12" applyNumberFormat="1" applyFont="1" applyBorder="1"/>
    <xf numFmtId="0" fontId="1" fillId="0" borderId="124" xfId="12" applyBorder="1"/>
    <xf numFmtId="0" fontId="1" fillId="0" borderId="125" xfId="12" applyBorder="1"/>
    <xf numFmtId="0" fontId="1" fillId="0" borderId="126" xfId="12" applyBorder="1"/>
    <xf numFmtId="0" fontId="1" fillId="0" borderId="127" xfId="12" applyBorder="1"/>
    <xf numFmtId="0" fontId="1" fillId="0" borderId="128" xfId="12" applyBorder="1"/>
    <xf numFmtId="0" fontId="1" fillId="0" borderId="130" xfId="12" applyBorder="1"/>
    <xf numFmtId="0" fontId="326" fillId="0" borderId="123" xfId="0" applyFont="1" applyBorder="1"/>
    <xf numFmtId="0" fontId="326" fillId="0" borderId="124" xfId="0" applyFont="1" applyBorder="1"/>
    <xf numFmtId="0" fontId="328" fillId="0" borderId="124" xfId="0" applyFont="1" applyBorder="1"/>
    <xf numFmtId="0" fontId="325" fillId="0" borderId="124" xfId="12" applyFont="1" applyBorder="1"/>
    <xf numFmtId="0" fontId="325" fillId="0" borderId="125" xfId="12" applyFont="1" applyBorder="1"/>
    <xf numFmtId="0" fontId="325" fillId="0" borderId="126" xfId="12" applyFont="1" applyBorder="1"/>
    <xf numFmtId="0" fontId="325" fillId="0" borderId="127" xfId="12" applyFont="1" applyBorder="1"/>
    <xf numFmtId="0" fontId="327" fillId="0" borderId="0" xfId="12" applyFont="1"/>
    <xf numFmtId="3" fontId="325" fillId="0" borderId="0" xfId="12" applyNumberFormat="1" applyFont="1"/>
    <xf numFmtId="0" fontId="325" fillId="0" borderId="128" xfId="12" applyFont="1" applyBorder="1"/>
    <xf numFmtId="0" fontId="325" fillId="0" borderId="129" xfId="12" applyFont="1" applyBorder="1"/>
    <xf numFmtId="0" fontId="325" fillId="0" borderId="130" xfId="12" applyFont="1" applyBorder="1"/>
    <xf numFmtId="0" fontId="1" fillId="0" borderId="123" xfId="12" applyBorder="1"/>
    <xf numFmtId="0" fontId="1" fillId="0" borderId="0" xfId="12" applyAlignment="1">
      <alignment horizontal="center" vertical="center"/>
    </xf>
    <xf numFmtId="3" fontId="1" fillId="0" borderId="0" xfId="12" applyNumberFormat="1" applyAlignment="1">
      <alignment horizontal="center" vertical="center"/>
    </xf>
    <xf numFmtId="0" fontId="1" fillId="11" borderId="126" xfId="12" applyFill="1" applyBorder="1"/>
    <xf numFmtId="0" fontId="1" fillId="11" borderId="0" xfId="12" applyFill="1"/>
    <xf numFmtId="164" fontId="76" fillId="11" borderId="0" xfId="12" applyNumberFormat="1" applyFont="1" applyFill="1"/>
    <xf numFmtId="0" fontId="1" fillId="11" borderId="127" xfId="12" applyFill="1" applyBorder="1"/>
    <xf numFmtId="2" fontId="1" fillId="0" borderId="0" xfId="12" applyNumberFormat="1"/>
    <xf numFmtId="164" fontId="1" fillId="0" borderId="0" xfId="12" applyNumberFormat="1"/>
    <xf numFmtId="165" fontId="1" fillId="0" borderId="0" xfId="12" applyNumberFormat="1"/>
    <xf numFmtId="0" fontId="76" fillId="0" borderId="0" xfId="12" applyFont="1" applyAlignment="1">
      <alignment horizontal="center" wrapText="1"/>
    </xf>
    <xf numFmtId="0" fontId="76" fillId="5" borderId="0" xfId="12" applyFont="1" applyFill="1" applyAlignment="1">
      <alignment horizontal="center"/>
    </xf>
    <xf numFmtId="0" fontId="1" fillId="0" borderId="131" xfId="12" applyBorder="1"/>
    <xf numFmtId="40" fontId="1" fillId="0" borderId="131" xfId="12" applyNumberFormat="1" applyBorder="1" applyAlignment="1">
      <alignment horizontal="right"/>
    </xf>
    <xf numFmtId="0" fontId="76" fillId="0" borderId="129" xfId="12" applyFont="1" applyBorder="1" applyAlignment="1">
      <alignment horizontal="center"/>
    </xf>
    <xf numFmtId="0" fontId="326" fillId="0" borderId="126" xfId="0" applyFont="1" applyBorder="1"/>
    <xf numFmtId="0" fontId="326" fillId="0" borderId="0" xfId="0" applyFont="1"/>
    <xf numFmtId="0" fontId="325" fillId="0" borderId="0" xfId="12" applyFont="1" applyAlignment="1">
      <alignment horizontal="center" vertical="center"/>
    </xf>
    <xf numFmtId="0" fontId="328" fillId="0" borderId="116" xfId="0" applyFont="1" applyBorder="1"/>
    <xf numFmtId="0" fontId="325" fillId="0" borderId="116" xfId="0" applyFont="1" applyBorder="1"/>
    <xf numFmtId="0" fontId="325" fillId="0" borderId="117" xfId="0" applyFont="1" applyBorder="1"/>
    <xf numFmtId="0" fontId="325" fillId="0" borderId="118" xfId="0" applyFont="1" applyBorder="1"/>
    <xf numFmtId="0" fontId="329" fillId="0" borderId="0" xfId="0" applyFont="1"/>
    <xf numFmtId="0" fontId="328" fillId="0" borderId="0" xfId="0" applyFont="1"/>
    <xf numFmtId="0" fontId="325" fillId="0" borderId="119" xfId="0" applyFont="1" applyBorder="1"/>
    <xf numFmtId="0" fontId="329" fillId="11" borderId="0" xfId="23" applyFont="1" applyFill="1"/>
    <xf numFmtId="3" fontId="328" fillId="11" borderId="0" xfId="23" applyNumberFormat="1" applyFont="1" applyFill="1"/>
    <xf numFmtId="0" fontId="325" fillId="0" borderId="115" xfId="12" applyFont="1" applyBorder="1"/>
    <xf numFmtId="0" fontId="326" fillId="0" borderId="118" xfId="0" applyFont="1" applyBorder="1"/>
    <xf numFmtId="175" fontId="325" fillId="0" borderId="0" xfId="0" applyNumberFormat="1" applyFont="1"/>
    <xf numFmtId="0" fontId="327" fillId="0" borderId="118" xfId="0" applyFont="1" applyBorder="1" applyAlignment="1">
      <alignment vertical="center" wrapText="1"/>
    </xf>
    <xf numFmtId="0" fontId="325" fillId="0" borderId="1" xfId="0" applyFont="1" applyBorder="1" applyAlignment="1">
      <alignment horizontal="center" vertical="center" wrapText="1"/>
    </xf>
    <xf numFmtId="0" fontId="316" fillId="0" borderId="58" xfId="0" applyFont="1" applyBorder="1" applyAlignment="1">
      <alignment horizontal="left" vertical="center" wrapText="1"/>
    </xf>
    <xf numFmtId="0" fontId="316" fillId="0" borderId="0" xfId="0" applyFont="1" applyAlignment="1">
      <alignment horizontal="left" vertical="center" wrapText="1"/>
    </xf>
    <xf numFmtId="0" fontId="316" fillId="49" borderId="3" xfId="0" applyFont="1" applyFill="1" applyBorder="1" applyAlignment="1">
      <alignment vertical="center"/>
    </xf>
    <xf numFmtId="0" fontId="322" fillId="0" borderId="59" xfId="0" applyFont="1" applyBorder="1" applyAlignment="1">
      <alignment horizontal="center" vertical="center" wrapText="1"/>
    </xf>
    <xf numFmtId="0" fontId="325" fillId="0" borderId="118" xfId="12" applyFont="1" applyBorder="1" applyAlignment="1">
      <alignment wrapText="1"/>
    </xf>
    <xf numFmtId="10" fontId="325" fillId="0" borderId="0" xfId="12" applyNumberFormat="1" applyFont="1"/>
    <xf numFmtId="0" fontId="0" fillId="0" borderId="119" xfId="0" applyBorder="1" applyAlignment="1">
      <alignment wrapText="1"/>
    </xf>
    <xf numFmtId="0" fontId="0" fillId="0" borderId="117" xfId="0" applyBorder="1"/>
    <xf numFmtId="0" fontId="0" fillId="0" borderId="120" xfId="0" applyBorder="1"/>
    <xf numFmtId="0" fontId="315" fillId="0" borderId="1" xfId="9" applyFont="1" applyBorder="1" applyAlignment="1">
      <alignment vertical="center" wrapText="1"/>
    </xf>
    <xf numFmtId="9" fontId="325" fillId="0" borderId="0" xfId="1" applyFont="1" applyBorder="1"/>
    <xf numFmtId="0" fontId="0" fillId="0" borderId="116" xfId="0" applyBorder="1"/>
    <xf numFmtId="9" fontId="325" fillId="0" borderId="1" xfId="1" applyFont="1" applyBorder="1"/>
    <xf numFmtId="177" fontId="330" fillId="0" borderId="59" xfId="9" applyNumberFormat="1" applyFont="1" applyBorder="1" applyAlignment="1">
      <alignment horizontal="center" vertical="center" wrapText="1"/>
    </xf>
    <xf numFmtId="177" fontId="315" fillId="0" borderId="59" xfId="9" applyNumberFormat="1" applyFont="1" applyBorder="1" applyAlignment="1">
      <alignment horizontal="center" vertical="center" wrapText="1"/>
    </xf>
    <xf numFmtId="0" fontId="327" fillId="0" borderId="45" xfId="0" applyFont="1" applyBorder="1" applyAlignment="1">
      <alignment horizontal="center" vertical="center" wrapText="1"/>
    </xf>
    <xf numFmtId="0" fontId="327" fillId="0" borderId="0" xfId="0" applyFont="1" applyAlignment="1">
      <alignment horizontal="center" vertical="center" wrapText="1"/>
    </xf>
    <xf numFmtId="179" fontId="325" fillId="0" borderId="45" xfId="8" applyNumberFormat="1" applyFont="1" applyBorder="1"/>
    <xf numFmtId="9" fontId="325" fillId="0" borderId="0" xfId="0" applyNumberFormat="1" applyFont="1"/>
    <xf numFmtId="179" fontId="327" fillId="0" borderId="1" xfId="0" applyNumberFormat="1" applyFont="1" applyBorder="1" applyAlignment="1">
      <alignment horizontal="center" vertical="center" wrapText="1"/>
    </xf>
    <xf numFmtId="0" fontId="327" fillId="0" borderId="133" xfId="0" applyFont="1" applyBorder="1" applyAlignment="1">
      <alignment horizontal="center" vertical="center"/>
    </xf>
    <xf numFmtId="0" fontId="327" fillId="0" borderId="133" xfId="0" applyFont="1" applyBorder="1" applyAlignment="1">
      <alignment horizontal="center" vertical="center" wrapText="1"/>
    </xf>
    <xf numFmtId="0" fontId="327" fillId="0" borderId="133" xfId="12" applyFont="1" applyBorder="1" applyAlignment="1">
      <alignment horizontal="center" vertical="center" wrapText="1"/>
    </xf>
    <xf numFmtId="0" fontId="325" fillId="0" borderId="133" xfId="0" applyFont="1" applyBorder="1" applyAlignment="1">
      <alignment horizontal="left"/>
    </xf>
    <xf numFmtId="10" fontId="325" fillId="0" borderId="133" xfId="0" applyNumberFormat="1" applyFont="1" applyBorder="1" applyAlignment="1">
      <alignment horizontal="center"/>
    </xf>
    <xf numFmtId="10" fontId="325" fillId="0" borderId="133" xfId="12" applyNumberFormat="1" applyFont="1" applyBorder="1"/>
    <xf numFmtId="10" fontId="323" fillId="0" borderId="133" xfId="12" applyNumberFormat="1" applyFont="1" applyBorder="1"/>
    <xf numFmtId="179" fontId="325" fillId="0" borderId="133" xfId="8" applyNumberFormat="1" applyFont="1" applyBorder="1" applyAlignment="1">
      <alignment horizontal="center"/>
    </xf>
    <xf numFmtId="0" fontId="325" fillId="0" borderId="133" xfId="12" applyFont="1" applyBorder="1" applyAlignment="1">
      <alignment horizontal="center"/>
    </xf>
    <xf numFmtId="10" fontId="325" fillId="0" borderId="133" xfId="1" applyNumberFormat="1" applyFont="1" applyBorder="1" applyAlignment="1">
      <alignment horizontal="center"/>
    </xf>
    <xf numFmtId="179" fontId="327" fillId="0" borderId="133" xfId="8" applyNumberFormat="1" applyFont="1" applyBorder="1" applyAlignment="1">
      <alignment horizontal="center"/>
    </xf>
    <xf numFmtId="9" fontId="31" fillId="0" borderId="1" xfId="9" applyNumberFormat="1" applyFont="1" applyBorder="1" applyAlignment="1">
      <alignment horizontal="center" vertical="center" wrapText="1"/>
    </xf>
    <xf numFmtId="0" fontId="315" fillId="0" borderId="1" xfId="9" applyFont="1" applyBorder="1" applyAlignment="1" applyProtection="1">
      <alignment horizontal="left" vertical="center" wrapText="1"/>
      <protection locked="0"/>
    </xf>
    <xf numFmtId="0" fontId="2" fillId="0" borderId="0" xfId="0" quotePrefix="1" applyFont="1" applyAlignment="1">
      <alignment horizontal="center" vertical="center"/>
    </xf>
    <xf numFmtId="0" fontId="1" fillId="0" borderId="129" xfId="12" applyBorder="1"/>
    <xf numFmtId="0" fontId="325" fillId="0" borderId="133" xfId="0" applyFont="1" applyBorder="1" applyAlignment="1">
      <alignment horizontal="center" vertical="center" wrapText="1"/>
    </xf>
    <xf numFmtId="179" fontId="325" fillId="0" borderId="133" xfId="8" applyNumberFormat="1" applyFont="1" applyFill="1" applyBorder="1"/>
    <xf numFmtId="179" fontId="327" fillId="0" borderId="133" xfId="0" applyNumberFormat="1" applyFont="1" applyBorder="1" applyAlignment="1">
      <alignment horizontal="center" vertical="center" wrapText="1"/>
    </xf>
    <xf numFmtId="0" fontId="325" fillId="0" borderId="133" xfId="0" applyFont="1" applyBorder="1" applyAlignment="1">
      <alignment horizontal="center"/>
    </xf>
    <xf numFmtId="179" fontId="325" fillId="0" borderId="133" xfId="8" applyNumberFormat="1" applyFont="1" applyBorder="1"/>
    <xf numFmtId="0" fontId="1" fillId="0" borderId="132" xfId="12" applyBorder="1"/>
    <xf numFmtId="0" fontId="325" fillId="0" borderId="132" xfId="12" applyFont="1" applyBorder="1"/>
    <xf numFmtId="0" fontId="0" fillId="0" borderId="133" xfId="0" applyBorder="1"/>
    <xf numFmtId="0" fontId="2" fillId="0" borderId="133" xfId="0" applyFont="1" applyBorder="1"/>
    <xf numFmtId="0" fontId="2" fillId="0" borderId="133" xfId="0" quotePrefix="1" applyFont="1" applyBorder="1" applyAlignment="1">
      <alignment horizontal="center" vertical="center"/>
    </xf>
    <xf numFmtId="10" fontId="2" fillId="0" borderId="133" xfId="1" applyNumberFormat="1" applyFont="1" applyBorder="1"/>
    <xf numFmtId="0" fontId="2" fillId="0" borderId="134" xfId="0" applyFont="1" applyBorder="1"/>
    <xf numFmtId="0" fontId="0" fillId="0" borderId="132" xfId="0" applyBorder="1"/>
    <xf numFmtId="0" fontId="0" fillId="0" borderId="135" xfId="0" applyBorder="1"/>
    <xf numFmtId="0" fontId="0" fillId="0" borderId="136" xfId="0" applyBorder="1"/>
    <xf numFmtId="0" fontId="2" fillId="0" borderId="136" xfId="0" applyFont="1" applyBorder="1"/>
    <xf numFmtId="0" fontId="2" fillId="0" borderId="133" xfId="0" applyFont="1" applyBorder="1" applyAlignment="1">
      <alignment horizontal="center" vertical="center"/>
    </xf>
    <xf numFmtId="0" fontId="2" fillId="0" borderId="137" xfId="0" applyFont="1" applyBorder="1"/>
    <xf numFmtId="0" fontId="2" fillId="0" borderId="137" xfId="0" quotePrefix="1" applyFont="1" applyBorder="1" applyAlignment="1">
      <alignment horizontal="center" vertical="center"/>
    </xf>
    <xf numFmtId="0" fontId="2" fillId="0" borderId="122" xfId="0" applyFont="1" applyBorder="1"/>
    <xf numFmtId="0" fontId="2" fillId="0" borderId="133" xfId="0" quotePrefix="1" applyFont="1" applyBorder="1" applyAlignment="1">
      <alignment horizontal="left" vertical="center"/>
    </xf>
    <xf numFmtId="10" fontId="0" fillId="0" borderId="136" xfId="0" applyNumberFormat="1" applyBorder="1"/>
    <xf numFmtId="10" fontId="2" fillId="0" borderId="136" xfId="0" applyNumberFormat="1" applyFont="1" applyBorder="1"/>
    <xf numFmtId="10" fontId="0" fillId="0" borderId="134" xfId="0" applyNumberFormat="1" applyBorder="1"/>
    <xf numFmtId="10" fontId="2" fillId="0" borderId="134" xfId="0" applyNumberFormat="1" applyFont="1" applyBorder="1"/>
    <xf numFmtId="9" fontId="2" fillId="0" borderId="133" xfId="0" applyNumberFormat="1" applyFont="1" applyBorder="1"/>
    <xf numFmtId="0" fontId="315" fillId="2" borderId="59" xfId="9" applyFont="1" applyFill="1" applyBorder="1" applyAlignment="1">
      <alignment horizontal="center" vertical="center" wrapText="1"/>
    </xf>
    <xf numFmtId="0" fontId="315" fillId="2" borderId="59" xfId="9" applyFont="1" applyFill="1" applyBorder="1" applyAlignment="1">
      <alignment horizontal="left" vertical="center" wrapText="1"/>
    </xf>
    <xf numFmtId="0" fontId="315" fillId="0" borderId="1" xfId="9" applyFont="1" applyBorder="1" applyAlignment="1" applyProtection="1">
      <alignment horizontal="center" vertical="center" wrapText="1"/>
      <protection locked="0"/>
    </xf>
    <xf numFmtId="165" fontId="325" fillId="0" borderId="133" xfId="8" applyFont="1" applyFill="1" applyBorder="1"/>
    <xf numFmtId="165" fontId="325" fillId="0" borderId="133" xfId="8" applyFont="1" applyBorder="1"/>
    <xf numFmtId="9" fontId="1" fillId="0" borderId="0" xfId="12" applyNumberFormat="1"/>
    <xf numFmtId="165" fontId="327" fillId="0" borderId="133" xfId="8" applyFont="1" applyBorder="1" applyAlignment="1">
      <alignment horizontal="center" vertical="center" wrapText="1"/>
    </xf>
    <xf numFmtId="41" fontId="25" fillId="0" borderId="1" xfId="25" applyFont="1" applyFill="1" applyBorder="1"/>
    <xf numFmtId="41" fontId="25" fillId="11" borderId="1" xfId="25" applyFont="1" applyFill="1" applyBorder="1"/>
    <xf numFmtId="0" fontId="76" fillId="53" borderId="1" xfId="0" applyFont="1" applyFill="1" applyBorder="1" applyAlignment="1">
      <alignment horizontal="center"/>
    </xf>
    <xf numFmtId="0" fontId="0" fillId="0" borderId="1" xfId="0" applyBorder="1" applyAlignment="1">
      <alignment horizontal="center"/>
    </xf>
    <xf numFmtId="0" fontId="76" fillId="53" borderId="1" xfId="0" applyFont="1" applyFill="1" applyBorder="1" applyAlignment="1">
      <alignment horizontal="center" vertical="center"/>
    </xf>
    <xf numFmtId="0" fontId="5" fillId="16" borderId="47" xfId="9" applyFont="1" applyFill="1" applyBorder="1" applyAlignment="1">
      <alignment horizontal="center" vertical="center" wrapText="1"/>
    </xf>
    <xf numFmtId="0" fontId="58" fillId="0" borderId="58" xfId="9" applyFont="1" applyBorder="1" applyAlignment="1">
      <alignment horizontal="center"/>
    </xf>
    <xf numFmtId="0" fontId="5" fillId="18" borderId="47" xfId="9" applyFont="1" applyFill="1" applyBorder="1" applyAlignment="1">
      <alignment horizontal="center" vertical="center" wrapText="1"/>
    </xf>
    <xf numFmtId="0" fontId="58" fillId="17" borderId="58" xfId="9" applyFont="1" applyFill="1" applyBorder="1" applyAlignment="1">
      <alignment horizontal="center"/>
    </xf>
    <xf numFmtId="0" fontId="58" fillId="0" borderId="58" xfId="9" applyFont="1" applyBorder="1"/>
    <xf numFmtId="0" fontId="5" fillId="16" borderId="58" xfId="9" applyFont="1" applyFill="1" applyBorder="1" applyAlignment="1">
      <alignment horizontal="center" vertical="center" wrapText="1"/>
    </xf>
    <xf numFmtId="0" fontId="11" fillId="16" borderId="47" xfId="9" applyFont="1" applyFill="1" applyBorder="1" applyAlignment="1">
      <alignment horizontal="center" vertical="center" wrapText="1"/>
    </xf>
    <xf numFmtId="0" fontId="55" fillId="17" borderId="6" xfId="9" applyFont="1" applyFill="1" applyBorder="1" applyAlignment="1">
      <alignment horizontal="center"/>
    </xf>
    <xf numFmtId="0" fontId="55" fillId="17" borderId="7" xfId="9" applyFont="1" applyFill="1" applyBorder="1" applyAlignment="1">
      <alignment horizontal="center"/>
    </xf>
    <xf numFmtId="0" fontId="55" fillId="17" borderId="8" xfId="9" applyFont="1" applyFill="1" applyBorder="1" applyAlignment="1">
      <alignment horizontal="center"/>
    </xf>
    <xf numFmtId="0" fontId="7" fillId="25" borderId="52" xfId="9" applyFont="1" applyFill="1" applyBorder="1" applyAlignment="1">
      <alignment horizontal="center" vertical="center" wrapText="1"/>
    </xf>
    <xf numFmtId="0" fontId="7" fillId="25" borderId="53" xfId="9" applyFont="1" applyFill="1" applyBorder="1" applyAlignment="1">
      <alignment horizontal="center" vertical="center" wrapText="1"/>
    </xf>
    <xf numFmtId="0" fontId="7" fillId="25" borderId="54" xfId="9" applyFont="1" applyFill="1" applyBorder="1" applyAlignment="1">
      <alignment horizontal="center" vertical="center" wrapText="1"/>
    </xf>
    <xf numFmtId="0" fontId="8" fillId="0" borderId="52" xfId="9" applyFont="1" applyBorder="1" applyAlignment="1">
      <alignment horizontal="center" vertical="center" wrapText="1"/>
    </xf>
    <xf numFmtId="0" fontId="8" fillId="0" borderId="53" xfId="9" applyFont="1" applyBorder="1" applyAlignment="1">
      <alignment horizontal="center" vertical="center" wrapText="1"/>
    </xf>
    <xf numFmtId="0" fontId="8" fillId="0" borderId="54" xfId="9" applyFont="1" applyBorder="1" applyAlignment="1">
      <alignment horizontal="center" vertical="center" wrapText="1"/>
    </xf>
    <xf numFmtId="0" fontId="5" fillId="16" borderId="76" xfId="9" applyFont="1" applyFill="1" applyBorder="1" applyAlignment="1">
      <alignment horizontal="center" vertical="center" wrapText="1"/>
    </xf>
    <xf numFmtId="0" fontId="5" fillId="16" borderId="77" xfId="9" applyFont="1" applyFill="1" applyBorder="1" applyAlignment="1">
      <alignment horizontal="center" vertical="center" wrapText="1"/>
    </xf>
    <xf numFmtId="0" fontId="5" fillId="16" borderId="78" xfId="9" applyFont="1" applyFill="1" applyBorder="1" applyAlignment="1">
      <alignment horizontal="center" vertical="center" wrapText="1"/>
    </xf>
    <xf numFmtId="0" fontId="58" fillId="0" borderId="49" xfId="9" applyFont="1" applyBorder="1"/>
    <xf numFmtId="175" fontId="6" fillId="21" borderId="52" xfId="9" applyNumberFormat="1" applyFont="1" applyFill="1" applyBorder="1" applyAlignment="1">
      <alignment horizontal="center" vertical="center" wrapText="1"/>
    </xf>
    <xf numFmtId="175" fontId="6" fillId="21" borderId="53" xfId="9" applyNumberFormat="1" applyFont="1" applyFill="1" applyBorder="1" applyAlignment="1">
      <alignment horizontal="center" vertical="center" wrapText="1"/>
    </xf>
    <xf numFmtId="0" fontId="5" fillId="16" borderId="0" xfId="9" applyFont="1" applyFill="1" applyAlignment="1">
      <alignment horizontal="center" vertical="center" wrapText="1"/>
    </xf>
    <xf numFmtId="0" fontId="5" fillId="16" borderId="48" xfId="9" applyFont="1" applyFill="1" applyBorder="1" applyAlignment="1">
      <alignment horizontal="center" vertical="center" wrapText="1"/>
    </xf>
    <xf numFmtId="175" fontId="6" fillId="21" borderId="47" xfId="9" applyNumberFormat="1" applyFont="1" applyFill="1" applyBorder="1" applyAlignment="1">
      <alignment horizontal="center" vertical="center" wrapText="1"/>
    </xf>
    <xf numFmtId="175" fontId="6" fillId="21" borderId="58" xfId="9" applyNumberFormat="1" applyFont="1" applyFill="1" applyBorder="1" applyAlignment="1">
      <alignment horizontal="center" vertical="center" wrapText="1"/>
    </xf>
    <xf numFmtId="0" fontId="314" fillId="16" borderId="48" xfId="9" applyFont="1" applyFill="1" applyBorder="1" applyAlignment="1">
      <alignment horizontal="center" vertical="center" wrapText="1"/>
    </xf>
    <xf numFmtId="0" fontId="314" fillId="16" borderId="51" xfId="9" applyFont="1" applyFill="1" applyBorder="1" applyAlignment="1">
      <alignment horizontal="center" vertical="center" wrapText="1"/>
    </xf>
    <xf numFmtId="0" fontId="10" fillId="0" borderId="52" xfId="9" applyFont="1" applyBorder="1" applyAlignment="1">
      <alignment horizontal="center" vertical="center" wrapText="1"/>
    </xf>
    <xf numFmtId="0" fontId="58" fillId="0" borderId="53" xfId="9" applyFont="1" applyBorder="1"/>
    <xf numFmtId="0" fontId="58" fillId="0" borderId="54" xfId="9" applyFont="1" applyBorder="1"/>
    <xf numFmtId="175" fontId="7" fillId="25" borderId="52" xfId="9" applyNumberFormat="1" applyFont="1" applyFill="1" applyBorder="1" applyAlignment="1">
      <alignment horizontal="center" vertical="center" wrapText="1"/>
    </xf>
    <xf numFmtId="175" fontId="58" fillId="0" borderId="53" xfId="9" applyNumberFormat="1" applyFont="1" applyBorder="1"/>
    <xf numFmtId="175" fontId="58" fillId="0" borderId="54" xfId="9" applyNumberFormat="1" applyFont="1" applyBorder="1"/>
    <xf numFmtId="0" fontId="6" fillId="19" borderId="55" xfId="9" applyFont="1" applyFill="1" applyBorder="1" applyAlignment="1">
      <alignment horizontal="center" vertical="center" wrapText="1"/>
    </xf>
    <xf numFmtId="0" fontId="6" fillId="19" borderId="56" xfId="9" applyFont="1" applyFill="1" applyBorder="1" applyAlignment="1">
      <alignment horizontal="center" vertical="center" wrapText="1"/>
    </xf>
    <xf numFmtId="0" fontId="6" fillId="19" borderId="57" xfId="9" applyFont="1" applyFill="1" applyBorder="1" applyAlignment="1">
      <alignment horizontal="center" vertical="center" wrapText="1"/>
    </xf>
    <xf numFmtId="0" fontId="6" fillId="19" borderId="50" xfId="9" applyFont="1" applyFill="1" applyBorder="1" applyAlignment="1">
      <alignment horizontal="center" vertical="center" wrapText="1"/>
    </xf>
    <xf numFmtId="0" fontId="6" fillId="19" borderId="48" xfId="9" applyFont="1" applyFill="1" applyBorder="1" applyAlignment="1">
      <alignment horizontal="center" vertical="center" wrapText="1"/>
    </xf>
    <xf numFmtId="0" fontId="6" fillId="19" borderId="51" xfId="9" applyFont="1" applyFill="1" applyBorder="1" applyAlignment="1">
      <alignment horizontal="center" vertical="center" wrapText="1"/>
    </xf>
    <xf numFmtId="0" fontId="6" fillId="20" borderId="52" xfId="9" applyFont="1" applyFill="1" applyBorder="1" applyAlignment="1">
      <alignment horizontal="center" vertical="center" wrapText="1"/>
    </xf>
    <xf numFmtId="0" fontId="6" fillId="20" borderId="53" xfId="9" applyFont="1" applyFill="1" applyBorder="1" applyAlignment="1">
      <alignment horizontal="center" vertical="center" wrapText="1"/>
    </xf>
    <xf numFmtId="0" fontId="6" fillId="19" borderId="52" xfId="9" applyFont="1" applyFill="1" applyBorder="1" applyAlignment="1">
      <alignment horizontal="center" vertical="center" wrapText="1"/>
    </xf>
    <xf numFmtId="0" fontId="6" fillId="19" borderId="53" xfId="9" applyFont="1" applyFill="1" applyBorder="1" applyAlignment="1">
      <alignment horizontal="center" vertical="center" wrapText="1"/>
    </xf>
    <xf numFmtId="0" fontId="6" fillId="19" borderId="54" xfId="9" applyFont="1" applyFill="1" applyBorder="1" applyAlignment="1">
      <alignment horizontal="center" vertical="center" wrapText="1"/>
    </xf>
    <xf numFmtId="0" fontId="58" fillId="0" borderId="49" xfId="9" applyFont="1" applyBorder="1" applyAlignment="1">
      <alignment horizontal="center"/>
    </xf>
    <xf numFmtId="0" fontId="6" fillId="20" borderId="54" xfId="9" applyFont="1" applyFill="1" applyBorder="1" applyAlignment="1">
      <alignment horizontal="center" vertical="center" wrapText="1"/>
    </xf>
    <xf numFmtId="0" fontId="68" fillId="16" borderId="0" xfId="9" applyFont="1" applyFill="1" applyAlignment="1">
      <alignment horizontal="center" vertical="center" wrapText="1"/>
    </xf>
    <xf numFmtId="0" fontId="6" fillId="21" borderId="47" xfId="9" applyFont="1" applyFill="1" applyBorder="1" applyAlignment="1">
      <alignment horizontal="center" vertical="center" wrapText="1"/>
    </xf>
    <xf numFmtId="0" fontId="6" fillId="21" borderId="58" xfId="9" applyFont="1" applyFill="1" applyBorder="1" applyAlignment="1">
      <alignment horizontal="center" vertical="center" wrapText="1"/>
    </xf>
    <xf numFmtId="175" fontId="6" fillId="19" borderId="55" xfId="9" applyNumberFormat="1" applyFont="1" applyFill="1" applyBorder="1" applyAlignment="1">
      <alignment horizontal="center" vertical="center" wrapText="1"/>
    </xf>
    <xf numFmtId="175" fontId="6" fillId="19" borderId="56" xfId="9" applyNumberFormat="1" applyFont="1" applyFill="1" applyBorder="1" applyAlignment="1">
      <alignment horizontal="center" vertical="center" wrapText="1"/>
    </xf>
    <xf numFmtId="175" fontId="6" fillId="19" borderId="57" xfId="9" applyNumberFormat="1" applyFont="1" applyFill="1" applyBorder="1" applyAlignment="1">
      <alignment horizontal="center" vertical="center" wrapText="1"/>
    </xf>
    <xf numFmtId="175" fontId="6" fillId="19" borderId="50" xfId="9" applyNumberFormat="1" applyFont="1" applyFill="1" applyBorder="1" applyAlignment="1">
      <alignment horizontal="center" vertical="center" wrapText="1"/>
    </xf>
    <xf numFmtId="175" fontId="6" fillId="19" borderId="48" xfId="9" applyNumberFormat="1" applyFont="1" applyFill="1" applyBorder="1" applyAlignment="1">
      <alignment horizontal="center" vertical="center" wrapText="1"/>
    </xf>
    <xf numFmtId="175" fontId="6" fillId="19" borderId="51" xfId="9" applyNumberFormat="1" applyFont="1" applyFill="1" applyBorder="1" applyAlignment="1">
      <alignment horizontal="center" vertical="center" wrapText="1"/>
    </xf>
    <xf numFmtId="0" fontId="5" fillId="16" borderId="52" xfId="9" applyFont="1" applyFill="1" applyBorder="1" applyAlignment="1">
      <alignment horizontal="center" vertical="center" wrapText="1"/>
    </xf>
    <xf numFmtId="0" fontId="58" fillId="0" borderId="53" xfId="9" applyFont="1" applyBorder="1" applyAlignment="1">
      <alignment horizontal="center"/>
    </xf>
    <xf numFmtId="0" fontId="58" fillId="0" borderId="54" xfId="9" applyFont="1" applyBorder="1" applyAlignment="1">
      <alignment horizontal="center"/>
    </xf>
    <xf numFmtId="0" fontId="6" fillId="21" borderId="58" xfId="9" applyFont="1" applyFill="1" applyBorder="1" applyAlignment="1">
      <alignment horizontal="center" vertical="center"/>
    </xf>
    <xf numFmtId="0" fontId="21" fillId="0" borderId="0" xfId="0" applyFont="1" applyAlignment="1">
      <alignment horizontal="left" wrapText="1"/>
    </xf>
    <xf numFmtId="0" fontId="21" fillId="0" borderId="0" xfId="0" applyFont="1" applyAlignment="1">
      <alignment horizontal="left"/>
    </xf>
    <xf numFmtId="0" fontId="21" fillId="0" borderId="0" xfId="0" applyFont="1" applyAlignment="1">
      <alignment horizontal="left" vertical="top" wrapText="1"/>
    </xf>
    <xf numFmtId="0" fontId="27" fillId="0" borderId="44" xfId="0" applyFont="1" applyBorder="1" applyAlignment="1">
      <alignment horizontal="center" vertical="center"/>
    </xf>
    <xf numFmtId="0" fontId="6" fillId="5" borderId="1" xfId="0" applyFont="1" applyFill="1" applyBorder="1" applyAlignment="1" applyProtection="1">
      <alignment horizontal="left" vertical="center" wrapText="1"/>
      <protection locked="0"/>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1" fillId="0" borderId="0" xfId="0" applyFont="1" applyAlignment="1">
      <alignment horizontal="left" vertical="center" wrapText="1"/>
    </xf>
    <xf numFmtId="0" fontId="81" fillId="0" borderId="0" xfId="0" applyFont="1" applyAlignment="1">
      <alignment horizontal="left" vertical="center"/>
    </xf>
    <xf numFmtId="0" fontId="320" fillId="0" borderId="6" xfId="0" applyFont="1" applyBorder="1" applyAlignment="1">
      <alignment horizontal="center" vertical="center"/>
    </xf>
    <xf numFmtId="0" fontId="320" fillId="0" borderId="8" xfId="0" applyFont="1" applyBorder="1" applyAlignment="1">
      <alignment horizontal="center" vertical="center"/>
    </xf>
    <xf numFmtId="0" fontId="36" fillId="0" borderId="0" xfId="0" applyFont="1" applyAlignment="1">
      <alignment horizontal="left" vertical="top" wrapText="1"/>
    </xf>
    <xf numFmtId="0" fontId="25" fillId="5" borderId="0" xfId="0" applyFont="1" applyFill="1" applyAlignment="1">
      <alignment horizontal="left"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1" xfId="0" applyFont="1" applyBorder="1" applyAlignment="1">
      <alignment horizontal="center" vertical="center"/>
    </xf>
    <xf numFmtId="0" fontId="25" fillId="5" borderId="0" xfId="0" applyFont="1" applyFill="1" applyAlignment="1">
      <alignment horizontal="left" wrapText="1"/>
    </xf>
    <xf numFmtId="0" fontId="25" fillId="0" borderId="1" xfId="12" applyFont="1" applyBorder="1" applyAlignment="1">
      <alignment horizontal="center" vertical="center"/>
    </xf>
    <xf numFmtId="0" fontId="25" fillId="0" borderId="3" xfId="12" applyFont="1" applyBorder="1" applyAlignment="1">
      <alignment horizontal="center" vertical="center"/>
    </xf>
    <xf numFmtId="0" fontId="25" fillId="0" borderId="4" xfId="12" applyFont="1" applyBorder="1" applyAlignment="1">
      <alignment horizontal="center" vertical="center"/>
    </xf>
    <xf numFmtId="0" fontId="25" fillId="0" borderId="5" xfId="12" applyFont="1" applyBorder="1" applyAlignment="1">
      <alignment horizontal="center" vertical="center"/>
    </xf>
    <xf numFmtId="0" fontId="95" fillId="33" borderId="1" xfId="12" applyFont="1" applyFill="1" applyBorder="1" applyAlignment="1">
      <alignment horizontal="center" vertical="center" wrapText="1"/>
    </xf>
    <xf numFmtId="0" fontId="27" fillId="0" borderId="1" xfId="0" applyFont="1" applyBorder="1" applyAlignment="1">
      <alignment horizontal="center" vertical="center" wrapText="1"/>
    </xf>
    <xf numFmtId="43" fontId="25" fillId="0" borderId="1" xfId="14" applyFont="1" applyBorder="1" applyAlignment="1">
      <alignment horizontal="left"/>
    </xf>
    <xf numFmtId="0" fontId="27" fillId="0" borderId="56" xfId="0" applyFont="1" applyBorder="1" applyAlignment="1">
      <alignment horizontal="left" vertical="center" wrapText="1"/>
    </xf>
    <xf numFmtId="0" fontId="2" fillId="0" borderId="31" xfId="12" applyFont="1" applyBorder="1" applyAlignment="1">
      <alignment horizontal="left" vertical="center" wrapText="1"/>
    </xf>
    <xf numFmtId="0" fontId="25" fillId="33" borderId="1" xfId="0" applyFont="1" applyFill="1" applyBorder="1" applyAlignment="1">
      <alignment horizontal="center"/>
    </xf>
    <xf numFmtId="43" fontId="25" fillId="0" borderId="1" xfId="14" applyFont="1" applyBorder="1" applyAlignment="1">
      <alignment horizontal="center"/>
    </xf>
    <xf numFmtId="0" fontId="2" fillId="0" borderId="0" xfId="0" applyFont="1" applyAlignment="1">
      <alignment horizontal="left"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3" fillId="0" borderId="0" xfId="0" applyFont="1" applyAlignment="1">
      <alignment horizontal="left" vertical="center" wrapText="1"/>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33" fillId="16" borderId="55" xfId="0" applyFont="1" applyFill="1" applyBorder="1" applyAlignment="1">
      <alignment horizontal="center" vertical="center" wrapText="1"/>
    </xf>
    <xf numFmtId="0" fontId="82" fillId="0" borderId="61" xfId="0" applyFont="1" applyBorder="1"/>
    <xf numFmtId="0" fontId="82" fillId="0" borderId="50" xfId="0" applyFont="1" applyBorder="1"/>
    <xf numFmtId="0" fontId="82" fillId="0" borderId="56" xfId="0" applyFont="1" applyBorder="1"/>
    <xf numFmtId="0" fontId="82" fillId="0" borderId="57" xfId="0" applyFont="1" applyBorder="1"/>
    <xf numFmtId="0" fontId="25" fillId="0" borderId="56" xfId="0" applyFont="1" applyBorder="1" applyAlignment="1">
      <alignment horizontal="left" vertical="center" wrapText="1"/>
    </xf>
    <xf numFmtId="0" fontId="33" fillId="16" borderId="1" xfId="0" applyFont="1" applyFill="1" applyBorder="1" applyAlignment="1">
      <alignment horizontal="center" vertical="center" wrapText="1"/>
    </xf>
    <xf numFmtId="0" fontId="82" fillId="0" borderId="1" xfId="0" applyFont="1" applyBorder="1"/>
    <xf numFmtId="0" fontId="23" fillId="0" borderId="14" xfId="12" applyFont="1" applyBorder="1" applyAlignment="1">
      <alignment horizontal="left" vertical="center" wrapText="1"/>
    </xf>
    <xf numFmtId="0" fontId="2" fillId="0" borderId="1" xfId="0" applyFont="1" applyBorder="1" applyAlignment="1">
      <alignment horizontal="center"/>
    </xf>
    <xf numFmtId="0" fontId="27" fillId="0" borderId="0" xfId="0" applyFont="1" applyAlignment="1">
      <alignment horizontal="left" vertical="center" wrapText="1"/>
    </xf>
    <xf numFmtId="186" fontId="80" fillId="0" borderId="1" xfId="1" applyNumberFormat="1" applyFont="1" applyBorder="1" applyAlignment="1">
      <alignment horizontal="center" wrapText="1"/>
    </xf>
    <xf numFmtId="0" fontId="98" fillId="0" borderId="1" xfId="0" applyFont="1" applyBorder="1" applyAlignment="1">
      <alignment horizontal="center" wrapText="1"/>
    </xf>
    <xf numFmtId="186" fontId="80" fillId="0" borderId="1" xfId="0" applyNumberFormat="1" applyFont="1" applyBorder="1" applyAlignment="1">
      <alignment horizontal="center" wrapText="1"/>
    </xf>
    <xf numFmtId="0" fontId="80" fillId="0" borderId="1" xfId="0" applyFont="1" applyBorder="1" applyAlignment="1">
      <alignment horizontal="center" wrapText="1"/>
    </xf>
    <xf numFmtId="0" fontId="38" fillId="0" borderId="47" xfId="0" applyFont="1" applyBorder="1" applyAlignment="1">
      <alignment vertical="center" wrapText="1"/>
    </xf>
    <xf numFmtId="0" fontId="82" fillId="0" borderId="49" xfId="0" applyFont="1" applyBorder="1"/>
    <xf numFmtId="0" fontId="82" fillId="0" borderId="58" xfId="0" applyFont="1" applyBorder="1"/>
    <xf numFmtId="0" fontId="2" fillId="0" borderId="0" xfId="12" applyFont="1" applyAlignment="1">
      <alignment horizontal="left" vertical="center" wrapText="1"/>
    </xf>
    <xf numFmtId="186" fontId="1" fillId="0" borderId="1" xfId="1" applyNumberFormat="1" applyFont="1" applyBorder="1" applyAlignment="1">
      <alignment horizontal="center" wrapText="1"/>
    </xf>
    <xf numFmtId="0" fontId="76" fillId="0" borderId="1" xfId="0" applyFont="1" applyBorder="1" applyAlignment="1">
      <alignment horizontal="center" wrapText="1"/>
    </xf>
    <xf numFmtId="186" fontId="1" fillId="0" borderId="1" xfId="0" applyNumberFormat="1" applyFont="1" applyBorder="1" applyAlignment="1">
      <alignment horizontal="center" wrapText="1"/>
    </xf>
    <xf numFmtId="0" fontId="1" fillId="0" borderId="1" xfId="0" applyFont="1" applyBorder="1" applyAlignment="1">
      <alignment horizontal="center" wrapText="1"/>
    </xf>
    <xf numFmtId="0" fontId="76" fillId="33" borderId="1" xfId="0" applyFont="1" applyFill="1" applyBorder="1" applyAlignment="1">
      <alignment horizontal="center" wrapText="1"/>
    </xf>
    <xf numFmtId="164" fontId="2" fillId="0" borderId="45" xfId="2" applyFont="1" applyBorder="1" applyAlignment="1">
      <alignment horizontal="center"/>
    </xf>
    <xf numFmtId="164" fontId="2" fillId="0" borderId="46" xfId="2" applyFont="1" applyBorder="1" applyAlignment="1">
      <alignment horizontal="center"/>
    </xf>
    <xf numFmtId="164" fontId="2" fillId="0" borderId="12" xfId="2" applyFont="1" applyBorder="1" applyAlignment="1">
      <alignment horizontal="center"/>
    </xf>
    <xf numFmtId="164" fontId="2" fillId="0" borderId="13" xfId="2" applyFont="1" applyBorder="1" applyAlignment="1">
      <alignment horizontal="center"/>
    </xf>
    <xf numFmtId="0" fontId="97" fillId="44" borderId="10" xfId="0" applyFont="1" applyFill="1" applyBorder="1" applyAlignment="1">
      <alignment horizontal="center"/>
    </xf>
    <xf numFmtId="0" fontId="97" fillId="44" borderId="11" xfId="0" applyFont="1" applyFill="1" applyBorder="1" applyAlignment="1">
      <alignment horizontal="center"/>
    </xf>
    <xf numFmtId="0" fontId="25" fillId="0" borderId="0" xfId="0" applyFont="1" applyAlignment="1">
      <alignment horizontal="left" wrapText="1"/>
    </xf>
    <xf numFmtId="0" fontId="25" fillId="0" borderId="80" xfId="0" applyFont="1" applyBorder="1" applyAlignment="1">
      <alignment horizontal="left" wrapText="1"/>
    </xf>
    <xf numFmtId="0" fontId="25" fillId="0" borderId="0" xfId="0" applyFont="1" applyAlignment="1">
      <alignment horizontal="left" vertical="top" wrapText="1"/>
    </xf>
    <xf numFmtId="0" fontId="25" fillId="0" borderId="80" xfId="0" applyFont="1" applyBorder="1" applyAlignment="1">
      <alignment horizontal="left" vertical="top" wrapText="1"/>
    </xf>
    <xf numFmtId="0" fontId="93" fillId="40" borderId="0" xfId="0" applyFont="1" applyFill="1" applyAlignment="1">
      <alignment horizontal="left" vertical="center" wrapText="1"/>
    </xf>
    <xf numFmtId="0" fontId="82" fillId="0" borderId="0" xfId="12" applyFont="1" applyAlignment="1">
      <alignment horizontal="left" vertical="top" wrapText="1"/>
    </xf>
    <xf numFmtId="0" fontId="82" fillId="0" borderId="0" xfId="12" applyFont="1" applyAlignment="1">
      <alignment horizontal="left" vertical="top"/>
    </xf>
    <xf numFmtId="0" fontId="25" fillId="0" borderId="6" xfId="0" applyFont="1" applyBorder="1" applyAlignment="1">
      <alignment horizontal="center"/>
    </xf>
    <xf numFmtId="0" fontId="25" fillId="0" borderId="8" xfId="0" applyFont="1" applyBorder="1" applyAlignment="1">
      <alignment horizontal="center"/>
    </xf>
    <xf numFmtId="0" fontId="25" fillId="42" borderId="6" xfId="0" applyFont="1" applyFill="1" applyBorder="1" applyAlignment="1">
      <alignment horizontal="center"/>
    </xf>
    <xf numFmtId="0" fontId="25" fillId="42" borderId="8" xfId="0" applyFont="1" applyFill="1" applyBorder="1" applyAlignment="1">
      <alignment horizontal="center"/>
    </xf>
    <xf numFmtId="0" fontId="25" fillId="0" borderId="52" xfId="0" applyFont="1" applyBorder="1" applyAlignment="1">
      <alignment horizontal="left" vertical="center"/>
    </xf>
    <xf numFmtId="0" fontId="36" fillId="0" borderId="53" xfId="0" applyFont="1" applyBorder="1"/>
    <xf numFmtId="0" fontId="36" fillId="0" borderId="54" xfId="0" applyFont="1" applyBorder="1"/>
    <xf numFmtId="0" fontId="25" fillId="0" borderId="0" xfId="0" applyFont="1"/>
    <xf numFmtId="0" fontId="25" fillId="40" borderId="0" xfId="0" applyFont="1" applyFill="1" applyAlignment="1">
      <alignment horizontal="left" vertical="center"/>
    </xf>
    <xf numFmtId="0" fontId="36" fillId="40" borderId="0" xfId="0" applyFont="1" applyFill="1"/>
    <xf numFmtId="0" fontId="25" fillId="40" borderId="0" xfId="0" applyFont="1" applyFill="1" applyAlignment="1">
      <alignment horizontal="left" vertical="top" wrapText="1"/>
    </xf>
    <xf numFmtId="0" fontId="25" fillId="40" borderId="0" xfId="0" applyFont="1" applyFill="1"/>
    <xf numFmtId="0" fontId="25" fillId="0" borderId="52" xfId="0" applyFont="1" applyBorder="1" applyAlignment="1">
      <alignment horizontal="left" vertical="top"/>
    </xf>
    <xf numFmtId="185" fontId="25" fillId="0" borderId="52" xfId="0" applyNumberFormat="1" applyFont="1" applyBorder="1" applyAlignment="1">
      <alignment horizontal="center" vertical="center" wrapText="1"/>
    </xf>
    <xf numFmtId="0" fontId="25" fillId="0" borderId="0" xfId="0" applyFont="1" applyAlignment="1">
      <alignment vertical="top" wrapText="1"/>
    </xf>
    <xf numFmtId="0" fontId="25" fillId="0" borderId="0" xfId="0" applyFont="1" applyAlignment="1">
      <alignment vertical="top"/>
    </xf>
    <xf numFmtId="0" fontId="27" fillId="33" borderId="47" xfId="0" applyFont="1" applyFill="1" applyBorder="1" applyAlignment="1">
      <alignment horizontal="center" vertical="center" wrapText="1"/>
    </xf>
    <xf numFmtId="0" fontId="87" fillId="33" borderId="58" xfId="0" applyFont="1" applyFill="1" applyBorder="1"/>
    <xf numFmtId="0" fontId="27" fillId="33" borderId="52" xfId="0" applyFont="1" applyFill="1" applyBorder="1" applyAlignment="1">
      <alignment horizontal="center" vertical="center" wrapText="1"/>
    </xf>
    <xf numFmtId="0" fontId="87" fillId="33" borderId="54" xfId="0" applyFont="1" applyFill="1" applyBorder="1" applyAlignment="1">
      <alignment vertical="center"/>
    </xf>
    <xf numFmtId="0" fontId="27" fillId="33" borderId="55" xfId="0" applyFont="1" applyFill="1" applyBorder="1" applyAlignment="1">
      <alignment horizontal="center" vertical="center" wrapText="1"/>
    </xf>
    <xf numFmtId="0" fontId="87" fillId="33" borderId="57" xfId="0" applyFont="1" applyFill="1" applyBorder="1"/>
    <xf numFmtId="0" fontId="87" fillId="33" borderId="50" xfId="0" applyFont="1" applyFill="1" applyBorder="1"/>
    <xf numFmtId="0" fontId="87" fillId="33" borderId="51" xfId="0" applyFont="1" applyFill="1" applyBorder="1"/>
    <xf numFmtId="10" fontId="25" fillId="0" borderId="47" xfId="0" applyNumberFormat="1" applyFont="1" applyBorder="1" applyAlignment="1">
      <alignment horizontal="center" vertical="center" wrapText="1"/>
    </xf>
    <xf numFmtId="0" fontId="36" fillId="0" borderId="49" xfId="0" applyFont="1" applyBorder="1"/>
    <xf numFmtId="0" fontId="36" fillId="0" borderId="58" xfId="0" applyFont="1" applyBorder="1"/>
    <xf numFmtId="0" fontId="25" fillId="0" borderId="0" xfId="0" applyFont="1" applyAlignment="1">
      <alignment vertical="center" wrapText="1"/>
    </xf>
    <xf numFmtId="0" fontId="95" fillId="33" borderId="52" xfId="0" applyFont="1" applyFill="1" applyBorder="1" applyAlignment="1">
      <alignment horizontal="center"/>
    </xf>
    <xf numFmtId="0" fontId="36" fillId="33" borderId="53" xfId="0" applyFont="1" applyFill="1" applyBorder="1"/>
    <xf numFmtId="0" fontId="36" fillId="33" borderId="54" xfId="0" applyFont="1" applyFill="1" applyBorder="1"/>
    <xf numFmtId="0" fontId="95" fillId="33" borderId="56" xfId="0" applyFont="1" applyFill="1" applyBorder="1" applyAlignment="1">
      <alignment horizontal="center"/>
    </xf>
    <xf numFmtId="0" fontId="36" fillId="33" borderId="56" xfId="0" applyFont="1" applyFill="1" applyBorder="1"/>
    <xf numFmtId="0" fontId="36" fillId="33" borderId="57" xfId="0" applyFont="1" applyFill="1" applyBorder="1"/>
    <xf numFmtId="0" fontId="95" fillId="33" borderId="53" xfId="0" applyFont="1" applyFill="1" applyBorder="1" applyAlignment="1">
      <alignment horizontal="center"/>
    </xf>
    <xf numFmtId="4" fontId="25" fillId="0" borderId="52" xfId="0" applyNumberFormat="1" applyFont="1" applyBorder="1" applyAlignment="1">
      <alignment horizontal="center" vertical="top" wrapText="1"/>
    </xf>
    <xf numFmtId="0" fontId="25" fillId="0" borderId="52" xfId="0" applyFont="1" applyBorder="1" applyAlignment="1">
      <alignment horizontal="center" vertical="center" wrapText="1"/>
    </xf>
    <xf numFmtId="0" fontId="25" fillId="0" borderId="0" xfId="0" applyFont="1" applyAlignment="1">
      <alignment horizontal="left" vertical="center" wrapText="1"/>
    </xf>
    <xf numFmtId="0" fontId="95" fillId="0" borderId="49" xfId="0" applyFont="1" applyBorder="1" applyAlignment="1">
      <alignment horizontal="left" vertical="center" wrapText="1"/>
    </xf>
    <xf numFmtId="0" fontId="27" fillId="33" borderId="52" xfId="0" applyFont="1" applyFill="1" applyBorder="1" applyAlignment="1">
      <alignment horizontal="center" vertical="center"/>
    </xf>
    <xf numFmtId="0" fontId="25" fillId="0" borderId="3" xfId="12" applyFont="1" applyBorder="1" applyAlignment="1">
      <alignment horizontal="left" vertical="center" wrapText="1"/>
    </xf>
    <xf numFmtId="0" fontId="25" fillId="0" borderId="5" xfId="12" applyFont="1" applyBorder="1" applyAlignment="1">
      <alignment horizontal="left" vertical="center" wrapText="1"/>
    </xf>
    <xf numFmtId="0" fontId="27" fillId="0" borderId="0" xfId="12" applyFont="1" applyAlignment="1">
      <alignment horizontal="left" vertical="top" wrapText="1"/>
    </xf>
    <xf numFmtId="0" fontId="25" fillId="0" borderId="1" xfId="12" applyFont="1" applyBorder="1" applyAlignment="1">
      <alignment horizontal="left" vertical="center" wrapText="1"/>
    </xf>
    <xf numFmtId="0" fontId="38" fillId="0" borderId="3" xfId="12" applyFont="1" applyBorder="1" applyAlignment="1">
      <alignment horizontal="left" vertical="center" wrapText="1"/>
    </xf>
    <xf numFmtId="0" fontId="38" fillId="0" borderId="5" xfId="12" applyFont="1" applyBorder="1" applyAlignment="1">
      <alignment horizontal="left" vertical="center" wrapText="1"/>
    </xf>
    <xf numFmtId="0" fontId="27" fillId="0" borderId="0" xfId="0" applyFont="1" applyAlignment="1">
      <alignment horizontal="center" vertical="center" wrapText="1"/>
    </xf>
    <xf numFmtId="9" fontId="25" fillId="0" borderId="1" xfId="0" applyNumberFormat="1" applyFont="1" applyBorder="1" applyAlignment="1">
      <alignment horizontal="center" vertical="center"/>
    </xf>
    <xf numFmtId="9" fontId="25" fillId="0" borderId="6" xfId="0" applyNumberFormat="1" applyFont="1" applyBorder="1" applyAlignment="1">
      <alignment horizontal="center" vertical="center"/>
    </xf>
    <xf numFmtId="9" fontId="25" fillId="0" borderId="8" xfId="0" applyNumberFormat="1" applyFont="1" applyBorder="1" applyAlignment="1">
      <alignment horizontal="center" vertical="center"/>
    </xf>
    <xf numFmtId="0" fontId="25" fillId="33" borderId="99" xfId="0" applyFont="1" applyFill="1" applyBorder="1" applyAlignment="1">
      <alignment horizontal="center" vertical="center"/>
    </xf>
    <xf numFmtId="9" fontId="25" fillId="0" borderId="99" xfId="0" applyNumberFormat="1" applyFont="1" applyBorder="1" applyAlignment="1">
      <alignment horizontal="center" vertical="center"/>
    </xf>
    <xf numFmtId="9" fontId="25" fillId="0" borderId="100" xfId="0" applyNumberFormat="1" applyFont="1" applyBorder="1" applyAlignment="1">
      <alignment horizontal="center" vertical="center"/>
    </xf>
    <xf numFmtId="0" fontId="25" fillId="0" borderId="0" xfId="12" applyFont="1" applyAlignment="1">
      <alignment horizontal="left" vertical="center" wrapText="1"/>
    </xf>
    <xf numFmtId="178" fontId="27" fillId="33" borderId="6" xfId="14" applyNumberFormat="1" applyFont="1" applyFill="1" applyBorder="1" applyAlignment="1">
      <alignment horizontal="center"/>
    </xf>
    <xf numFmtId="178" fontId="27" fillId="33" borderId="8" xfId="14" applyNumberFormat="1" applyFont="1" applyFill="1" applyBorder="1" applyAlignment="1">
      <alignment horizontal="center"/>
    </xf>
    <xf numFmtId="0" fontId="27" fillId="35" borderId="6" xfId="29" applyFont="1" applyFill="1" applyBorder="1" applyAlignment="1">
      <alignment horizontal="center" vertical="center"/>
    </xf>
    <xf numFmtId="0" fontId="27" fillId="35" borderId="7" xfId="29" applyFont="1" applyFill="1" applyBorder="1" applyAlignment="1">
      <alignment horizontal="center" vertical="center"/>
    </xf>
    <xf numFmtId="0" fontId="27" fillId="35" borderId="8" xfId="29" applyFont="1" applyFill="1" applyBorder="1" applyAlignment="1">
      <alignment horizontal="center" vertical="center"/>
    </xf>
    <xf numFmtId="0" fontId="27" fillId="33" borderId="1" xfId="0" applyFont="1" applyFill="1" applyBorder="1" applyAlignment="1">
      <alignment horizontal="center" vertical="center"/>
    </xf>
    <xf numFmtId="0" fontId="27" fillId="0" borderId="1" xfId="0" applyFont="1" applyBorder="1" applyAlignment="1">
      <alignment horizontal="center"/>
    </xf>
    <xf numFmtId="0" fontId="25" fillId="36" borderId="1" xfId="0" applyFont="1" applyFill="1" applyBorder="1" applyAlignment="1">
      <alignment horizontal="center"/>
    </xf>
    <xf numFmtId="0" fontId="27" fillId="9" borderId="6" xfId="27" applyFont="1" applyFill="1" applyBorder="1" applyAlignment="1">
      <alignment horizontal="center" vertical="center"/>
    </xf>
    <xf numFmtId="0" fontId="27" fillId="9" borderId="7" xfId="27" applyFont="1" applyFill="1" applyBorder="1" applyAlignment="1">
      <alignment horizontal="center" vertical="center"/>
    </xf>
    <xf numFmtId="0" fontId="27" fillId="9" borderId="8" xfId="27" applyFont="1" applyFill="1" applyBorder="1" applyAlignment="1">
      <alignment horizontal="center" vertical="center"/>
    </xf>
    <xf numFmtId="0" fontId="27" fillId="11" borderId="0" xfId="29" applyFont="1" applyFill="1" applyAlignment="1">
      <alignment horizontal="center"/>
    </xf>
    <xf numFmtId="0" fontId="27" fillId="35" borderId="81" xfId="29" applyFont="1" applyFill="1" applyBorder="1" applyAlignment="1">
      <alignment horizontal="center" vertical="center" wrapText="1"/>
    </xf>
    <xf numFmtId="0" fontId="27" fillId="35" borderId="83" xfId="29" applyFont="1" applyFill="1" applyBorder="1" applyAlignment="1">
      <alignment horizontal="center" vertical="center" wrapText="1"/>
    </xf>
    <xf numFmtId="0" fontId="27" fillId="35" borderId="82" xfId="29" applyFont="1" applyFill="1" applyBorder="1" applyAlignment="1">
      <alignment horizontal="center" vertical="center" wrapText="1"/>
    </xf>
    <xf numFmtId="0" fontId="27" fillId="35" borderId="4" xfId="29" applyFont="1" applyFill="1" applyBorder="1" applyAlignment="1">
      <alignment horizontal="center" vertical="center" wrapText="1"/>
    </xf>
    <xf numFmtId="0" fontId="27" fillId="35" borderId="82" xfId="29" applyFont="1" applyFill="1" applyBorder="1" applyAlignment="1">
      <alignment horizontal="center" vertical="center"/>
    </xf>
    <xf numFmtId="0" fontId="27" fillId="35" borderId="5" xfId="29" applyFont="1" applyFill="1" applyBorder="1" applyAlignment="1">
      <alignment horizontal="center" vertical="center"/>
    </xf>
    <xf numFmtId="179" fontId="27" fillId="35" borderId="82" xfId="30" applyNumberFormat="1" applyFont="1" applyFill="1" applyBorder="1" applyAlignment="1">
      <alignment horizontal="center" vertical="center" wrapText="1"/>
    </xf>
    <xf numFmtId="179" fontId="27" fillId="35" borderId="5" xfId="30" applyNumberFormat="1" applyFont="1" applyFill="1" applyBorder="1" applyAlignment="1">
      <alignment horizontal="center" vertical="center" wrapText="1"/>
    </xf>
    <xf numFmtId="179" fontId="27" fillId="35" borderId="82" xfId="30" quotePrefix="1" applyNumberFormat="1" applyFont="1" applyFill="1" applyBorder="1" applyAlignment="1">
      <alignment horizontal="center" wrapText="1"/>
    </xf>
    <xf numFmtId="179" fontId="27" fillId="35" borderId="5" xfId="30" applyNumberFormat="1" applyFont="1" applyFill="1" applyBorder="1" applyAlignment="1">
      <alignment horizontal="center" wrapText="1"/>
    </xf>
    <xf numFmtId="0" fontId="27" fillId="35" borderId="34" xfId="29" applyFont="1" applyFill="1" applyBorder="1" applyAlignment="1">
      <alignment horizontal="center"/>
    </xf>
    <xf numFmtId="0" fontId="27" fillId="9" borderId="6" xfId="26" applyFont="1" applyFill="1" applyBorder="1" applyAlignment="1">
      <alignment horizontal="center" vertical="center"/>
    </xf>
    <xf numFmtId="0" fontId="27" fillId="9" borderId="7" xfId="26" applyFont="1" applyFill="1" applyBorder="1" applyAlignment="1">
      <alignment horizontal="center" vertical="center"/>
    </xf>
    <xf numFmtId="0" fontId="27" fillId="9" borderId="8" xfId="26" applyFont="1" applyFill="1" applyBorder="1" applyAlignment="1">
      <alignment horizontal="center" vertical="center"/>
    </xf>
    <xf numFmtId="0" fontId="27" fillId="11" borderId="0" xfId="27" applyFont="1" applyFill="1" applyAlignment="1">
      <alignment horizontal="center"/>
    </xf>
    <xf numFmtId="0" fontId="27" fillId="9" borderId="81" xfId="27" applyFont="1" applyFill="1" applyBorder="1" applyAlignment="1">
      <alignment horizontal="center" vertical="center" wrapText="1"/>
    </xf>
    <xf numFmtId="0" fontId="27" fillId="9" borderId="83" xfId="27" applyFont="1" applyFill="1" applyBorder="1" applyAlignment="1">
      <alignment horizontal="center" vertical="center" wrapText="1"/>
    </xf>
    <xf numFmtId="0" fontId="27" fillId="9" borderId="82" xfId="27" applyFont="1" applyFill="1" applyBorder="1" applyAlignment="1">
      <alignment horizontal="center" vertical="center" wrapText="1"/>
    </xf>
    <xf numFmtId="0" fontId="27" fillId="9" borderId="4" xfId="27" applyFont="1" applyFill="1" applyBorder="1" applyAlignment="1">
      <alignment horizontal="center" vertical="center" wrapText="1"/>
    </xf>
    <xf numFmtId="0" fontId="27" fillId="9" borderId="82" xfId="27" applyFont="1" applyFill="1" applyBorder="1" applyAlignment="1">
      <alignment horizontal="center" vertical="center"/>
    </xf>
    <xf numFmtId="0" fontId="27" fillId="9" borderId="5" xfId="27" applyFont="1" applyFill="1" applyBorder="1" applyAlignment="1">
      <alignment horizontal="center" vertical="center"/>
    </xf>
    <xf numFmtId="179" fontId="27" fillId="9" borderId="82" xfId="28" applyNumberFormat="1" applyFont="1" applyFill="1" applyBorder="1" applyAlignment="1">
      <alignment horizontal="center" vertical="center" wrapText="1"/>
    </xf>
    <xf numFmtId="179" fontId="27" fillId="9" borderId="5" xfId="28" applyNumberFormat="1" applyFont="1" applyFill="1" applyBorder="1" applyAlignment="1">
      <alignment horizontal="center" vertical="center" wrapText="1"/>
    </xf>
    <xf numFmtId="179" fontId="27" fillId="9" borderId="82" xfId="28" quotePrefix="1" applyNumberFormat="1" applyFont="1" applyFill="1" applyBorder="1" applyAlignment="1">
      <alignment horizontal="center" wrapText="1"/>
    </xf>
    <xf numFmtId="179" fontId="27" fillId="9" borderId="5" xfId="28" applyNumberFormat="1" applyFont="1" applyFill="1" applyBorder="1" applyAlignment="1">
      <alignment horizontal="center" wrapText="1"/>
    </xf>
    <xf numFmtId="0" fontId="27" fillId="9" borderId="34" xfId="27" applyFont="1" applyFill="1" applyBorder="1" applyAlignment="1">
      <alignment horizontal="center"/>
    </xf>
    <xf numFmtId="0" fontId="27" fillId="11" borderId="0" xfId="26" applyFont="1" applyFill="1" applyAlignment="1">
      <alignment horizontal="center"/>
    </xf>
    <xf numFmtId="0" fontId="27" fillId="9" borderId="81" xfId="26" applyFont="1" applyFill="1" applyBorder="1" applyAlignment="1">
      <alignment horizontal="center" vertical="center" wrapText="1"/>
    </xf>
    <xf numFmtId="0" fontId="27" fillId="9" borderId="83" xfId="26" applyFont="1" applyFill="1" applyBorder="1" applyAlignment="1">
      <alignment horizontal="center" vertical="center" wrapText="1"/>
    </xf>
    <xf numFmtId="0" fontId="27" fillId="9" borderId="82" xfId="26" applyFont="1" applyFill="1" applyBorder="1" applyAlignment="1">
      <alignment horizontal="center" vertical="center" wrapText="1"/>
    </xf>
    <xf numFmtId="0" fontId="27" fillId="9" borderId="4" xfId="26" applyFont="1" applyFill="1" applyBorder="1" applyAlignment="1">
      <alignment horizontal="center" vertical="center" wrapText="1"/>
    </xf>
    <xf numFmtId="0" fontId="27" fillId="9" borderId="82" xfId="26" applyFont="1" applyFill="1" applyBorder="1" applyAlignment="1">
      <alignment horizontal="center" vertical="center"/>
    </xf>
    <xf numFmtId="0" fontId="27" fillId="9" borderId="5" xfId="26" applyFont="1" applyFill="1" applyBorder="1" applyAlignment="1">
      <alignment horizontal="center" vertical="center"/>
    </xf>
    <xf numFmtId="179" fontId="27" fillId="9" borderId="82" xfId="14" applyNumberFormat="1" applyFont="1" applyFill="1" applyBorder="1" applyAlignment="1">
      <alignment horizontal="center" vertical="center" wrapText="1"/>
    </xf>
    <xf numFmtId="179" fontId="27" fillId="9" borderId="5" xfId="14" applyNumberFormat="1" applyFont="1" applyFill="1" applyBorder="1" applyAlignment="1">
      <alignment horizontal="center" vertical="center" wrapText="1"/>
    </xf>
    <xf numFmtId="0" fontId="27" fillId="9" borderId="34" xfId="26" applyFont="1" applyFill="1" applyBorder="1" applyAlignment="1">
      <alignment horizontal="center"/>
    </xf>
    <xf numFmtId="0" fontId="25" fillId="11" borderId="0" xfId="23" applyFont="1" applyFill="1" applyAlignment="1">
      <alignment horizontal="left" vertical="center"/>
    </xf>
    <xf numFmtId="0" fontId="25" fillId="11" borderId="0" xfId="24" applyFont="1" applyFill="1" applyAlignment="1">
      <alignment horizontal="left" vertical="center"/>
    </xf>
    <xf numFmtId="0" fontId="88" fillId="33" borderId="1" xfId="15" applyFont="1" applyFill="1" applyBorder="1" applyAlignment="1">
      <alignment horizontal="center" vertical="center" wrapText="1"/>
    </xf>
    <xf numFmtId="0" fontId="23" fillId="33" borderId="1" xfId="15" applyFont="1" applyFill="1" applyBorder="1" applyAlignment="1">
      <alignment horizontal="center" vertical="center" wrapText="1"/>
    </xf>
    <xf numFmtId="0" fontId="23" fillId="33" borderId="3" xfId="15" applyFont="1" applyFill="1" applyBorder="1" applyAlignment="1">
      <alignment horizontal="center" vertical="center" wrapText="1"/>
    </xf>
    <xf numFmtId="0" fontId="23" fillId="33" borderId="5" xfId="15" applyFont="1" applyFill="1" applyBorder="1" applyAlignment="1">
      <alignment horizontal="center" vertical="center" wrapText="1"/>
    </xf>
    <xf numFmtId="0" fontId="25" fillId="0" borderId="0" xfId="13" applyFont="1" applyAlignment="1">
      <alignment horizontal="left" vertical="center" wrapText="1"/>
    </xf>
    <xf numFmtId="9" fontId="27" fillId="9" borderId="0" xfId="1" applyFont="1" applyFill="1" applyBorder="1" applyAlignment="1">
      <alignment horizontal="center" vertical="center"/>
    </xf>
    <xf numFmtId="178" fontId="27" fillId="0" borderId="6" xfId="14" applyNumberFormat="1" applyFont="1" applyBorder="1" applyAlignment="1">
      <alignment horizontal="center"/>
    </xf>
    <xf numFmtId="178" fontId="27" fillId="0" borderId="7" xfId="14" applyNumberFormat="1" applyFont="1" applyBorder="1" applyAlignment="1">
      <alignment horizontal="center"/>
    </xf>
    <xf numFmtId="178" fontId="27" fillId="0" borderId="8" xfId="14" applyNumberFormat="1" applyFont="1" applyBorder="1" applyAlignment="1">
      <alignment horizontal="center"/>
    </xf>
    <xf numFmtId="0" fontId="27" fillId="0" borderId="6" xfId="5" applyFont="1" applyBorder="1" applyAlignment="1">
      <alignment horizontal="center" vertical="center"/>
    </xf>
    <xf numFmtId="0" fontId="27" fillId="0" borderId="7" xfId="5" applyFont="1" applyBorder="1" applyAlignment="1">
      <alignment horizontal="center" vertical="center"/>
    </xf>
    <xf numFmtId="0" fontId="27" fillId="0" borderId="8" xfId="5" applyFont="1" applyBorder="1" applyAlignment="1">
      <alignment horizontal="center" vertical="center"/>
    </xf>
    <xf numFmtId="0" fontId="23" fillId="0" borderId="1" xfId="15" applyFont="1" applyBorder="1" applyAlignment="1">
      <alignment horizontal="center" vertical="center"/>
    </xf>
    <xf numFmtId="0" fontId="87" fillId="33" borderId="1" xfId="5" applyFont="1" applyFill="1" applyBorder="1" applyAlignment="1">
      <alignment horizontal="center" vertical="center" wrapText="1"/>
    </xf>
    <xf numFmtId="0" fontId="27" fillId="33" borderId="1" xfId="5" applyFont="1" applyFill="1" applyBorder="1" applyAlignment="1">
      <alignment horizontal="center" vertical="center" wrapText="1"/>
    </xf>
    <xf numFmtId="178" fontId="27" fillId="33" borderId="3" xfId="14" applyNumberFormat="1" applyFont="1" applyFill="1" applyBorder="1" applyAlignment="1">
      <alignment horizontal="center" vertical="center" wrapText="1"/>
    </xf>
    <xf numFmtId="178" fontId="27" fillId="33" borderId="5" xfId="14" applyNumberFormat="1" applyFont="1" applyFill="1" applyBorder="1" applyAlignment="1">
      <alignment horizontal="center" vertical="center" wrapText="1"/>
    </xf>
    <xf numFmtId="0" fontId="2" fillId="0" borderId="0" xfId="0" applyFont="1" applyAlignment="1">
      <alignment vertical="center"/>
    </xf>
    <xf numFmtId="178" fontId="27" fillId="33" borderId="4" xfId="14" applyNumberFormat="1" applyFont="1" applyFill="1" applyBorder="1" applyAlignment="1">
      <alignment horizontal="center" vertical="center" wrapText="1"/>
    </xf>
    <xf numFmtId="0" fontId="45" fillId="0" borderId="55" xfId="0" applyFont="1" applyBorder="1" applyAlignment="1">
      <alignment horizontal="right" vertical="center" wrapText="1"/>
    </xf>
    <xf numFmtId="0" fontId="82" fillId="0" borderId="57" xfId="0" applyFont="1" applyBorder="1" applyAlignment="1">
      <alignment vertical="center"/>
    </xf>
    <xf numFmtId="0" fontId="82" fillId="0" borderId="61" xfId="0" applyFont="1" applyBorder="1" applyAlignment="1">
      <alignment vertical="center"/>
    </xf>
    <xf numFmtId="0" fontId="82" fillId="0" borderId="60" xfId="0" applyFont="1" applyBorder="1" applyAlignment="1">
      <alignment vertical="center"/>
    </xf>
    <xf numFmtId="0" fontId="82" fillId="0" borderId="50" xfId="0" applyFont="1" applyBorder="1" applyAlignment="1">
      <alignment vertical="center"/>
    </xf>
    <xf numFmtId="0" fontId="82" fillId="0" borderId="51" xfId="0" applyFont="1" applyBorder="1" applyAlignment="1">
      <alignment vertical="center"/>
    </xf>
    <xf numFmtId="0" fontId="46" fillId="0" borderId="52" xfId="0" applyFont="1" applyBorder="1" applyAlignment="1">
      <alignment horizontal="center" vertical="center" wrapText="1"/>
    </xf>
    <xf numFmtId="0" fontId="82" fillId="0" borderId="54" xfId="0" applyFont="1" applyBorder="1" applyAlignment="1">
      <alignment vertical="center"/>
    </xf>
    <xf numFmtId="0" fontId="33" fillId="16" borderId="52" xfId="0" applyFont="1" applyFill="1" applyBorder="1" applyAlignment="1">
      <alignment horizontal="center" vertical="center" wrapText="1"/>
    </xf>
    <xf numFmtId="0" fontId="82" fillId="0" borderId="53" xfId="0" applyFont="1" applyBorder="1" applyAlignment="1">
      <alignment vertical="center"/>
    </xf>
    <xf numFmtId="0" fontId="25" fillId="0" borderId="52" xfId="0" applyFont="1" applyBorder="1" applyAlignment="1">
      <alignment horizontal="left" vertical="center" wrapText="1"/>
    </xf>
    <xf numFmtId="0" fontId="84" fillId="16" borderId="47" xfId="0" applyFont="1" applyFill="1" applyBorder="1" applyAlignment="1">
      <alignment horizontal="center" vertical="center" wrapText="1"/>
    </xf>
    <xf numFmtId="0" fontId="82" fillId="0" borderId="58" xfId="0" applyFont="1" applyBorder="1" applyAlignment="1">
      <alignment vertical="center"/>
    </xf>
    <xf numFmtId="0" fontId="84" fillId="16" borderId="52" xfId="0" applyFont="1" applyFill="1" applyBorder="1" applyAlignment="1">
      <alignment horizontal="center" vertical="center" wrapText="1"/>
    </xf>
    <xf numFmtId="0" fontId="28" fillId="30" borderId="67" xfId="9" applyFont="1" applyFill="1" applyBorder="1" applyAlignment="1">
      <alignment horizontal="left" vertical="center" wrapText="1"/>
    </xf>
    <xf numFmtId="0" fontId="65" fillId="0" borderId="63" xfId="9" applyFont="1" applyBorder="1" applyAlignment="1">
      <alignment horizontal="left" vertical="center"/>
    </xf>
    <xf numFmtId="0" fontId="65" fillId="0" borderId="65" xfId="9" applyFont="1" applyBorder="1" applyAlignment="1">
      <alignment horizontal="left" vertical="center"/>
    </xf>
    <xf numFmtId="0" fontId="29" fillId="24" borderId="67" xfId="9" applyFont="1" applyFill="1" applyBorder="1" applyAlignment="1">
      <alignment horizontal="left" vertical="center" wrapText="1"/>
    </xf>
    <xf numFmtId="165" fontId="15" fillId="0" borderId="47" xfId="9" applyNumberFormat="1" applyFont="1" applyBorder="1" applyAlignment="1">
      <alignment horizontal="center" vertical="center" wrapText="1"/>
    </xf>
    <xf numFmtId="0" fontId="66" fillId="0" borderId="49" xfId="9" applyFont="1" applyBorder="1" applyAlignment="1">
      <alignment vertical="center"/>
    </xf>
    <xf numFmtId="0" fontId="66" fillId="0" borderId="58" xfId="9" applyFont="1" applyBorder="1" applyAlignment="1">
      <alignment vertical="center"/>
    </xf>
    <xf numFmtId="0" fontId="15" fillId="0" borderId="55" xfId="9" applyFont="1" applyBorder="1" applyAlignment="1">
      <alignment horizontal="center" vertical="center" wrapText="1"/>
    </xf>
    <xf numFmtId="0" fontId="66" fillId="0" borderId="61" xfId="9" applyFont="1" applyBorder="1" applyAlignment="1">
      <alignment vertical="center"/>
    </xf>
    <xf numFmtId="0" fontId="66" fillId="0" borderId="50" xfId="9" applyFont="1" applyBorder="1" applyAlignment="1">
      <alignment vertical="center"/>
    </xf>
    <xf numFmtId="0" fontId="29" fillId="22" borderId="66" xfId="9" applyFont="1" applyFill="1" applyBorder="1" applyAlignment="1">
      <alignment horizontal="left" vertical="center" wrapText="1"/>
    </xf>
    <xf numFmtId="0" fontId="65" fillId="0" borderId="19" xfId="9" applyFont="1" applyBorder="1" applyAlignment="1">
      <alignment horizontal="left" vertical="center"/>
    </xf>
    <xf numFmtId="0" fontId="65" fillId="0" borderId="64" xfId="9" applyFont="1" applyBorder="1" applyAlignment="1">
      <alignment horizontal="left" vertical="center"/>
    </xf>
    <xf numFmtId="0" fontId="28" fillId="29" borderId="67" xfId="9" applyFont="1" applyFill="1" applyBorder="1" applyAlignment="1">
      <alignment horizontal="left" vertical="center" wrapText="1"/>
    </xf>
    <xf numFmtId="0" fontId="29" fillId="24" borderId="62" xfId="9" applyFont="1" applyFill="1" applyBorder="1" applyAlignment="1">
      <alignment horizontal="left" vertical="center" wrapText="1"/>
    </xf>
    <xf numFmtId="0" fontId="28" fillId="23" borderId="67" xfId="9" applyFont="1" applyFill="1" applyBorder="1" applyAlignment="1">
      <alignment horizontal="left" vertical="center" wrapText="1"/>
    </xf>
    <xf numFmtId="0" fontId="28" fillId="29" borderId="2" xfId="9" applyFont="1" applyFill="1" applyBorder="1" applyAlignment="1">
      <alignment horizontal="left" vertical="center" wrapText="1"/>
    </xf>
    <xf numFmtId="0" fontId="28" fillId="23" borderId="62" xfId="9" applyFont="1" applyFill="1" applyBorder="1" applyAlignment="1">
      <alignment horizontal="left" vertical="center" wrapText="1"/>
    </xf>
    <xf numFmtId="0" fontId="28" fillId="30" borderId="62" xfId="9" applyFont="1" applyFill="1" applyBorder="1" applyAlignment="1">
      <alignment horizontal="left" vertical="center" wrapText="1"/>
    </xf>
    <xf numFmtId="0" fontId="15" fillId="8" borderId="53" xfId="9" applyFont="1" applyFill="1" applyBorder="1" applyAlignment="1">
      <alignment horizontal="center" vertical="center"/>
    </xf>
    <xf numFmtId="0" fontId="65" fillId="8" borderId="53" xfId="9" applyFont="1" applyFill="1" applyBorder="1" applyAlignment="1">
      <alignment vertical="center"/>
    </xf>
    <xf numFmtId="165" fontId="28" fillId="0" borderId="1" xfId="9" applyNumberFormat="1" applyFont="1" applyBorder="1" applyAlignment="1">
      <alignment horizontal="center" vertical="center"/>
    </xf>
    <xf numFmtId="0" fontId="68" fillId="31" borderId="1" xfId="9" applyFont="1" applyFill="1" applyBorder="1" applyAlignment="1">
      <alignment horizontal="center" vertical="center"/>
    </xf>
    <xf numFmtId="0" fontId="17" fillId="32" borderId="3" xfId="9" applyFont="1" applyFill="1" applyBorder="1" applyAlignment="1">
      <alignment horizontal="center" vertical="center"/>
    </xf>
    <xf numFmtId="0" fontId="17" fillId="32" borderId="4" xfId="9" applyFont="1" applyFill="1" applyBorder="1" applyAlignment="1">
      <alignment horizontal="center" vertical="center"/>
    </xf>
    <xf numFmtId="0" fontId="17" fillId="32" borderId="5" xfId="9" applyFont="1" applyFill="1" applyBorder="1" applyAlignment="1">
      <alignment horizontal="center" vertical="center"/>
    </xf>
    <xf numFmtId="0" fontId="15" fillId="8" borderId="47" xfId="9" applyFont="1" applyFill="1" applyBorder="1" applyAlignment="1">
      <alignment horizontal="center" vertical="center" textRotation="90"/>
    </xf>
    <xf numFmtId="0" fontId="65" fillId="8" borderId="49" xfId="9" applyFont="1" applyFill="1" applyBorder="1" applyAlignment="1">
      <alignment vertical="center"/>
    </xf>
    <xf numFmtId="0" fontId="65" fillId="0" borderId="68" xfId="9" applyFont="1" applyBorder="1" applyAlignment="1">
      <alignment horizontal="left" vertical="center"/>
    </xf>
    <xf numFmtId="0" fontId="65" fillId="0" borderId="30" xfId="9" applyFont="1" applyBorder="1" applyAlignment="1">
      <alignment horizontal="left" vertical="center"/>
    </xf>
    <xf numFmtId="0" fontId="29" fillId="22" borderId="67" xfId="9" applyFont="1" applyFill="1" applyBorder="1" applyAlignment="1">
      <alignment horizontal="left" vertical="center" wrapText="1"/>
    </xf>
    <xf numFmtId="0" fontId="28" fillId="0" borderId="10" xfId="9" applyFont="1" applyBorder="1" applyAlignment="1">
      <alignment horizontal="center" vertical="center"/>
    </xf>
    <xf numFmtId="0" fontId="28" fillId="0" borderId="11" xfId="9" applyFont="1" applyBorder="1" applyAlignment="1">
      <alignment horizontal="center" vertical="center"/>
    </xf>
    <xf numFmtId="0" fontId="28" fillId="0" borderId="1" xfId="9" applyFont="1" applyBorder="1" applyAlignment="1">
      <alignment vertical="center" wrapText="1"/>
    </xf>
    <xf numFmtId="0" fontId="28" fillId="0" borderId="45" xfId="9" applyFont="1" applyBorder="1" applyAlignment="1">
      <alignment horizontal="center" vertical="center"/>
    </xf>
    <xf numFmtId="0" fontId="28" fillId="0" borderId="46" xfId="9" applyFont="1" applyBorder="1" applyAlignment="1">
      <alignment horizontal="center" vertical="center"/>
    </xf>
    <xf numFmtId="0" fontId="28" fillId="0" borderId="5" xfId="9" applyFont="1" applyBorder="1" applyAlignment="1">
      <alignment horizontal="left" vertical="center" wrapText="1"/>
    </xf>
    <xf numFmtId="165" fontId="15" fillId="8" borderId="5" xfId="9" applyNumberFormat="1" applyFont="1" applyFill="1" applyBorder="1" applyAlignment="1">
      <alignment horizontal="center" vertical="center"/>
    </xf>
    <xf numFmtId="165" fontId="15" fillId="8" borderId="1" xfId="9" applyNumberFormat="1" applyFont="1" applyFill="1" applyBorder="1" applyAlignment="1">
      <alignment horizontal="center" vertical="center"/>
    </xf>
    <xf numFmtId="165" fontId="28" fillId="0" borderId="6" xfId="9" applyNumberFormat="1" applyFont="1" applyBorder="1" applyAlignment="1">
      <alignment horizontal="center" vertical="center"/>
    </xf>
    <xf numFmtId="165" fontId="28" fillId="0" borderId="8" xfId="9" applyNumberFormat="1" applyFont="1" applyBorder="1" applyAlignment="1">
      <alignment horizontal="center" vertical="center"/>
    </xf>
    <xf numFmtId="165" fontId="15" fillId="2" borderId="10" xfId="9" applyNumberFormat="1" applyFont="1" applyFill="1" applyBorder="1" applyAlignment="1">
      <alignment horizontal="center" vertical="center"/>
    </xf>
    <xf numFmtId="165" fontId="15" fillId="2" borderId="11" xfId="9" applyNumberFormat="1" applyFont="1" applyFill="1" applyBorder="1" applyAlignment="1">
      <alignment horizontal="center" vertical="center"/>
    </xf>
    <xf numFmtId="165" fontId="15" fillId="2" borderId="69" xfId="9" applyNumberFormat="1" applyFont="1" applyFill="1" applyBorder="1" applyAlignment="1">
      <alignment horizontal="center" vertical="center"/>
    </xf>
    <xf numFmtId="165" fontId="15" fillId="2" borderId="70" xfId="9" applyNumberFormat="1" applyFont="1" applyFill="1" applyBorder="1" applyAlignment="1">
      <alignment horizontal="center" vertical="center"/>
    </xf>
    <xf numFmtId="0" fontId="15" fillId="2" borderId="1" xfId="9" applyFont="1" applyFill="1" applyBorder="1" applyAlignment="1">
      <alignment horizontal="center" vertical="center"/>
    </xf>
    <xf numFmtId="0" fontId="15" fillId="2" borderId="71" xfId="9" applyFont="1" applyFill="1" applyBorder="1" applyAlignment="1">
      <alignment horizontal="center" vertical="center"/>
    </xf>
    <xf numFmtId="0" fontId="28" fillId="0" borderId="1" xfId="9" applyFont="1" applyBorder="1" applyAlignment="1">
      <alignment horizontal="left" vertical="center" wrapText="1"/>
    </xf>
    <xf numFmtId="0" fontId="72" fillId="0" borderId="10" xfId="9" applyFont="1" applyBorder="1" applyAlignment="1">
      <alignment horizontal="center" vertical="center"/>
    </xf>
    <xf numFmtId="0" fontId="72" fillId="0" borderId="11" xfId="9" applyFont="1" applyBorder="1" applyAlignment="1">
      <alignment horizontal="center" vertical="center"/>
    </xf>
    <xf numFmtId="0" fontId="72" fillId="0" borderId="8" xfId="9" applyFont="1" applyBorder="1" applyAlignment="1">
      <alignment horizontal="left" vertical="center" wrapText="1"/>
    </xf>
    <xf numFmtId="0" fontId="72" fillId="0" borderId="1" xfId="9" applyFont="1" applyBorder="1" applyAlignment="1">
      <alignment horizontal="left" vertical="center" wrapText="1"/>
    </xf>
    <xf numFmtId="0" fontId="72" fillId="0" borderId="12" xfId="9" applyFont="1" applyBorder="1" applyAlignment="1">
      <alignment horizontal="center" vertical="center"/>
    </xf>
    <xf numFmtId="0" fontId="72" fillId="0" borderId="13" xfId="9" applyFont="1" applyBorder="1" applyAlignment="1">
      <alignment horizontal="center" vertical="center"/>
    </xf>
    <xf numFmtId="0" fontId="28" fillId="8" borderId="1" xfId="9" applyFont="1" applyFill="1" applyBorder="1" applyAlignment="1">
      <alignment vertical="center" wrapText="1"/>
    </xf>
    <xf numFmtId="0" fontId="72" fillId="8" borderId="1" xfId="9" applyFont="1" applyFill="1" applyBorder="1" applyAlignment="1">
      <alignment horizontal="left" vertical="center" wrapText="1"/>
    </xf>
    <xf numFmtId="0" fontId="28" fillId="8" borderId="5" xfId="9" applyFont="1" applyFill="1" applyBorder="1" applyAlignment="1">
      <alignment horizontal="left" vertical="center" wrapText="1"/>
    </xf>
    <xf numFmtId="0" fontId="28" fillId="0" borderId="0" xfId="9" applyFont="1" applyAlignment="1">
      <alignment vertical="center"/>
    </xf>
    <xf numFmtId="0" fontId="28" fillId="0" borderId="0" xfId="9" applyFont="1"/>
    <xf numFmtId="0" fontId="15" fillId="28" borderId="72" xfId="9" applyFont="1" applyFill="1" applyBorder="1" applyAlignment="1">
      <alignment horizontal="center" vertical="center"/>
    </xf>
    <xf numFmtId="0" fontId="15" fillId="28" borderId="74" xfId="9" applyFont="1" applyFill="1" applyBorder="1" applyAlignment="1">
      <alignment horizontal="center" vertical="center"/>
    </xf>
    <xf numFmtId="0" fontId="15" fillId="28" borderId="73" xfId="9" applyFont="1" applyFill="1" applyBorder="1" applyAlignment="1">
      <alignment horizontal="center" vertical="center"/>
    </xf>
    <xf numFmtId="0" fontId="28" fillId="0" borderId="6" xfId="9" applyFont="1" applyBorder="1" applyAlignment="1">
      <alignment horizontal="center" vertical="center"/>
    </xf>
    <xf numFmtId="0" fontId="28" fillId="0" borderId="8" xfId="9" applyFont="1" applyBorder="1" applyAlignment="1">
      <alignment horizontal="center" vertical="center"/>
    </xf>
    <xf numFmtId="0" fontId="28" fillId="8" borderId="1" xfId="9" applyFont="1" applyFill="1" applyBorder="1" applyAlignment="1">
      <alignment horizontal="left" vertical="center" wrapText="1"/>
    </xf>
    <xf numFmtId="0" fontId="28" fillId="8" borderId="6" xfId="9" applyFont="1" applyFill="1" applyBorder="1" applyAlignment="1">
      <alignment horizontal="left" vertical="center" wrapText="1"/>
    </xf>
    <xf numFmtId="0" fontId="28" fillId="8" borderId="7" xfId="9" applyFont="1" applyFill="1" applyBorder="1" applyAlignment="1">
      <alignment horizontal="left" vertical="center" wrapText="1"/>
    </xf>
    <xf numFmtId="0" fontId="28" fillId="8" borderId="8" xfId="9" applyFont="1" applyFill="1" applyBorder="1" applyAlignment="1">
      <alignment horizontal="left" vertical="center" wrapText="1"/>
    </xf>
    <xf numFmtId="0" fontId="2" fillId="0" borderId="0" xfId="9" applyFont="1"/>
    <xf numFmtId="1" fontId="299" fillId="0" borderId="52" xfId="31" applyNumberFormat="1" applyFont="1" applyBorder="1" applyAlignment="1">
      <alignment horizontal="right" vertical="top" shrinkToFit="1"/>
    </xf>
    <xf numFmtId="0" fontId="58" fillId="0" borderId="54" xfId="31" applyFont="1" applyBorder="1"/>
    <xf numFmtId="0" fontId="25" fillId="0" borderId="52" xfId="31" applyFont="1" applyBorder="1" applyAlignment="1">
      <alignment horizontal="left" vertical="top" wrapText="1"/>
    </xf>
    <xf numFmtId="0" fontId="58" fillId="0" borderId="53" xfId="31" applyFont="1" applyBorder="1"/>
    <xf numFmtId="0" fontId="35" fillId="0" borderId="52" xfId="31" applyFont="1" applyBorder="1" applyAlignment="1">
      <alignment horizontal="left" vertical="top" wrapText="1"/>
    </xf>
    <xf numFmtId="1" fontId="287" fillId="0" borderId="52" xfId="31" applyNumberFormat="1" applyFont="1" applyBorder="1" applyAlignment="1">
      <alignment horizontal="center" vertical="top" shrinkToFit="1"/>
    </xf>
    <xf numFmtId="1" fontId="283" fillId="0" borderId="52" xfId="31" applyNumberFormat="1" applyFont="1" applyBorder="1" applyAlignment="1">
      <alignment horizontal="right" vertical="top" shrinkToFit="1"/>
    </xf>
    <xf numFmtId="0" fontId="35" fillId="0" borderId="0" xfId="31" applyFont="1" applyAlignment="1">
      <alignment horizontal="left" vertical="top" wrapText="1"/>
    </xf>
    <xf numFmtId="0" fontId="103" fillId="0" borderId="0" xfId="31"/>
    <xf numFmtId="1" fontId="272" fillId="0" borderId="52" xfId="31" applyNumberFormat="1" applyFont="1" applyBorder="1" applyAlignment="1">
      <alignment horizontal="right" vertical="top" shrinkToFit="1"/>
    </xf>
    <xf numFmtId="1" fontId="273" fillId="0" borderId="52" xfId="31" applyNumberFormat="1" applyFont="1" applyBorder="1" applyAlignment="1">
      <alignment horizontal="center" vertical="top" shrinkToFit="1"/>
    </xf>
    <xf numFmtId="1" fontId="272" fillId="0" borderId="52" xfId="31" applyNumberFormat="1" applyFont="1" applyBorder="1" applyAlignment="1">
      <alignment horizontal="center" vertical="top" shrinkToFit="1"/>
    </xf>
    <xf numFmtId="1" fontId="210" fillId="0" borderId="52" xfId="31" applyNumberFormat="1" applyFont="1" applyBorder="1" applyAlignment="1">
      <alignment horizontal="center" vertical="top" shrinkToFit="1"/>
    </xf>
    <xf numFmtId="1" fontId="220" fillId="0" borderId="52" xfId="31" applyNumberFormat="1" applyFont="1" applyBorder="1" applyAlignment="1">
      <alignment horizontal="center" vertical="top" shrinkToFit="1"/>
    </xf>
    <xf numFmtId="1" fontId="254" fillId="0" borderId="52" xfId="31" applyNumberFormat="1" applyFont="1" applyBorder="1" applyAlignment="1">
      <alignment horizontal="right" vertical="top" shrinkToFit="1"/>
    </xf>
    <xf numFmtId="1" fontId="255" fillId="0" borderId="52" xfId="31" applyNumberFormat="1" applyFont="1" applyBorder="1" applyAlignment="1">
      <alignment horizontal="right" vertical="top" shrinkToFit="1"/>
    </xf>
    <xf numFmtId="1" fontId="248" fillId="0" borderId="52" xfId="31" applyNumberFormat="1" applyFont="1" applyBorder="1" applyAlignment="1">
      <alignment horizontal="center" vertical="top" shrinkToFit="1"/>
    </xf>
    <xf numFmtId="1" fontId="246" fillId="0" borderId="52" xfId="31" applyNumberFormat="1" applyFont="1" applyBorder="1" applyAlignment="1">
      <alignment horizontal="center" vertical="top" shrinkToFit="1"/>
    </xf>
    <xf numFmtId="1" fontId="250" fillId="0" borderId="52" xfId="31" applyNumberFormat="1" applyFont="1" applyBorder="1" applyAlignment="1">
      <alignment horizontal="center" vertical="top" shrinkToFit="1"/>
    </xf>
    <xf numFmtId="0" fontId="25" fillId="0" borderId="52" xfId="31" applyFont="1" applyBorder="1" applyAlignment="1">
      <alignment horizontal="center" vertical="top" wrapText="1"/>
    </xf>
    <xf numFmtId="1" fontId="236" fillId="0" borderId="52" xfId="31" applyNumberFormat="1" applyFont="1" applyBorder="1" applyAlignment="1">
      <alignment horizontal="center" vertical="top" shrinkToFit="1"/>
    </xf>
    <xf numFmtId="0" fontId="35" fillId="0" borderId="52" xfId="31" applyFont="1" applyBorder="1" applyAlignment="1">
      <alignment horizontal="left" vertical="center" wrapText="1"/>
    </xf>
    <xf numFmtId="1" fontId="238" fillId="0" borderId="52" xfId="31" applyNumberFormat="1" applyFont="1" applyBorder="1" applyAlignment="1">
      <alignment horizontal="center" vertical="top" shrinkToFit="1"/>
    </xf>
    <xf numFmtId="1" fontId="237" fillId="0" borderId="52" xfId="31" applyNumberFormat="1" applyFont="1" applyBorder="1" applyAlignment="1">
      <alignment horizontal="center" vertical="top" shrinkToFit="1"/>
    </xf>
    <xf numFmtId="1" fontId="221" fillId="0" borderId="52" xfId="31" applyNumberFormat="1" applyFont="1" applyBorder="1" applyAlignment="1">
      <alignment horizontal="center" vertical="top" shrinkToFit="1"/>
    </xf>
    <xf numFmtId="1" fontId="213" fillId="0" borderId="52" xfId="31" applyNumberFormat="1" applyFont="1" applyBorder="1" applyAlignment="1">
      <alignment horizontal="center" vertical="top" shrinkToFit="1"/>
    </xf>
    <xf numFmtId="1" fontId="202" fillId="0" borderId="52" xfId="31" applyNumberFormat="1" applyFont="1" applyBorder="1" applyAlignment="1">
      <alignment horizontal="center" vertical="top" shrinkToFit="1"/>
    </xf>
    <xf numFmtId="0" fontId="8" fillId="0" borderId="52" xfId="31" applyFont="1" applyBorder="1" applyAlignment="1">
      <alignment horizontal="left" vertical="top" wrapText="1"/>
    </xf>
    <xf numFmtId="0" fontId="104" fillId="0" borderId="52" xfId="31" applyFont="1" applyBorder="1" applyAlignment="1">
      <alignment horizontal="left" vertical="top" wrapText="1"/>
    </xf>
    <xf numFmtId="0" fontId="27" fillId="0" borderId="0" xfId="31" applyFont="1" applyAlignment="1">
      <alignment horizontal="left" vertical="center" wrapText="1"/>
    </xf>
    <xf numFmtId="0" fontId="27" fillId="0" borderId="52" xfId="31" applyFont="1" applyBorder="1" applyAlignment="1">
      <alignment horizontal="center" vertical="center" wrapText="1"/>
    </xf>
    <xf numFmtId="0" fontId="27" fillId="0" borderId="52" xfId="31" applyFont="1" applyBorder="1" applyAlignment="1">
      <alignment horizontal="left" vertical="top" wrapText="1"/>
    </xf>
    <xf numFmtId="0" fontId="6" fillId="0" borderId="52" xfId="31" applyFont="1" applyBorder="1" applyAlignment="1">
      <alignment horizontal="center" vertical="top" wrapText="1"/>
    </xf>
    <xf numFmtId="0" fontId="6" fillId="0" borderId="52" xfId="31" applyFont="1" applyBorder="1" applyAlignment="1">
      <alignment horizontal="left" vertical="top" wrapText="1"/>
    </xf>
    <xf numFmtId="1" fontId="188" fillId="0" borderId="52" xfId="31" applyNumberFormat="1" applyFont="1" applyBorder="1" applyAlignment="1">
      <alignment horizontal="center" vertical="top" shrinkToFit="1"/>
    </xf>
    <xf numFmtId="0" fontId="45" fillId="0" borderId="52" xfId="31" applyFont="1" applyBorder="1" applyAlignment="1">
      <alignment horizontal="left" vertical="top" wrapText="1"/>
    </xf>
    <xf numFmtId="1" fontId="189" fillId="0" borderId="52" xfId="31" applyNumberFormat="1" applyFont="1" applyBorder="1" applyAlignment="1">
      <alignment horizontal="center" vertical="top" shrinkToFit="1"/>
    </xf>
    <xf numFmtId="1" fontId="186" fillId="0" borderId="52" xfId="31" applyNumberFormat="1" applyFont="1" applyBorder="1" applyAlignment="1">
      <alignment horizontal="center" vertical="top" shrinkToFit="1"/>
    </xf>
    <xf numFmtId="1" fontId="169" fillId="0" borderId="52" xfId="31" applyNumberFormat="1" applyFont="1" applyBorder="1" applyAlignment="1">
      <alignment horizontal="center" vertical="top" shrinkToFit="1"/>
    </xf>
    <xf numFmtId="1" fontId="172" fillId="0" borderId="52" xfId="31" applyNumberFormat="1" applyFont="1" applyBorder="1" applyAlignment="1">
      <alignment horizontal="center" vertical="top" shrinkToFit="1"/>
    </xf>
    <xf numFmtId="1" fontId="168" fillId="0" borderId="52" xfId="31" applyNumberFormat="1" applyFont="1" applyBorder="1" applyAlignment="1">
      <alignment horizontal="center" vertical="top" shrinkToFit="1"/>
    </xf>
    <xf numFmtId="1" fontId="171" fillId="0" borderId="52" xfId="31" applyNumberFormat="1" applyFont="1" applyBorder="1" applyAlignment="1">
      <alignment horizontal="center" vertical="top" shrinkToFit="1"/>
    </xf>
    <xf numFmtId="0" fontId="104" fillId="0" borderId="0" xfId="31" applyFont="1" applyAlignment="1">
      <alignment horizontal="left" wrapText="1"/>
    </xf>
    <xf numFmtId="188" fontId="154" fillId="0" borderId="47" xfId="31" applyNumberFormat="1" applyFont="1" applyBorder="1" applyAlignment="1">
      <alignment horizontal="left" vertical="top" shrinkToFit="1"/>
    </xf>
    <xf numFmtId="0" fontId="58" fillId="0" borderId="49" xfId="31" applyFont="1" applyBorder="1"/>
    <xf numFmtId="0" fontId="58" fillId="0" borderId="58" xfId="31" applyFont="1" applyBorder="1"/>
    <xf numFmtId="0" fontId="8" fillId="0" borderId="55" xfId="31" applyFont="1" applyBorder="1" applyAlignment="1">
      <alignment horizontal="left" vertical="top" wrapText="1"/>
    </xf>
    <xf numFmtId="0" fontId="58" fillId="0" borderId="57" xfId="31" applyFont="1" applyBorder="1"/>
    <xf numFmtId="0" fontId="58" fillId="0" borderId="61" xfId="31" applyFont="1" applyBorder="1"/>
    <xf numFmtId="0" fontId="58" fillId="0" borderId="60" xfId="31" applyFont="1" applyBorder="1"/>
    <xf numFmtId="0" fontId="58" fillId="0" borderId="50" xfId="31" applyFont="1" applyBorder="1"/>
    <xf numFmtId="0" fontId="58" fillId="0" borderId="51" xfId="31" applyFont="1" applyBorder="1"/>
    <xf numFmtId="0" fontId="104" fillId="0" borderId="47" xfId="31" applyFont="1" applyBorder="1" applyAlignment="1">
      <alignment horizontal="left" vertical="top" wrapText="1"/>
    </xf>
    <xf numFmtId="0" fontId="104" fillId="0" borderId="55" xfId="31" applyFont="1" applyBorder="1" applyAlignment="1">
      <alignment horizontal="left" vertical="top" wrapText="1"/>
    </xf>
    <xf numFmtId="0" fontId="58" fillId="0" borderId="56" xfId="31" applyFont="1" applyBorder="1"/>
    <xf numFmtId="0" fontId="58" fillId="0" borderId="48" xfId="31" applyFont="1" applyBorder="1"/>
    <xf numFmtId="0" fontId="104" fillId="0" borderId="55" xfId="31" applyFont="1" applyBorder="1" applyAlignment="1">
      <alignment horizontal="center" vertical="top" wrapText="1"/>
    </xf>
    <xf numFmtId="0" fontId="46" fillId="0" borderId="55" xfId="31" applyFont="1" applyBorder="1" applyAlignment="1">
      <alignment horizontal="center" vertical="top" wrapText="1"/>
    </xf>
    <xf numFmtId="0" fontId="104" fillId="0" borderId="50" xfId="31" applyFont="1" applyBorder="1" applyAlignment="1">
      <alignment horizontal="left" wrapText="1"/>
    </xf>
    <xf numFmtId="0" fontId="46" fillId="0" borderId="50" xfId="31" applyFont="1" applyBorder="1" applyAlignment="1">
      <alignment horizontal="left" vertical="top" wrapText="1"/>
    </xf>
    <xf numFmtId="188" fontId="140" fillId="0" borderId="47" xfId="31" applyNumberFormat="1" applyFont="1" applyBorder="1" applyAlignment="1">
      <alignment horizontal="left" vertical="top" shrinkToFit="1"/>
    </xf>
    <xf numFmtId="188" fontId="140" fillId="0" borderId="49" xfId="31" applyNumberFormat="1" applyFont="1" applyBorder="1" applyAlignment="1">
      <alignment horizontal="left" vertical="top" shrinkToFit="1"/>
    </xf>
    <xf numFmtId="188" fontId="140" fillId="0" borderId="58" xfId="31" applyNumberFormat="1" applyFont="1" applyBorder="1" applyAlignment="1">
      <alignment horizontal="left" vertical="top" shrinkToFit="1"/>
    </xf>
    <xf numFmtId="0" fontId="45" fillId="0" borderId="55" xfId="31" applyFont="1" applyBorder="1" applyAlignment="1">
      <alignment horizontal="left" vertical="top" wrapText="1"/>
    </xf>
    <xf numFmtId="0" fontId="45" fillId="5" borderId="52" xfId="31" applyFont="1" applyFill="1" applyBorder="1" applyAlignment="1">
      <alignment horizontal="left" vertical="top" wrapText="1"/>
    </xf>
    <xf numFmtId="0" fontId="58" fillId="5" borderId="53" xfId="31" applyFont="1" applyFill="1" applyBorder="1"/>
    <xf numFmtId="0" fontId="58" fillId="5" borderId="54" xfId="31" applyFont="1" applyFill="1" applyBorder="1"/>
    <xf numFmtId="0" fontId="104" fillId="5" borderId="52" xfId="31" applyFont="1" applyFill="1" applyBorder="1" applyAlignment="1">
      <alignment horizontal="left" vertical="top" wrapText="1"/>
    </xf>
    <xf numFmtId="0" fontId="60" fillId="0" borderId="52" xfId="31" applyFont="1" applyBorder="1" applyAlignment="1">
      <alignment horizontal="left" vertical="top" wrapText="1"/>
    </xf>
    <xf numFmtId="188" fontId="140" fillId="5" borderId="47" xfId="31" applyNumberFormat="1" applyFont="1" applyFill="1" applyBorder="1" applyAlignment="1">
      <alignment horizontal="left" vertical="top" shrinkToFit="1"/>
    </xf>
    <xf numFmtId="0" fontId="58" fillId="5" borderId="49" xfId="31" applyFont="1" applyFill="1" applyBorder="1"/>
    <xf numFmtId="0" fontId="58" fillId="5" borderId="58" xfId="31" applyFont="1" applyFill="1" applyBorder="1"/>
    <xf numFmtId="0" fontId="45" fillId="5" borderId="55" xfId="31" applyFont="1" applyFill="1" applyBorder="1" applyAlignment="1">
      <alignment horizontal="left" vertical="top" wrapText="1"/>
    </xf>
    <xf numFmtId="0" fontId="58" fillId="5" borderId="57" xfId="31" applyFont="1" applyFill="1" applyBorder="1"/>
    <xf numFmtId="0" fontId="58" fillId="5" borderId="61" xfId="31" applyFont="1" applyFill="1" applyBorder="1"/>
    <xf numFmtId="0" fontId="58" fillId="5" borderId="60" xfId="31" applyFont="1" applyFill="1" applyBorder="1"/>
    <xf numFmtId="0" fontId="58" fillId="5" borderId="50" xfId="31" applyFont="1" applyFill="1" applyBorder="1"/>
    <xf numFmtId="0" fontId="58" fillId="5" borderId="51" xfId="31" applyFont="1" applyFill="1" applyBorder="1"/>
    <xf numFmtId="188" fontId="132" fillId="0" borderId="47" xfId="31" applyNumberFormat="1" applyFont="1" applyBorder="1" applyAlignment="1">
      <alignment horizontal="left" vertical="top" shrinkToFit="1"/>
    </xf>
    <xf numFmtId="1" fontId="132" fillId="0" borderId="47" xfId="31" applyNumberFormat="1" applyFont="1" applyBorder="1" applyAlignment="1">
      <alignment horizontal="left" vertical="top" shrinkToFit="1"/>
    </xf>
    <xf numFmtId="0" fontId="114" fillId="0" borderId="55" xfId="31" applyFont="1" applyBorder="1" applyAlignment="1">
      <alignment horizontal="left" vertical="top" wrapText="1"/>
    </xf>
    <xf numFmtId="0" fontId="114" fillId="0" borderId="47" xfId="31" applyFont="1" applyBorder="1" applyAlignment="1">
      <alignment horizontal="left" vertical="top" wrapText="1"/>
    </xf>
    <xf numFmtId="0" fontId="10" fillId="0" borderId="55" xfId="31" applyFont="1" applyBorder="1" applyAlignment="1">
      <alignment horizontal="left" vertical="top" wrapText="1"/>
    </xf>
    <xf numFmtId="1" fontId="127" fillId="0" borderId="47" xfId="31" applyNumberFormat="1" applyFont="1" applyBorder="1" applyAlignment="1">
      <alignment horizontal="left" vertical="top" shrinkToFit="1"/>
    </xf>
    <xf numFmtId="0" fontId="114" fillId="0" borderId="52" xfId="31" applyFont="1" applyBorder="1" applyAlignment="1">
      <alignment horizontal="left" vertical="top" wrapText="1"/>
    </xf>
    <xf numFmtId="1" fontId="110" fillId="0" borderId="47" xfId="31" applyNumberFormat="1" applyFont="1" applyBorder="1" applyAlignment="1">
      <alignment horizontal="left" vertical="top" shrinkToFit="1"/>
    </xf>
    <xf numFmtId="20" fontId="114" fillId="0" borderId="55" xfId="31" quotePrefix="1" applyNumberFormat="1" applyFont="1" applyBorder="1" applyAlignment="1">
      <alignment horizontal="left" vertical="top" wrapText="1"/>
    </xf>
    <xf numFmtId="0" fontId="2" fillId="0" borderId="52" xfId="9" applyFont="1" applyBorder="1" applyAlignment="1">
      <alignment horizontal="center"/>
    </xf>
    <xf numFmtId="0" fontId="2" fillId="0" borderId="52" xfId="9" applyFont="1" applyBorder="1" applyAlignment="1">
      <alignment horizontal="center" vertical="center"/>
    </xf>
    <xf numFmtId="0" fontId="5" fillId="12" borderId="1" xfId="0" applyFont="1" applyFill="1" applyBorder="1" applyAlignment="1" applyProtection="1">
      <alignment horizontal="center" vertical="center" wrapText="1"/>
      <protection locked="0"/>
    </xf>
    <xf numFmtId="0" fontId="11" fillId="12" borderId="1" xfId="0" applyFont="1" applyFill="1" applyBorder="1" applyAlignment="1" applyProtection="1">
      <alignment horizontal="center" vertical="center" wrapText="1"/>
      <protection locked="0"/>
    </xf>
    <xf numFmtId="0" fontId="5" fillId="12" borderId="1" xfId="0" applyFont="1" applyFill="1" applyBorder="1" applyAlignment="1" applyProtection="1">
      <alignment horizontal="center" vertical="center" wrapText="1"/>
      <protection locked="0" hidden="1"/>
    </xf>
    <xf numFmtId="0" fontId="5" fillId="1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5" fillId="12" borderId="8"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6" fillId="11" borderId="7"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9" fillId="12" borderId="1" xfId="0" applyFont="1" applyFill="1" applyBorder="1" applyAlignment="1" applyProtection="1">
      <alignment horizontal="center" vertical="center" wrapText="1"/>
      <protection locked="0"/>
    </xf>
    <xf numFmtId="0" fontId="7" fillId="8" borderId="1" xfId="0" applyFont="1" applyFill="1" applyBorder="1" applyAlignment="1" applyProtection="1">
      <alignment horizontal="center" vertical="center" wrapText="1"/>
      <protection locked="0"/>
    </xf>
    <xf numFmtId="0" fontId="8" fillId="0" borderId="1" xfId="0" applyFont="1" applyBorder="1" applyAlignment="1">
      <alignment horizontal="left" vertical="center" wrapText="1"/>
    </xf>
    <xf numFmtId="166" fontId="8"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6" fillId="11" borderId="1"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7" fillId="8" borderId="6" xfId="0" applyFont="1" applyFill="1" applyBorder="1" applyAlignment="1" applyProtection="1">
      <alignment horizontal="center" vertical="center" wrapText="1"/>
      <protection locked="0"/>
    </xf>
    <xf numFmtId="0" fontId="7" fillId="8" borderId="7" xfId="0" applyFont="1" applyFill="1" applyBorder="1" applyAlignment="1" applyProtection="1">
      <alignment horizontal="center" vertical="center" wrapText="1"/>
      <protection locked="0"/>
    </xf>
    <xf numFmtId="0" fontId="7" fillId="8" borderId="8" xfId="0" applyFont="1" applyFill="1" applyBorder="1" applyAlignment="1" applyProtection="1">
      <alignment horizontal="center" vertical="center" wrapText="1"/>
      <protection locked="0"/>
    </xf>
    <xf numFmtId="0" fontId="7" fillId="8" borderId="6"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15" fillId="0" borderId="1" xfId="5" applyFont="1" applyBorder="1" applyAlignment="1">
      <alignment horizontal="center" vertical="center" textRotation="90"/>
    </xf>
    <xf numFmtId="165" fontId="16" fillId="0" borderId="1" xfId="6" applyFont="1" applyBorder="1" applyAlignment="1">
      <alignment horizontal="center" vertical="center" wrapText="1"/>
    </xf>
    <xf numFmtId="0" fontId="17" fillId="0" borderId="15" xfId="5" applyFont="1" applyBorder="1" applyAlignment="1">
      <alignment horizontal="center" vertical="center" wrapText="1"/>
    </xf>
    <xf numFmtId="0" fontId="9" fillId="0" borderId="15" xfId="5" applyFont="1" applyBorder="1" applyAlignment="1">
      <alignment horizontal="center" vertical="center" wrapText="1"/>
    </xf>
    <xf numFmtId="0" fontId="17" fillId="0" borderId="1" xfId="5" applyFont="1" applyBorder="1" applyAlignment="1">
      <alignment horizontal="center" vertical="center"/>
    </xf>
    <xf numFmtId="0" fontId="17" fillId="0" borderId="34" xfId="5" applyFont="1" applyBorder="1" applyAlignment="1">
      <alignment horizontal="center" vertical="center" wrapText="1"/>
    </xf>
    <xf numFmtId="165" fontId="18" fillId="8" borderId="1" xfId="6" applyFont="1" applyFill="1" applyBorder="1" applyAlignment="1">
      <alignment horizontal="center" vertical="center" wrapText="1"/>
    </xf>
    <xf numFmtId="0" fontId="16" fillId="0" borderId="1" xfId="5" applyFont="1" applyBorder="1" applyAlignment="1">
      <alignment horizontal="center" vertical="center" wrapText="1"/>
    </xf>
    <xf numFmtId="0" fontId="28" fillId="10" borderId="2" xfId="7" applyFont="1" applyFill="1" applyBorder="1" applyAlignment="1">
      <alignment horizontal="center" vertical="center" wrapText="1"/>
    </xf>
    <xf numFmtId="0" fontId="28" fillId="10" borderId="16" xfId="7" applyFont="1" applyFill="1" applyBorder="1" applyAlignment="1">
      <alignment horizontal="center" vertical="center"/>
    </xf>
    <xf numFmtId="0" fontId="28" fillId="10" borderId="18" xfId="7" applyFont="1" applyFill="1" applyBorder="1" applyAlignment="1">
      <alignment horizontal="center" vertical="center"/>
    </xf>
    <xf numFmtId="0" fontId="28" fillId="10" borderId="19" xfId="7" applyFont="1" applyFill="1" applyBorder="1" applyAlignment="1">
      <alignment horizontal="center" vertical="center"/>
    </xf>
    <xf numFmtId="0" fontId="28" fillId="10" borderId="0" xfId="7" applyFont="1" applyFill="1" applyAlignment="1">
      <alignment horizontal="center" vertical="center"/>
    </xf>
    <xf numFmtId="0" fontId="28" fillId="10" borderId="21" xfId="7" applyFont="1" applyFill="1" applyBorder="1" applyAlignment="1">
      <alignment horizontal="center" vertical="center"/>
    </xf>
    <xf numFmtId="0" fontId="28" fillId="10" borderId="22" xfId="7" applyFont="1" applyFill="1" applyBorder="1" applyAlignment="1">
      <alignment horizontal="center" vertical="center"/>
    </xf>
    <xf numFmtId="0" fontId="28" fillId="10" borderId="23" xfId="7" applyFont="1" applyFill="1" applyBorder="1" applyAlignment="1">
      <alignment horizontal="center" vertical="center"/>
    </xf>
    <xf numFmtId="0" fontId="28" fillId="10" borderId="25" xfId="7" applyFont="1" applyFill="1" applyBorder="1" applyAlignment="1">
      <alignment horizontal="center" vertical="center"/>
    </xf>
    <xf numFmtId="0" fontId="29" fillId="4" borderId="26" xfId="7" applyFont="1" applyFill="1" applyBorder="1" applyAlignment="1">
      <alignment horizontal="center" vertical="center" wrapText="1"/>
    </xf>
    <xf numFmtId="0" fontId="29" fillId="4" borderId="27" xfId="7" applyFont="1" applyFill="1" applyBorder="1" applyAlignment="1">
      <alignment horizontal="center" vertical="center"/>
    </xf>
    <xf numFmtId="0" fontId="29" fillId="4" borderId="28" xfId="7" applyFont="1" applyFill="1" applyBorder="1" applyAlignment="1">
      <alignment horizontal="center" vertical="center"/>
    </xf>
    <xf numFmtId="0" fontId="29" fillId="4" borderId="19" xfId="7" applyFont="1" applyFill="1" applyBorder="1" applyAlignment="1">
      <alignment horizontal="center" vertical="center"/>
    </xf>
    <xf numFmtId="0" fontId="29" fillId="4" borderId="0" xfId="7" applyFont="1" applyFill="1" applyAlignment="1">
      <alignment horizontal="center" vertical="center"/>
    </xf>
    <xf numFmtId="0" fontId="29" fillId="4" borderId="21" xfId="7" applyFont="1" applyFill="1" applyBorder="1" applyAlignment="1">
      <alignment horizontal="center" vertical="center"/>
    </xf>
    <xf numFmtId="0" fontId="29" fillId="4" borderId="22" xfId="7" applyFont="1" applyFill="1" applyBorder="1" applyAlignment="1">
      <alignment horizontal="center" vertical="center"/>
    </xf>
    <xf numFmtId="0" fontId="29" fillId="4" borderId="23" xfId="7" applyFont="1" applyFill="1" applyBorder="1" applyAlignment="1">
      <alignment horizontal="center" vertical="center"/>
    </xf>
    <xf numFmtId="0" fontId="29" fillId="4" borderId="25" xfId="7" applyFont="1" applyFill="1" applyBorder="1" applyAlignment="1">
      <alignment horizontal="center" vertical="center"/>
    </xf>
    <xf numFmtId="0" fontId="29" fillId="4" borderId="30" xfId="7" applyFont="1" applyFill="1" applyBorder="1" applyAlignment="1">
      <alignment horizontal="center" vertical="center"/>
    </xf>
    <xf numFmtId="0" fontId="29" fillId="4" borderId="31" xfId="7" applyFont="1" applyFill="1" applyBorder="1" applyAlignment="1">
      <alignment horizontal="center" vertical="center"/>
    </xf>
    <xf numFmtId="0" fontId="29" fillId="4" borderId="32" xfId="7" applyFont="1" applyFill="1" applyBorder="1" applyAlignment="1">
      <alignment horizontal="center" vertical="center"/>
    </xf>
    <xf numFmtId="0" fontId="29" fillId="4" borderId="29" xfId="7" applyFont="1" applyFill="1" applyBorder="1" applyAlignment="1">
      <alignment horizontal="center" vertical="center" wrapText="1"/>
    </xf>
    <xf numFmtId="0" fontId="29" fillId="4" borderId="20" xfId="7" applyFont="1" applyFill="1" applyBorder="1" applyAlignment="1">
      <alignment horizontal="center" vertical="center"/>
    </xf>
    <xf numFmtId="0" fontId="29" fillId="4" borderId="33" xfId="7" applyFont="1" applyFill="1" applyBorder="1" applyAlignment="1">
      <alignment horizontal="center" vertical="center"/>
    </xf>
    <xf numFmtId="0" fontId="28" fillId="10" borderId="29" xfId="7" applyFont="1" applyFill="1" applyBorder="1" applyAlignment="1">
      <alignment horizontal="center" vertical="center" wrapText="1"/>
    </xf>
    <xf numFmtId="0" fontId="28" fillId="10" borderId="27" xfId="7" applyFont="1" applyFill="1" applyBorder="1" applyAlignment="1">
      <alignment horizontal="center" vertical="center"/>
    </xf>
    <xf numFmtId="0" fontId="28" fillId="10" borderId="28" xfId="7" applyFont="1" applyFill="1" applyBorder="1" applyAlignment="1">
      <alignment horizontal="center" vertical="center"/>
    </xf>
    <xf numFmtId="0" fontId="28" fillId="10" borderId="20" xfId="7" applyFont="1" applyFill="1" applyBorder="1" applyAlignment="1">
      <alignment horizontal="center" vertical="center"/>
    </xf>
    <xf numFmtId="0" fontId="28" fillId="10" borderId="24" xfId="7" applyFont="1" applyFill="1" applyBorder="1" applyAlignment="1">
      <alignment horizontal="center" vertical="center"/>
    </xf>
    <xf numFmtId="0" fontId="19" fillId="0" borderId="1" xfId="0" applyFont="1" applyBorder="1" applyAlignment="1">
      <alignment horizontal="center" vertical="top" wrapText="1"/>
    </xf>
    <xf numFmtId="0" fontId="28" fillId="5" borderId="17" xfId="7" applyFont="1" applyFill="1" applyBorder="1" applyAlignment="1">
      <alignment horizontal="center" vertical="center" wrapText="1"/>
    </xf>
    <xf numFmtId="0" fontId="28" fillId="5" borderId="16" xfId="7" applyFont="1" applyFill="1" applyBorder="1" applyAlignment="1">
      <alignment horizontal="center" vertical="center"/>
    </xf>
    <xf numFmtId="0" fontId="28" fillId="5" borderId="18" xfId="7" applyFont="1" applyFill="1" applyBorder="1" applyAlignment="1">
      <alignment horizontal="center" vertical="center"/>
    </xf>
    <xf numFmtId="0" fontId="28" fillId="5" borderId="20" xfId="7" applyFont="1" applyFill="1" applyBorder="1" applyAlignment="1">
      <alignment horizontal="center" vertical="center"/>
    </xf>
    <xf numFmtId="0" fontId="28" fillId="5" borderId="0" xfId="7" applyFont="1" applyFill="1" applyAlignment="1">
      <alignment horizontal="center" vertical="center"/>
    </xf>
    <xf numFmtId="0" fontId="28" fillId="5" borderId="21" xfId="7" applyFont="1" applyFill="1" applyBorder="1" applyAlignment="1">
      <alignment horizontal="center" vertical="center"/>
    </xf>
    <xf numFmtId="0" fontId="28" fillId="5" borderId="24" xfId="7" applyFont="1" applyFill="1" applyBorder="1" applyAlignment="1">
      <alignment horizontal="center" vertical="center"/>
    </xf>
    <xf numFmtId="0" fontId="28" fillId="5" borderId="23" xfId="7" applyFont="1" applyFill="1" applyBorder="1" applyAlignment="1">
      <alignment horizontal="center" vertical="center"/>
    </xf>
    <xf numFmtId="0" fontId="28" fillId="5" borderId="25" xfId="7" applyFont="1" applyFill="1" applyBorder="1" applyAlignment="1">
      <alignment horizontal="center" vertical="center"/>
    </xf>
    <xf numFmtId="0" fontId="28" fillId="9" borderId="17" xfId="7" applyFont="1" applyFill="1" applyBorder="1" applyAlignment="1">
      <alignment horizontal="center" vertical="center" wrapText="1"/>
    </xf>
    <xf numFmtId="0" fontId="28" fillId="9" borderId="16" xfId="7" applyFont="1" applyFill="1" applyBorder="1" applyAlignment="1">
      <alignment horizontal="center" vertical="center"/>
    </xf>
    <xf numFmtId="0" fontId="28" fillId="9" borderId="18" xfId="7" applyFont="1" applyFill="1" applyBorder="1" applyAlignment="1">
      <alignment horizontal="center" vertical="center"/>
    </xf>
    <xf numFmtId="0" fontId="28" fillId="9" borderId="20" xfId="7" applyFont="1" applyFill="1" applyBorder="1" applyAlignment="1">
      <alignment horizontal="center" vertical="center"/>
    </xf>
    <xf numFmtId="0" fontId="28" fillId="9" borderId="0" xfId="7" applyFont="1" applyFill="1" applyAlignment="1">
      <alignment horizontal="center" vertical="center"/>
    </xf>
    <xf numFmtId="0" fontId="28" fillId="9" borderId="21" xfId="7" applyFont="1" applyFill="1" applyBorder="1" applyAlignment="1">
      <alignment horizontal="center" vertical="center"/>
    </xf>
    <xf numFmtId="0" fontId="28" fillId="9" borderId="24" xfId="7" applyFont="1" applyFill="1" applyBorder="1" applyAlignment="1">
      <alignment horizontal="center" vertical="center"/>
    </xf>
    <xf numFmtId="0" fontId="28" fillId="9" borderId="23" xfId="7" applyFont="1" applyFill="1" applyBorder="1" applyAlignment="1">
      <alignment horizontal="center" vertical="center"/>
    </xf>
    <xf numFmtId="0" fontId="28" fillId="9" borderId="25" xfId="7" applyFont="1" applyFill="1" applyBorder="1" applyAlignment="1">
      <alignment horizontal="center" vertical="center"/>
    </xf>
    <xf numFmtId="0" fontId="28" fillId="5" borderId="29" xfId="7" applyFont="1" applyFill="1" applyBorder="1" applyAlignment="1">
      <alignment horizontal="center" vertical="center" wrapText="1"/>
    </xf>
    <xf numFmtId="0" fontId="28" fillId="5" borderId="27" xfId="7" applyFont="1" applyFill="1" applyBorder="1" applyAlignment="1">
      <alignment horizontal="center" vertical="center"/>
    </xf>
    <xf numFmtId="0" fontId="28" fillId="5" borderId="28" xfId="7" applyFont="1" applyFill="1" applyBorder="1" applyAlignment="1">
      <alignment horizontal="center" vertical="center"/>
    </xf>
    <xf numFmtId="0" fontId="30" fillId="9" borderId="29" xfId="7" applyFont="1" applyFill="1" applyBorder="1" applyAlignment="1">
      <alignment horizontal="center" vertical="center" wrapText="1"/>
    </xf>
    <xf numFmtId="0" fontId="30" fillId="9" borderId="27" xfId="7" applyFont="1" applyFill="1" applyBorder="1" applyAlignment="1">
      <alignment horizontal="center" vertical="center"/>
    </xf>
    <xf numFmtId="0" fontId="30" fillId="9" borderId="28" xfId="7" applyFont="1" applyFill="1" applyBorder="1" applyAlignment="1">
      <alignment horizontal="center" vertical="center"/>
    </xf>
    <xf numFmtId="0" fontId="30" fillId="9" borderId="20" xfId="7" applyFont="1" applyFill="1" applyBorder="1" applyAlignment="1">
      <alignment horizontal="center" vertical="center"/>
    </xf>
    <xf numFmtId="0" fontId="30" fillId="9" borderId="0" xfId="7" applyFont="1" applyFill="1" applyAlignment="1">
      <alignment horizontal="center" vertical="center"/>
    </xf>
    <xf numFmtId="0" fontId="30" fillId="9" borderId="21" xfId="7" applyFont="1" applyFill="1" applyBorder="1" applyAlignment="1">
      <alignment horizontal="center" vertical="center"/>
    </xf>
    <xf numFmtId="0" fontId="30" fillId="9" borderId="24" xfId="7" applyFont="1" applyFill="1" applyBorder="1" applyAlignment="1">
      <alignment horizontal="center" vertical="center"/>
    </xf>
    <xf numFmtId="0" fontId="30" fillId="9" borderId="23" xfId="7" applyFont="1" applyFill="1" applyBorder="1" applyAlignment="1">
      <alignment horizontal="center" vertical="center"/>
    </xf>
    <xf numFmtId="0" fontId="30" fillId="9" borderId="25" xfId="7" applyFont="1" applyFill="1" applyBorder="1" applyAlignment="1">
      <alignment horizontal="center" vertical="center"/>
    </xf>
    <xf numFmtId="0" fontId="28" fillId="10" borderId="33" xfId="7" applyFont="1" applyFill="1" applyBorder="1" applyAlignment="1">
      <alignment horizontal="center" vertical="center"/>
    </xf>
    <xf numFmtId="0" fontId="28" fillId="10" borderId="31" xfId="7" applyFont="1" applyFill="1" applyBorder="1" applyAlignment="1">
      <alignment horizontal="center" vertical="center"/>
    </xf>
    <xf numFmtId="0" fontId="28" fillId="10" borderId="32" xfId="7" applyFont="1" applyFill="1" applyBorder="1" applyAlignment="1">
      <alignment horizontal="center" vertical="center"/>
    </xf>
    <xf numFmtId="0" fontId="28" fillId="5" borderId="33" xfId="7" applyFont="1" applyFill="1" applyBorder="1" applyAlignment="1">
      <alignment horizontal="center" vertical="center"/>
    </xf>
    <xf numFmtId="0" fontId="28" fillId="5" borderId="31" xfId="7" applyFont="1" applyFill="1" applyBorder="1" applyAlignment="1">
      <alignment horizontal="center" vertical="center"/>
    </xf>
    <xf numFmtId="0" fontId="28" fillId="5" borderId="32" xfId="7" applyFont="1" applyFill="1" applyBorder="1" applyAlignment="1">
      <alignment horizontal="center" vertical="center"/>
    </xf>
    <xf numFmtId="0" fontId="29" fillId="6" borderId="17" xfId="7" applyFont="1" applyFill="1" applyBorder="1" applyAlignment="1">
      <alignment horizontal="center" vertical="center" wrapText="1"/>
    </xf>
    <xf numFmtId="0" fontId="29" fillId="6" borderId="16" xfId="7" applyFont="1" applyFill="1" applyBorder="1" applyAlignment="1">
      <alignment horizontal="center" vertical="center"/>
    </xf>
    <xf numFmtId="0" fontId="29" fillId="6" borderId="18" xfId="7" applyFont="1" applyFill="1" applyBorder="1" applyAlignment="1">
      <alignment horizontal="center" vertical="center"/>
    </xf>
    <xf numFmtId="0" fontId="29" fillId="6" borderId="20" xfId="7" applyFont="1" applyFill="1" applyBorder="1" applyAlignment="1">
      <alignment horizontal="center" vertical="center"/>
    </xf>
    <xf numFmtId="0" fontId="29" fillId="6" borderId="0" xfId="7" applyFont="1" applyFill="1" applyAlignment="1">
      <alignment horizontal="center" vertical="center"/>
    </xf>
    <xf numFmtId="0" fontId="29" fillId="6" borderId="21" xfId="7" applyFont="1" applyFill="1" applyBorder="1" applyAlignment="1">
      <alignment horizontal="center" vertical="center"/>
    </xf>
    <xf numFmtId="0" fontId="29" fillId="6" borderId="24" xfId="7" applyFont="1" applyFill="1" applyBorder="1" applyAlignment="1">
      <alignment horizontal="center" vertical="center"/>
    </xf>
    <xf numFmtId="0" fontId="29" fillId="6" borderId="23" xfId="7" applyFont="1" applyFill="1" applyBorder="1" applyAlignment="1">
      <alignment horizontal="center" vertical="center"/>
    </xf>
    <xf numFmtId="0" fontId="29" fillId="6" borderId="25" xfId="7" applyFont="1" applyFill="1" applyBorder="1" applyAlignment="1">
      <alignment horizontal="center" vertical="center"/>
    </xf>
    <xf numFmtId="0" fontId="29" fillId="6" borderId="35" xfId="7" applyFont="1" applyFill="1" applyBorder="1" applyAlignment="1">
      <alignment horizontal="center" vertical="center" wrapText="1"/>
    </xf>
    <xf numFmtId="0" fontId="29" fillId="6" borderId="36" xfId="7" applyFont="1" applyFill="1" applyBorder="1" applyAlignment="1">
      <alignment horizontal="center" vertical="center"/>
    </xf>
    <xf numFmtId="0" fontId="29" fillId="6" borderId="37" xfId="7" applyFont="1" applyFill="1" applyBorder="1" applyAlignment="1">
      <alignment horizontal="center" vertical="center"/>
    </xf>
    <xf numFmtId="0" fontId="29" fillId="6" borderId="38" xfId="7" applyFont="1" applyFill="1" applyBorder="1" applyAlignment="1">
      <alignment horizontal="center" vertical="center"/>
    </xf>
    <xf numFmtId="0" fontId="29" fillId="6" borderId="39" xfId="7" applyFont="1" applyFill="1" applyBorder="1" applyAlignment="1">
      <alignment horizontal="center" vertical="center"/>
    </xf>
    <xf numFmtId="0" fontId="29" fillId="6" borderId="40" xfId="7" applyFont="1" applyFill="1" applyBorder="1" applyAlignment="1">
      <alignment horizontal="center" vertical="center"/>
    </xf>
    <xf numFmtId="0" fontId="29" fillId="6" borderId="38" xfId="7" applyFont="1" applyFill="1" applyBorder="1" applyAlignment="1">
      <alignment horizontal="center" vertical="center" wrapText="1"/>
    </xf>
    <xf numFmtId="0" fontId="29" fillId="6" borderId="41" xfId="7" applyFont="1" applyFill="1" applyBorder="1" applyAlignment="1">
      <alignment horizontal="center" vertical="center"/>
    </xf>
    <xf numFmtId="0" fontId="29" fillId="6" borderId="42" xfId="7" applyFont="1" applyFill="1" applyBorder="1" applyAlignment="1">
      <alignment horizontal="center" vertical="center"/>
    </xf>
    <xf numFmtId="0" fontId="29" fillId="6" borderId="43" xfId="7" applyFont="1" applyFill="1" applyBorder="1" applyAlignment="1">
      <alignment horizontal="center" vertical="center"/>
    </xf>
    <xf numFmtId="0" fontId="312" fillId="12" borderId="3" xfId="0" applyFont="1" applyFill="1" applyBorder="1" applyAlignment="1" applyProtection="1">
      <alignment horizontal="center" vertical="center" wrapText="1"/>
      <protection locked="0"/>
    </xf>
    <xf numFmtId="0" fontId="312" fillId="12" borderId="4" xfId="0" applyFont="1" applyFill="1" applyBorder="1" applyAlignment="1" applyProtection="1">
      <alignment horizontal="center" vertical="center" wrapText="1"/>
      <protection locked="0"/>
    </xf>
    <xf numFmtId="0" fontId="312" fillId="12" borderId="5" xfId="0" applyFont="1" applyFill="1" applyBorder="1" applyAlignment="1" applyProtection="1">
      <alignment horizontal="center" vertical="center" wrapText="1"/>
      <protection locked="0"/>
    </xf>
    <xf numFmtId="0" fontId="312" fillId="12" borderId="6" xfId="0" applyFont="1" applyFill="1" applyBorder="1" applyAlignment="1" applyProtection="1">
      <alignment horizontal="center" vertical="center" wrapText="1"/>
      <protection locked="0"/>
    </xf>
    <xf numFmtId="0" fontId="312" fillId="12" borderId="7" xfId="0" applyFont="1" applyFill="1" applyBorder="1" applyAlignment="1" applyProtection="1">
      <alignment horizontal="center" vertical="center" wrapText="1"/>
      <protection locked="0"/>
    </xf>
    <xf numFmtId="0" fontId="5" fillId="48" borderId="1" xfId="0" applyFont="1" applyFill="1" applyBorder="1" applyAlignment="1">
      <alignment horizontal="center" vertical="center" wrapText="1"/>
    </xf>
    <xf numFmtId="166" fontId="8"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1" fillId="12" borderId="3" xfId="0" applyFont="1" applyFill="1" applyBorder="1" applyAlignment="1" applyProtection="1">
      <alignment horizontal="center" vertical="center" wrapText="1"/>
      <protection locked="0"/>
    </xf>
    <xf numFmtId="0" fontId="11" fillId="12" borderId="4" xfId="0" applyFont="1" applyFill="1" applyBorder="1" applyAlignment="1" applyProtection="1">
      <alignment horizontal="center" vertical="center" wrapText="1"/>
      <protection locked="0"/>
    </xf>
    <xf numFmtId="0" fontId="11" fillId="12" borderId="5" xfId="0" applyFont="1" applyFill="1" applyBorder="1" applyAlignment="1" applyProtection="1">
      <alignment horizontal="center" vertical="center" wrapText="1"/>
      <protection locked="0"/>
    </xf>
    <xf numFmtId="0" fontId="11" fillId="12" borderId="10" xfId="0" applyFont="1" applyFill="1" applyBorder="1" applyAlignment="1" applyProtection="1">
      <alignment horizontal="center" vertical="center" wrapText="1"/>
      <protection locked="0"/>
    </xf>
    <xf numFmtId="0" fontId="11" fillId="12" borderId="14" xfId="0" applyFont="1" applyFill="1" applyBorder="1" applyAlignment="1" applyProtection="1">
      <alignment horizontal="center" vertical="center" wrapText="1"/>
      <protection locked="0"/>
    </xf>
    <xf numFmtId="0" fontId="11" fillId="12" borderId="11" xfId="0" applyFont="1" applyFill="1" applyBorder="1" applyAlignment="1" applyProtection="1">
      <alignment horizontal="center" vertical="center" wrapText="1"/>
      <protection locked="0"/>
    </xf>
    <xf numFmtId="0" fontId="11" fillId="12" borderId="12" xfId="0" applyFont="1" applyFill="1" applyBorder="1" applyAlignment="1" applyProtection="1">
      <alignment horizontal="center" vertical="center" wrapText="1"/>
      <protection locked="0"/>
    </xf>
    <xf numFmtId="0" fontId="11" fillId="12" borderId="9" xfId="0" applyFont="1" applyFill="1" applyBorder="1" applyAlignment="1" applyProtection="1">
      <alignment horizontal="center" vertical="center" wrapText="1"/>
      <protection locked="0"/>
    </xf>
    <xf numFmtId="0" fontId="11" fillId="12" borderId="13" xfId="0" applyFont="1" applyFill="1" applyBorder="1" applyAlignment="1" applyProtection="1">
      <alignment horizontal="center" vertical="center" wrapText="1"/>
      <protection locked="0"/>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23" fillId="0" borderId="44" xfId="0" applyFont="1" applyBorder="1" applyAlignment="1">
      <alignment horizontal="center"/>
    </xf>
    <xf numFmtId="0" fontId="25" fillId="0" borderId="6" xfId="0" applyFont="1" applyBorder="1" applyAlignment="1">
      <alignment horizontal="left" vertical="center" wrapText="1"/>
    </xf>
    <xf numFmtId="0" fontId="25" fillId="0" borderId="8" xfId="0" applyFont="1" applyBorder="1" applyAlignment="1">
      <alignment horizontal="left" vertical="center" wrapText="1"/>
    </xf>
    <xf numFmtId="0" fontId="35" fillId="13" borderId="1" xfId="0" applyFont="1" applyFill="1" applyBorder="1" applyAlignment="1">
      <alignment vertical="center" wrapText="1"/>
    </xf>
    <xf numFmtId="0" fontId="33" fillId="12" borderId="1" xfId="0" applyFont="1" applyFill="1" applyBorder="1" applyAlignment="1">
      <alignment horizontal="center" vertical="center" wrapText="1"/>
    </xf>
    <xf numFmtId="0" fontId="33" fillId="12" borderId="6" xfId="0" applyFont="1" applyFill="1" applyBorder="1" applyAlignment="1">
      <alignment horizontal="center" vertical="center" wrapText="1"/>
    </xf>
    <xf numFmtId="0" fontId="33" fillId="12" borderId="3" xfId="0" applyFont="1" applyFill="1" applyBorder="1" applyAlignment="1">
      <alignment horizontal="center" vertical="center" wrapText="1"/>
    </xf>
    <xf numFmtId="0" fontId="35" fillId="13" borderId="5" xfId="0" applyFont="1" applyFill="1" applyBorder="1" applyAlignment="1">
      <alignment vertical="center" wrapText="1"/>
    </xf>
    <xf numFmtId="0" fontId="38" fillId="0" borderId="1" xfId="0" applyFont="1" applyBorder="1" applyAlignment="1">
      <alignment vertical="center" wrapText="1"/>
    </xf>
    <xf numFmtId="0" fontId="25" fillId="0" borderId="1" xfId="0" applyFont="1" applyBorder="1" applyAlignment="1">
      <alignment vertical="center" wrapText="1"/>
    </xf>
    <xf numFmtId="0" fontId="23" fillId="0" borderId="0" xfId="0" applyFont="1" applyAlignment="1">
      <alignment horizontal="left" vertical="top" wrapText="1"/>
    </xf>
    <xf numFmtId="0" fontId="23" fillId="0" borderId="0" xfId="0" applyFont="1" applyAlignment="1">
      <alignment horizontal="left" wrapText="1"/>
    </xf>
    <xf numFmtId="0" fontId="23" fillId="0" borderId="44" xfId="0" applyFont="1" applyBorder="1" applyAlignment="1">
      <alignment horizontal="center" wrapText="1"/>
    </xf>
    <xf numFmtId="0" fontId="2" fillId="0" borderId="0" xfId="0" applyFont="1" applyAlignment="1">
      <alignment horizontal="left" vertical="top" wrapText="1"/>
    </xf>
    <xf numFmtId="0" fontId="2" fillId="0" borderId="0" xfId="0" applyFont="1" applyAlignment="1">
      <alignment horizontal="left" wrapText="1"/>
    </xf>
    <xf numFmtId="0" fontId="25" fillId="0" borderId="1" xfId="0" applyFont="1" applyBorder="1" applyAlignment="1">
      <alignment horizontal="left" vertical="center" wrapText="1"/>
    </xf>
    <xf numFmtId="0" fontId="44" fillId="12" borderId="3" xfId="0" applyFont="1" applyFill="1" applyBorder="1" applyAlignment="1">
      <alignment horizontal="center" vertical="center" wrapText="1"/>
    </xf>
    <xf numFmtId="0" fontId="44" fillId="12" borderId="5" xfId="0" applyFont="1" applyFill="1" applyBorder="1" applyAlignment="1">
      <alignment horizontal="center" vertical="center" wrapText="1"/>
    </xf>
    <xf numFmtId="0" fontId="44" fillId="12" borderId="1" xfId="0" applyFont="1" applyFill="1" applyBorder="1" applyAlignment="1">
      <alignment horizontal="center" vertical="center" wrapText="1"/>
    </xf>
    <xf numFmtId="0" fontId="45" fillId="0" borderId="1" xfId="0" applyFont="1" applyBorder="1" applyAlignment="1">
      <alignment horizontal="center" vertical="center" wrapText="1"/>
    </xf>
    <xf numFmtId="9" fontId="45" fillId="0" borderId="1" xfId="0" applyNumberFormat="1" applyFont="1" applyBorder="1" applyAlignment="1">
      <alignment horizontal="center" vertical="center" wrapText="1"/>
    </xf>
    <xf numFmtId="0" fontId="46" fillId="0" borderId="1" xfId="0" applyFont="1" applyBorder="1" applyAlignment="1">
      <alignment horizontal="center" vertical="center" wrapText="1"/>
    </xf>
    <xf numFmtId="9" fontId="46" fillId="0" borderId="1" xfId="0" applyNumberFormat="1" applyFont="1" applyBorder="1" applyAlignment="1">
      <alignment horizontal="center" vertical="center" wrapText="1"/>
    </xf>
    <xf numFmtId="0" fontId="38" fillId="0" borderId="1" xfId="0" applyFont="1" applyBorder="1" applyAlignment="1">
      <alignment horizontal="center" vertical="center" wrapText="1"/>
    </xf>
    <xf numFmtId="0" fontId="34" fillId="12" borderId="1" xfId="0" applyFont="1" applyFill="1" applyBorder="1" applyAlignment="1">
      <alignment horizontal="center" vertical="center" wrapText="1"/>
    </xf>
    <xf numFmtId="0" fontId="38" fillId="0" borderId="0" xfId="0" applyFont="1" applyAlignment="1">
      <alignment horizontal="left" vertical="top" wrapText="1"/>
    </xf>
    <xf numFmtId="0" fontId="47" fillId="12" borderId="1" xfId="0" applyFont="1" applyFill="1" applyBorder="1" applyAlignment="1">
      <alignment horizontal="center" vertical="center" wrapText="1"/>
    </xf>
    <xf numFmtId="0" fontId="47" fillId="12" borderId="45" xfId="0" applyFont="1" applyFill="1" applyBorder="1" applyAlignment="1">
      <alignment horizontal="center" vertical="center" wrapText="1"/>
    </xf>
    <xf numFmtId="0" fontId="47" fillId="12" borderId="46" xfId="0" applyFont="1" applyFill="1" applyBorder="1" applyAlignment="1">
      <alignment horizontal="center" vertical="center" wrapText="1"/>
    </xf>
    <xf numFmtId="0" fontId="8" fillId="0" borderId="1" xfId="0" quotePrefix="1" applyFont="1" applyBorder="1" applyAlignment="1">
      <alignment horizontal="left" vertical="center" wrapText="1"/>
    </xf>
    <xf numFmtId="0" fontId="49" fillId="0" borderId="0" xfId="0" applyFont="1" applyAlignment="1">
      <alignment horizontal="center" vertical="center" wrapText="1"/>
    </xf>
    <xf numFmtId="0" fontId="45" fillId="0" borderId="1" xfId="0" applyFont="1" applyBorder="1" applyAlignment="1">
      <alignment horizontal="right" vertical="center" wrapText="1"/>
    </xf>
    <xf numFmtId="0" fontId="36" fillId="0" borderId="1" xfId="0" applyFont="1" applyBorder="1" applyAlignment="1">
      <alignment horizontal="center" vertical="center" wrapText="1"/>
    </xf>
    <xf numFmtId="0" fontId="320" fillId="0" borderId="1" xfId="34" applyBorder="1" applyAlignment="1">
      <alignment horizontal="center"/>
    </xf>
    <xf numFmtId="0" fontId="31" fillId="0" borderId="59" xfId="0" applyFont="1" applyBorder="1" applyAlignment="1">
      <alignment horizontal="left" vertical="center" wrapText="1"/>
    </xf>
    <xf numFmtId="0" fontId="326" fillId="0" borderId="0" xfId="0" applyFont="1" applyBorder="1"/>
    <xf numFmtId="0" fontId="325" fillId="0" borderId="0" xfId="12" applyFont="1" applyBorder="1"/>
    <xf numFmtId="0" fontId="325" fillId="0" borderId="0" xfId="0" applyFont="1" applyBorder="1"/>
    <xf numFmtId="179" fontId="0" fillId="0" borderId="0" xfId="0" applyNumberFormat="1"/>
    <xf numFmtId="0" fontId="316" fillId="0" borderId="1" xfId="0" applyFont="1" applyFill="1" applyBorder="1" applyAlignment="1">
      <alignment vertical="center" wrapText="1"/>
    </xf>
    <xf numFmtId="0" fontId="325" fillId="0" borderId="59" xfId="0" applyFont="1" applyBorder="1"/>
    <xf numFmtId="179" fontId="320" fillId="0" borderId="59" xfId="0" applyNumberFormat="1" applyFont="1" applyBorder="1" applyAlignment="1">
      <alignment horizontal="center"/>
    </xf>
    <xf numFmtId="0" fontId="320" fillId="0" borderId="59" xfId="0" applyFont="1" applyBorder="1" applyAlignment="1">
      <alignment horizontal="center"/>
    </xf>
    <xf numFmtId="0" fontId="325" fillId="0" borderId="59" xfId="0" applyFont="1" applyBorder="1" applyAlignment="1">
      <alignment horizontal="right" vertical="center"/>
    </xf>
    <xf numFmtId="179" fontId="325" fillId="0" borderId="59" xfId="12" applyNumberFormat="1" applyFont="1" applyBorder="1"/>
    <xf numFmtId="179" fontId="0" fillId="0" borderId="59" xfId="0" applyNumberFormat="1" applyBorder="1"/>
    <xf numFmtId="179" fontId="325" fillId="0" borderId="59" xfId="0" applyNumberFormat="1" applyFont="1" applyBorder="1"/>
    <xf numFmtId="0" fontId="0" fillId="0" borderId="59" xfId="0" applyBorder="1"/>
    <xf numFmtId="0" fontId="320" fillId="0" borderId="52" xfId="0" applyFont="1" applyBorder="1" applyAlignment="1">
      <alignment horizontal="center"/>
    </xf>
    <xf numFmtId="179" fontId="0" fillId="0" borderId="52" xfId="0" applyNumberFormat="1" applyBorder="1"/>
    <xf numFmtId="179" fontId="325" fillId="0" borderId="52" xfId="12" applyNumberFormat="1" applyFont="1" applyBorder="1"/>
    <xf numFmtId="179" fontId="325" fillId="0" borderId="52" xfId="0" applyNumberFormat="1" applyFont="1" applyBorder="1"/>
    <xf numFmtId="0" fontId="0" fillId="0" borderId="52" xfId="0" applyBorder="1"/>
    <xf numFmtId="0" fontId="321" fillId="0" borderId="59" xfId="12" applyFont="1" applyBorder="1" applyAlignment="1">
      <alignment horizontal="center"/>
    </xf>
    <xf numFmtId="0" fontId="321" fillId="2" borderId="59" xfId="12" applyFont="1" applyFill="1" applyBorder="1" applyAlignment="1">
      <alignment horizontal="center"/>
    </xf>
    <xf numFmtId="0" fontId="0" fillId="0" borderId="0" xfId="0" applyBorder="1"/>
    <xf numFmtId="189" fontId="325" fillId="0" borderId="59" xfId="0" applyNumberFormat="1" applyFont="1" applyBorder="1"/>
    <xf numFmtId="0" fontId="0" fillId="0" borderId="60" xfId="0" applyBorder="1"/>
    <xf numFmtId="0" fontId="0" fillId="0" borderId="48" xfId="0" applyBorder="1"/>
    <xf numFmtId="0" fontId="0" fillId="0" borderId="51" xfId="0" applyBorder="1"/>
    <xf numFmtId="179" fontId="331" fillId="0" borderId="1" xfId="8" applyNumberFormat="1" applyFont="1" applyBorder="1" applyAlignment="1">
      <alignment horizontal="center" vertical="center" wrapText="1"/>
    </xf>
    <xf numFmtId="9" fontId="325" fillId="0" borderId="0" xfId="0" applyNumberFormat="1" applyFont="1" applyBorder="1"/>
    <xf numFmtId="0" fontId="325" fillId="0" borderId="138" xfId="0" applyFont="1" applyBorder="1"/>
    <xf numFmtId="0" fontId="325" fillId="0" borderId="139" xfId="12" applyFont="1" applyBorder="1"/>
    <xf numFmtId="0" fontId="325" fillId="0" borderId="60" xfId="12" applyFont="1" applyBorder="1"/>
    <xf numFmtId="9" fontId="31" fillId="0" borderId="1" xfId="9" applyNumberFormat="1" applyFont="1" applyBorder="1" applyAlignment="1">
      <alignment horizontal="right" vertical="center"/>
    </xf>
    <xf numFmtId="3" fontId="325" fillId="0" borderId="133" xfId="0" applyNumberFormat="1" applyFont="1" applyBorder="1" applyAlignment="1">
      <alignment horizontal="right"/>
    </xf>
    <xf numFmtId="177" fontId="316" fillId="0" borderId="59" xfId="9" applyNumberFormat="1" applyFont="1" applyBorder="1" applyAlignment="1">
      <alignment horizontal="center" vertical="center" wrapText="1"/>
    </xf>
    <xf numFmtId="0" fontId="0" fillId="0" borderId="0" xfId="12" applyFont="1"/>
    <xf numFmtId="0" fontId="327" fillId="0" borderId="59" xfId="0" applyFont="1" applyBorder="1" applyAlignment="1">
      <alignment horizontal="center" vertical="center" wrapText="1"/>
    </xf>
    <xf numFmtId="0" fontId="325" fillId="0" borderId="59" xfId="12" applyFont="1" applyBorder="1"/>
    <xf numFmtId="0" fontId="1" fillId="0" borderId="59" xfId="12" applyBorder="1"/>
    <xf numFmtId="179" fontId="325" fillId="0" borderId="59" xfId="8" applyNumberFormat="1" applyFont="1" applyBorder="1"/>
    <xf numFmtId="9" fontId="325" fillId="0" borderId="59" xfId="1" applyFont="1" applyBorder="1" applyAlignment="1">
      <alignment horizontal="right" vertical="center" wrapText="1"/>
    </xf>
    <xf numFmtId="179" fontId="0" fillId="0" borderId="59" xfId="12" applyNumberFormat="1" applyFont="1" applyBorder="1"/>
    <xf numFmtId="9" fontId="325" fillId="0" borderId="59" xfId="0" applyNumberFormat="1" applyFont="1" applyBorder="1"/>
    <xf numFmtId="179" fontId="1" fillId="0" borderId="59" xfId="12" applyNumberFormat="1" applyBorder="1"/>
    <xf numFmtId="0" fontId="317" fillId="0" borderId="1" xfId="0" applyFont="1" applyFill="1" applyBorder="1" applyAlignment="1">
      <alignment vertical="center"/>
    </xf>
    <xf numFmtId="3" fontId="31" fillId="0" borderId="1" xfId="0" applyNumberFormat="1" applyFont="1" applyFill="1" applyBorder="1" applyAlignment="1">
      <alignment vertical="center"/>
    </xf>
    <xf numFmtId="179" fontId="31" fillId="0" borderId="1" xfId="8" applyNumberFormat="1" applyFont="1" applyFill="1" applyBorder="1" applyAlignment="1">
      <alignment vertical="center"/>
    </xf>
    <xf numFmtId="179" fontId="332" fillId="0" borderId="0" xfId="8" applyNumberFormat="1" applyFont="1"/>
  </cellXfs>
  <cellStyles count="35">
    <cellStyle name="Comma" xfId="8" builtinId="3"/>
    <cellStyle name="Comma [0]" xfId="2" builtinId="6"/>
    <cellStyle name="Comma [0] 104 2" xfId="32" xr:uid="{5D76704C-AAD9-48D8-8489-2782595BA871}"/>
    <cellStyle name="Comma [0] 2 2" xfId="17" xr:uid="{F09BD87F-896B-406F-8251-A9919F417173}"/>
    <cellStyle name="Comma [0] 3" xfId="16" xr:uid="{860C5C36-D39F-4A07-AE8C-177C8EE90CAB}"/>
    <cellStyle name="Comma [0] 4" xfId="25" xr:uid="{6B311260-2FF6-49F9-AF2C-699EB49DFBFD}"/>
    <cellStyle name="Comma [0] 5" xfId="33" xr:uid="{1D48AB10-1C15-4CF9-AE09-F8F2E210C697}"/>
    <cellStyle name="Comma 15" xfId="14" xr:uid="{E300AD01-CE7B-4284-A4C4-574BD374B39F}"/>
    <cellStyle name="Comma 17" xfId="28" xr:uid="{A5C61B4C-6320-4A3F-9BBB-D1C3C7905FA1}"/>
    <cellStyle name="Comma 18" xfId="30" xr:uid="{A00E619D-571D-4D89-922C-BEEE55F5F916}"/>
    <cellStyle name="Comma 2" xfId="10" xr:uid="{370A4DAD-E196-4A60-9FEC-5EFF8F4CFED5}"/>
    <cellStyle name="Comma 25" xfId="20" xr:uid="{03102011-6DB3-4D06-AB5A-B5E406C5A0ED}"/>
    <cellStyle name="Comma 26" xfId="21" xr:uid="{30131605-E4A9-41D6-B5F1-F905C4EFA9BC}"/>
    <cellStyle name="Comma 4" xfId="6" xr:uid="{548A08A4-124D-4B64-A04E-AE139E667BCC}"/>
    <cellStyle name="Currency [0]" xfId="4" builtinId="7"/>
    <cellStyle name="Hyperlink" xfId="3" builtinId="8"/>
    <cellStyle name="Normal" xfId="0" builtinId="0"/>
    <cellStyle name="Normal 10" xfId="27" xr:uid="{A6804CBD-256E-46B2-8BBC-50C3CF5E8FE1}"/>
    <cellStyle name="Normal 12" xfId="29" xr:uid="{7F367DA8-F0DE-48ED-A77C-3908E4F784BC}"/>
    <cellStyle name="Normal 13" xfId="23" xr:uid="{C3390CF4-D7E4-4D24-A0EC-E7A81DEEF586}"/>
    <cellStyle name="Normal 14" xfId="24" xr:uid="{7FE6FD3C-0230-40A0-A33C-FA3EB5BDC216}"/>
    <cellStyle name="Normal 16" xfId="15" xr:uid="{3449BE0A-2B91-4B02-9F5C-2C2150FE00BF}"/>
    <cellStyle name="Normal 19" xfId="11" xr:uid="{6E37E0C4-D27E-4EB3-839E-D41707FF6740}"/>
    <cellStyle name="Normal 2" xfId="9" xr:uid="{8EBCC966-3BC1-44A0-BBD1-8FBD87C07907}"/>
    <cellStyle name="Normal 2 2" xfId="12" xr:uid="{2A380CA3-0552-4EF0-B6CB-B7C4E87BB25A}"/>
    <cellStyle name="Normal 21" xfId="22" xr:uid="{B8103648-18D2-40BA-9FD7-3D9773B5D755}"/>
    <cellStyle name="Normal 3" xfId="31" xr:uid="{DCF1DA2B-FB7E-48A1-AF6D-A0A6BF04C966}"/>
    <cellStyle name="Normal 4" xfId="34" xr:uid="{406049A4-DF27-4B04-84FA-8632C28EB623}"/>
    <cellStyle name="Normal 5" xfId="13" xr:uid="{3934FC07-D34D-4D81-B692-4C1D4D6A47F8}"/>
    <cellStyle name="Normal 7" xfId="5" xr:uid="{1E13AE80-EE39-48F2-BCF3-C6C21E4EF5F7}"/>
    <cellStyle name="Normal 7 2 2" xfId="7" xr:uid="{223F1177-4F5B-4E89-8541-BF6F9F7CC26A}"/>
    <cellStyle name="Normal 8" xfId="26" xr:uid="{FCA7025F-9D2C-4B43-8EFD-134F53E8B227}"/>
    <cellStyle name="Percent" xfId="1" builtinId="5"/>
    <cellStyle name="Percent 2 3" xfId="19" xr:uid="{7A8A2673-F8F5-4C66-B66C-5CB7FE6B60BC}"/>
    <cellStyle name="Percent 4" xfId="18" xr:uid="{5EA3FF27-D1AD-4653-AB8E-EE99344B22BD}"/>
  </cellStyles>
  <dxfs count="8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patternType="solid">
          <fgColor rgb="FFC00000"/>
          <bgColor rgb="FFC00000"/>
        </patternFill>
      </fill>
    </dxf>
    <dxf>
      <font>
        <color theme="0"/>
      </font>
      <fill>
        <patternFill patternType="solid">
          <fgColor rgb="FF385623"/>
          <bgColor rgb="FF385623"/>
        </patternFill>
      </fill>
    </dxf>
    <dxf>
      <font>
        <color rgb="FFC00000"/>
      </font>
      <fill>
        <patternFill patternType="solid">
          <fgColor rgb="FFFFFF00"/>
          <bgColor rgb="FFFFFF00"/>
        </patternFill>
      </fill>
    </dxf>
    <dxf>
      <font>
        <color rgb="FF006100"/>
      </font>
      <fill>
        <patternFill patternType="solid">
          <fgColor theme="9"/>
          <bgColor theme="9"/>
        </patternFill>
      </fill>
    </dxf>
    <dxf>
      <font>
        <color rgb="FFC00000"/>
      </font>
      <fill>
        <patternFill patternType="solid">
          <fgColor theme="5"/>
          <bgColor theme="5"/>
        </patternFill>
      </fill>
    </dxf>
    <dxf>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70C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patternFill>
      </fill>
    </dxf>
    <dxf>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70C0"/>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1"/>
        </patternFill>
      </fill>
    </dxf>
    <dxf>
      <fill>
        <patternFill>
          <bgColor theme="1"/>
        </patternFill>
      </fill>
    </dxf>
    <dxf>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70C0"/>
        </patternFill>
      </fill>
    </dxf>
    <dxf>
      <fill>
        <patternFill>
          <bgColor theme="1"/>
        </patternFill>
      </fill>
    </dxf>
    <dxf>
      <fill>
        <patternFill>
          <bgColor theme="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patternType="solid">
          <fgColor rgb="FFC00000"/>
          <bgColor rgb="FFC00000"/>
        </patternFill>
      </fill>
    </dxf>
    <dxf>
      <font>
        <color theme="0"/>
      </font>
      <fill>
        <patternFill patternType="solid">
          <fgColor rgb="FF385623"/>
          <bgColor rgb="FF385623"/>
        </patternFill>
      </fill>
    </dxf>
    <dxf>
      <font>
        <color rgb="FFC00000"/>
      </font>
      <fill>
        <patternFill patternType="solid">
          <fgColor rgb="FFFFFF00"/>
          <bgColor rgb="FFFFFF00"/>
        </patternFill>
      </fill>
    </dxf>
    <dxf>
      <font>
        <color rgb="FF006100"/>
      </font>
      <fill>
        <patternFill patternType="solid">
          <fgColor theme="9"/>
          <bgColor theme="9"/>
        </patternFill>
      </fill>
    </dxf>
    <dxf>
      <font>
        <color rgb="FFC00000"/>
      </font>
      <fill>
        <patternFill patternType="solid">
          <fgColor theme="5"/>
          <bgColor theme="5"/>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theme="0"/>
      </font>
      <fill>
        <patternFill patternType="solid">
          <fgColor rgb="FFC00000"/>
          <bgColor rgb="FFC00000"/>
        </patternFill>
      </fill>
    </dxf>
    <dxf>
      <font>
        <color theme="0"/>
      </font>
      <fill>
        <patternFill patternType="solid">
          <fgColor rgb="FF385623"/>
          <bgColor rgb="FF385623"/>
        </patternFill>
      </fill>
    </dxf>
    <dxf>
      <font>
        <color rgb="FFC00000"/>
      </font>
      <fill>
        <patternFill patternType="solid">
          <fgColor rgb="FFFFFF00"/>
          <bgColor rgb="FFFFFF00"/>
        </patternFill>
      </fill>
    </dxf>
    <dxf>
      <font>
        <color rgb="FF006100"/>
      </font>
      <fill>
        <patternFill patternType="solid">
          <fgColor theme="9"/>
          <bgColor theme="9"/>
        </patternFill>
      </fill>
    </dxf>
    <dxf>
      <fill>
        <patternFill patternType="solid">
          <fgColor theme="1"/>
          <bgColor theme="1"/>
        </patternFill>
      </fill>
    </dxf>
    <dxf>
      <fill>
        <patternFill patternType="solid">
          <fgColor theme="1"/>
          <bgColor theme="1"/>
        </patternFill>
      </fill>
    </dxf>
    <dxf>
      <font>
        <color theme="0"/>
      </font>
      <fill>
        <patternFill patternType="solid">
          <fgColor rgb="FFC00000"/>
          <bgColor rgb="FFC00000"/>
        </patternFill>
      </fill>
    </dxf>
    <dxf>
      <font>
        <color theme="0"/>
      </font>
      <fill>
        <patternFill patternType="solid">
          <fgColor rgb="FF385623"/>
          <bgColor rgb="FF385623"/>
        </patternFill>
      </fill>
    </dxf>
    <dxf>
      <font>
        <color rgb="FFC00000"/>
      </font>
      <fill>
        <patternFill patternType="solid">
          <fgColor rgb="FFFFFF00"/>
          <bgColor rgb="FFFFFF00"/>
        </patternFill>
      </fill>
    </dxf>
    <dxf>
      <font>
        <color rgb="FF006100"/>
      </font>
      <fill>
        <patternFill patternType="solid">
          <fgColor theme="9"/>
          <bgColor theme="9"/>
        </patternFill>
      </fill>
    </dxf>
    <dxf>
      <font>
        <color rgb="FFC00000"/>
      </font>
      <fill>
        <patternFill patternType="solid">
          <fgColor theme="5"/>
          <bgColor theme="5"/>
        </patternFill>
      </fill>
    </dxf>
    <dxf>
      <font>
        <color rgb="FFC00000"/>
      </font>
      <fill>
        <patternFill patternType="solid">
          <fgColor theme="5"/>
          <bgColor theme="5"/>
        </patternFill>
      </fill>
    </dxf>
    <dxf>
      <font>
        <color theme="0"/>
      </font>
      <fill>
        <patternFill patternType="solid">
          <fgColor rgb="FFC00000"/>
          <bgColor rgb="FFC00000"/>
        </patternFill>
      </fill>
    </dxf>
    <dxf>
      <font>
        <color theme="0"/>
      </font>
      <fill>
        <patternFill patternType="solid">
          <fgColor rgb="FF385623"/>
          <bgColor rgb="FF385623"/>
        </patternFill>
      </fill>
    </dxf>
    <dxf>
      <font>
        <color rgb="FFC00000"/>
      </font>
      <fill>
        <patternFill patternType="solid">
          <fgColor rgb="FFFFFF00"/>
          <bgColor rgb="FFFFFF00"/>
        </patternFill>
      </fill>
    </dxf>
    <dxf>
      <font>
        <color rgb="FF006100"/>
      </font>
      <fill>
        <patternFill patternType="solid">
          <fgColor theme="9"/>
          <bgColor theme="9"/>
        </patternFill>
      </fill>
    </dxf>
    <dxf>
      <font>
        <color rgb="FFC00000"/>
      </font>
      <fill>
        <patternFill patternType="solid">
          <fgColor theme="5"/>
          <bgColor theme="5"/>
        </patternFill>
      </fill>
    </dxf>
    <dxf>
      <font>
        <color rgb="FFFFFFFF"/>
      </font>
      <fill>
        <patternFill patternType="solid">
          <fgColor rgb="FFC00000"/>
          <bgColor rgb="FFC00000"/>
        </patternFill>
      </fill>
    </dxf>
    <dxf>
      <font>
        <color rgb="FFFFFFFF"/>
      </font>
      <fill>
        <patternFill patternType="solid">
          <fgColor rgb="FF375623"/>
          <bgColor rgb="FF375623"/>
        </patternFill>
      </fill>
    </dxf>
    <dxf>
      <font>
        <color rgb="FFC00000"/>
      </font>
      <fill>
        <patternFill patternType="solid">
          <fgColor rgb="FFFFFF00"/>
          <bgColor rgb="FFFFFF00"/>
        </patternFill>
      </fill>
    </dxf>
    <dxf>
      <font>
        <color rgb="FF006100"/>
      </font>
      <fill>
        <patternFill patternType="solid">
          <fgColor rgb="FF70AD47"/>
          <bgColor rgb="FF70AD47"/>
        </patternFill>
      </fill>
    </dxf>
    <dxf>
      <font>
        <color rgb="FFC00000"/>
      </font>
      <fill>
        <patternFill patternType="solid">
          <fgColor rgb="FFED7D31"/>
          <bgColor rgb="FFED7D31"/>
        </patternFill>
      </fill>
    </dxf>
    <dxf>
      <font>
        <strike val="0"/>
        <color theme="0"/>
      </font>
      <fill>
        <patternFill>
          <bgColor rgb="FFFF0000"/>
        </patternFill>
      </fill>
    </dxf>
    <dxf>
      <font>
        <strike val="0"/>
        <color theme="0"/>
      </font>
      <fill>
        <patternFill>
          <bgColor rgb="FFFF0000"/>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bgColor rgb="FFC6EFCE"/>
        </patternFill>
      </fill>
    </dxf>
  </dxfs>
  <tableStyles count="0" defaultTableStyle="TableStyleMedium2" defaultPivotStyle="PivotStyleLight16"/>
  <colors>
    <mruColors>
      <color rgb="FF008080"/>
      <color rgb="FF1896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3" Type="http://schemas.openxmlformats.org/officeDocument/2006/relationships/image" Target="../media/image11.png"/><Relationship Id="rId21" Type="http://schemas.openxmlformats.org/officeDocument/2006/relationships/image" Target="../media/image29.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 Id="rId22" Type="http://schemas.openxmlformats.org/officeDocument/2006/relationships/image" Target="../media/image30.png"/></Relationships>
</file>

<file path=xl/drawings/_rels/drawing8.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xdr:col>
      <xdr:colOff>552450</xdr:colOff>
      <xdr:row>14</xdr:row>
      <xdr:rowOff>76200</xdr:rowOff>
    </xdr:from>
    <xdr:to>
      <xdr:col>6</xdr:col>
      <xdr:colOff>287154</xdr:colOff>
      <xdr:row>22</xdr:row>
      <xdr:rowOff>123825</xdr:rowOff>
    </xdr:to>
    <xdr:pic>
      <xdr:nvPicPr>
        <xdr:cNvPr id="3" name="Picture 2">
          <a:extLst>
            <a:ext uri="{FF2B5EF4-FFF2-40B4-BE49-F238E27FC236}">
              <a16:creationId xmlns:a16="http://schemas.microsoft.com/office/drawing/2014/main" id="{4A705536-CD3B-4DB6-A5E8-AFEB37636BC7}"/>
            </a:ext>
          </a:extLst>
        </xdr:cNvPr>
        <xdr:cNvPicPr/>
      </xdr:nvPicPr>
      <xdr:blipFill>
        <a:blip xmlns:r="http://schemas.openxmlformats.org/officeDocument/2006/relationships" r:embed="rId1"/>
        <a:srcRect/>
        <a:stretch>
          <a:fillRect/>
        </a:stretch>
      </xdr:blipFill>
      <xdr:spPr>
        <a:xfrm>
          <a:off x="1143000" y="3095625"/>
          <a:ext cx="3077936" cy="161925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216595</xdr:colOff>
      <xdr:row>351</xdr:row>
      <xdr:rowOff>3192</xdr:rowOff>
    </xdr:from>
    <xdr:to>
      <xdr:col>7</xdr:col>
      <xdr:colOff>1149624</xdr:colOff>
      <xdr:row>361</xdr:row>
      <xdr:rowOff>152397</xdr:rowOff>
    </xdr:to>
    <xdr:pic>
      <xdr:nvPicPr>
        <xdr:cNvPr id="2" name="Picture 1">
          <a:extLst>
            <a:ext uri="{FF2B5EF4-FFF2-40B4-BE49-F238E27FC236}">
              <a16:creationId xmlns:a16="http://schemas.microsoft.com/office/drawing/2014/main" id="{458E24E3-2634-41C7-B9A8-AAA55BDE3804}"/>
            </a:ext>
          </a:extLst>
        </xdr:cNvPr>
        <xdr:cNvPicPr>
          <a:picLocks noChangeAspect="1"/>
        </xdr:cNvPicPr>
      </xdr:nvPicPr>
      <xdr:blipFill>
        <a:blip xmlns:r="http://schemas.openxmlformats.org/officeDocument/2006/relationships" r:embed="rId1"/>
        <a:stretch>
          <a:fillRect/>
        </a:stretch>
      </xdr:blipFill>
      <xdr:spPr>
        <a:xfrm>
          <a:off x="876995" y="77454142"/>
          <a:ext cx="6724229" cy="2454255"/>
        </a:xfrm>
        <a:prstGeom prst="rect">
          <a:avLst/>
        </a:prstGeom>
      </xdr:spPr>
    </xdr:pic>
    <xdr:clientData/>
  </xdr:twoCellAnchor>
  <xdr:twoCellAnchor editAs="oneCell">
    <xdr:from>
      <xdr:col>5</xdr:col>
      <xdr:colOff>0</xdr:colOff>
      <xdr:row>599</xdr:row>
      <xdr:rowOff>0</xdr:rowOff>
    </xdr:from>
    <xdr:to>
      <xdr:col>5</xdr:col>
      <xdr:colOff>304800</xdr:colOff>
      <xdr:row>600</xdr:row>
      <xdr:rowOff>106676</xdr:rowOff>
    </xdr:to>
    <xdr:sp macro="" textlink="">
      <xdr:nvSpPr>
        <xdr:cNvPr id="3" name="AutoShape 1" descr="data:image/png;base64,iVBORw0KGgoAAAANSUhEUgAAAesAAAGFCAYAAADdDduLAAAAAXNSR0IArs4c6QAAIABJREFUeF7s3QeYXVW1B/B1U0hIIQkJvQrSQZEiIKCIFQVR7AUbDxRUxILtKYICImAHVBBFUJ+KiAVBlCYCokgXEJDeQxLSSE/um9+ec8LNMBMmMyFOMmt/3yQz956zz97/c+/5r74acepdX40ciUAikAgkAolAItBnEWjED+5u9tnV5cISgUQgEUgEEoFEIJKs80OQCCQCnSIweEAj1h8xKO6eOjdqiX7TUYPj7qnzYl4zZfz82CQCyxKBTsn6oM1Hxpl3To9Z8/vmF/I16w2LO6bMjf9MnbtYrBoRseNqQ8ox/3h8drdxHdCI2G2NobHn2isvPOeJ2fPj1H9Pi5k9wOSzzx8dX7lxcrevnwcmAn0BgbFDBsTXdhobx980JW6dPCe2HD04vrjdmDjg8gkxfd6CvrDEXEMi0G8Q6JSsr9l37Xj5BY/GlDl98wv5nV3Gxnn3z4gLH5q52BuFdA/ZYpWiFZx869Ru31QaxWFbrRLv3HhE3DVtXjlv+3ErxXdvmxZfvWnJSfdNzxkev7rnyW5fPw9MBPoCAmOGDIgzX7xa3DBpTnzxuifiqzuuWgj7jRePL4L8akMHxovXHBo3PTEn7pzSLjjvvd6wGDKwEY/Pmh9XPjYryLa7rjE0Vh0yIFYa0IiLH55ZzvEd+5fzps6NBX1TJ+gLtyDXkAgsRKDbZL3WsIFxxAvGFNIyDrpiQjwyY37ss/6wWG/4oNh59SHlC/q+yyfE3AXN2GSVwXH0DmPiOSMHxWn/nhY/uWt6zJzXjIv2WjP+/NCseP7YleKn/5ker99gWPnd+OAVE+LhGfPjtesNK+fRiifOmh/vuOzxRW5ZZ2Q9YvCA+J/NRsY7Nh5ejj3m+snx+wdmFLLeaszgGLPSwBg+qBGfumZS3DZ5bmw9ZqX44YvHlWMvfXhWfPNfU+KRmfPL3x4kB202MjysfnjH9PLab1+xejzw5Px4yyXj43XrD4tBjYhf3vNkfGm7MfGLe56MW56YEx/ZapV4y3OGx2WPzIoHps8r2rwH3SWvWSv2PP+R/NglAssVAgMbUT7rH99mVLG0sbh9/ton4k8PzozVVh4YF7xyjVhz2KAi1H/wygmFkL+189g4+94Zsc96K8cP7yDcTokzX7JavGj1obHyoEacdOvU8sz400MzY+sxg4u16qKHZyZhL1efjFzsfwOBbpP1ES8YHduNHRKf+eek+OZOY+OSh2fG/939ZJz4wlULgT/45PzYduxK8dZLx8eVj82OY7YfE7utOTT+PXluvHjNIfGFa5+IM/8zPWa8Z8PyRfX7TqsNic1HDY6P/31SnPSisXH5o7PirP9MLxL8C1cbEvdNmxs7rDYkVjnzvmck673WXTmO2WHVOOLaJ+LFaw2NMSsNiA9cOSE+9/zR8dE2Er118tzYYMSg+O5tU+Nbt0yNR96xfpx2+7T480MzC8l/55apccVjsxaS9Ue2XCX2WGtoXDW+3Xz+wc1HxrE3TI4f3Tk9Dth0RCH079w6Nc56yWrlATRp9vy44Q3rxo2T5sSjM+fHRiMHxYevmljmnLz/BjH6rEX38N+42XnNRGBJESCUHrT5KnH8C8fEh6+aFD+9a3oRxh9++3rF6vSGi8bHkS8YHX99bFaMXmlAPGfk4Djquifi1euuHK9ad1h8+KoJ8ZtXrBFfv3lqXDdxdvz7Te3fkX3//Fi8bO2V4/ZuuLOWdM15fCKwIiLQbbJmUh45eEDwA/9kj9UKce/0u4fjhBeuGtdMmB1fu3lKnLTL2Ji5oBnf+tfUuGqfteLjV0+KX937ZPzvtqNjzZUHxmFXT4yJ79ogPnb1xEJ6i865emwxenC89PxH4rgdV40rH50VJ982Ne5487qx6dkPPiNZW9ewQY1igvvkNqPisK1GxYgz7y1kvc2qK8VbLxkfH9h8ZDHJffTqiTFtbjNGDW7EC8YNiW/uPDa+fvOUognUmvXh24yKz207KngCRgxqxBl3Ti/rn7sgOiXrNYcNjNN3Xy3G/eS+cg1kj8STrFfEr03/2tN7NhkRp+22Wrzt0vHx63vb3TnT3rNBPD5zQRG6d19jaJxy29S44MEZ8altRsXIlQbG/s8dHr+7f0YRWH/1stXjc/98Im5iTt9udHzmeaMLSR953RNFcJ8xL+3g/esTlbvtCQLdJmua7tHbj4kJs+cX3xOzFrL+0JYj44rHZhcfMoJab8Sg+PYti5I1zZWv6/B/TIq73rJebPiLB8pad1p9SBy3w6pFE/V1pWkj63c/d0QhOebk7pI1U/yR242ODUcOLiboNz5neIw68944dMtRhcSPvXFyvGKdlWPf9YfFF657It64wfD47Laj46+Pzipmcv7oVrK2ZmbA8x+YGV/badW4a+rccp64mgM3G1lMevbJxMeE3krWXACO8bBKsu7JxzLP6UsIdEXWrGmE9FErDYg/Pjgz3rDBsDhquzHFbSUg8y0bDV9I1qxngkJZvD637ehiOXvuKqxqE0s8Rw/iNvsSRLmWROBZR6BLsj7s6kkxnRoZEZNmLyhaKVL70FUT47CtR8W7Nh5RyPobO60aU+cuiO//e1p88QVj4pJHZhZT2WWvWauYyUnOJ+w4ppiTP3PNomSNBAuxXTEhDtuav3dEt8maWfuqymw9e34zNhk1OI7ZYUwc+reJJd3k2zuPjVV/cl/87/NHx17rDSvXfsMGw2OlgRGfveaJmLj/BnHcjZPLWh3787uf7JSsacf7bjAsvrDt6DjgrxOKOZ1Zncmfts0E+Im/Tyrk/btXrBFvv/TxspbXrrtyHHX95CTrZ/0jnBd4thHojKxZ114wdkiccNPk2HLMSnHuvU/Gh7dcJd5ePRf223B4rDZ0wNPIevc1hxaftXiVT2wzKn5734w4974n02f9bN/EnH+5R6BLsp4zPxbmUpKa/z15Thy4+Spx+5Q5xRz+mnWHFbL+9PNGFTMzzXidYQNjnz8/FvdPnxcf23pUCbby+gNPzisBX39/fHbc89anNOs3P2d4CeS6+Yk5IUCMD6u7mvVL1hoaT8xuFyZc7/ibp5Rgr2lzF8TkOQvifZuMiFFn3Rcf33pUiMaeNa9ZtF9RrefcOyO+s/OqsdWYleJv42eHuQS6dKZZI+tVBg+I03YfVwJpDr5yQgmAk8Jy97S58bwxK8W7//J4SSO7fO+1Y8TgRtz6xNyyDpp3atbL/Xek32/gVeuuHJ/YelR8+YbJxRJl+E584QWjY/txQ8r34Jv/mhorDYgSN+J7PnJwIx56cl6cdOu0OHK7McVM/uCT88p3Z//njoh/T5lbXGr/d/f0uH3yU3nc/R7sBCAR6AKBTsn6leusXCI763HPtHklzYLpao2VBxbtUrT2dRPmxPs2HVGCywRYyUEWsCUVQ7DJLqsPKSayfz0xt3w55y1oFqn69/fPKFMzT++y+tAigd/yxNzYYOSgErgmSOXxmfNj/Kz2yPA/PNB+fD08IDZZZdDCv6fObb+u6NLNRg2Oe6fPi7WHDSrSPlPb2KEDivlNUBjyZCmQQ8osPmVuM2bNWxD3TZ8Xd1dpWnzpG7UFyjQasTAl5XmrrhQi4i98cGYRLOyN6c4D6prHZxdf+carDC74EGZ2XWNInHHH9HK9N244PM6pfH35SUwEljcEfJfXGT6ouJdY0eoxfJCAskHx2Mz5MWFWuytr87ZcbPVSZHUQXB+dMb9Yuri6WMC40DZeZVAMbDQWOW95wyTXmwgsawR6VcGMnxhZi+LmX+7Pg5Dw0z1WKxAgc8E0gmqeqXBLf8Ys954IJAKJQCLQPQR6Rda05h3GDol7ps9dqJV277Ir3lG08RetPiReu/7wmDpnQfzxwRklRSULPqx49zp3lAgkAonAskagV2S9rBeb10sEEoFEIBFIBPojAknW/fGu554TgUQgEUgEnjUEBE+uO2JQzJ3fjCfmLCjxGsY6wwaVWCjBlvUQHzZ88ICYNqc9ONoQzzV26MBS9VMapNM7Jeu91x8W46oAM+eK1r550pwuNybgS4CJIK2lNQRqCeK65OFZiwS1tM7P7FxXGHum6yovukNVKtWxNi8oTeDLkgzmbulm/le2tOMQaCao7cm5C0qgW45EIBFIBBKB/oXA+zcdWUr1Csg8994ZxS36vLErxUe3HFXSh3985/QSaC1wWU2P9YcPijumzi11CwR0ymDacdyQeHjGvDj19mklBqrL1C1VhRQWGjqwEZNmzS8FQW6Y2Dlhf2XHVeOfj89eqhHP8jG/u+u4eMOfHyvF/jsbF++1Zrzsgke79Sn41PNGxfs2HVmiVI01hg4sAH7yH5O6dX59kEIpz191pRjQaMQ/Jzy9kxcpyXWkk52dzTuWCNs8OBFIBBKB5R0BZar/vNda8f3bphb+HDywEd+7bWqp5DlxVrsS9/aNh8cHrpgQ+28yomQeXf7IrELQx900uSiDiF7viZesObQEcJ9w85SuyfrDf5sY0+c2S4rTwVusUrRmbR7lTmsduaDZjIsfnlVyk1vJWt71duOGFPVdsQNFD5T/vHr87Dhky1WKhn79xNmhaALpQmeezkYrWUsPEcyG/PZaz7V1wRpSSon+4f4ZRUi4buKcOHiLkbHu8EElXUQ+dW1SMD+yXnlgI351b3sa2Js2HBZv2HB4bHvuQ6WZiBzqSx+ZVaqqbbvqSvHTu56Ml641NDYeOagUOXFNhVWYM1669sqluhmt/uDNR5b9GifcNKXknCJrOee0bGksBIK+2m50ef9i5PoTgUQgEehLCOA26bofumpCSed920bDiwVXU6nX/fmxUg3zB7uPi388PqekSF87YXapAHjsDmMKD0lhlhb5jkvHF47DwZ+/7omuybpukYmUqOkW8Jv7ZsShW64SB/z18XjhakMLcb7qj48uJOu5zWb8aPfVYq8LH419NxgeqwxuxEf+NjHOffkaxQY/YtCA2HrVwcV8THNH2sfcMLnkPXccrWQtH3r1lQfEkddNLtXDmLCZob+8/Zj4v7ueLJKH1Km1hw0stYu9vt/F44t2Ww9krXjLFY+2a8PyoAkAGgroNy1XlOChTKmmIJ/6x6RS/ez1Gw4reeTyRw++cmIxXdSNPKxDly/9fg/YbGTcPXVuKRwBYJ3ESFF7rj00nnv2gyVCPEcikAgkAonAio2A1F39JJjAP7D5KrHnWkOLMinNWSExvKAxlmwhLWPVJ9lwxOA49+WrFw5SqEu/Cn5vSq/mWZTabtUGf+8mI+K9m44sDTjunDqv+GOp6d/eZWwcevXE2Hn1ocUMrhY2tX92W1celcnY7T/6t4mlxd5FD82MM+6cVrpd6cCF6Nqlj4mlsf2SkrXypre/ad3Y/JwHi9ZLqDBWHzqwNA5QhOU9f3mqtSayPmb7VWNBKd0QpXXlEf98ovTE7oqs1TkmVBx5/ROl5rFCK++7/PGFZG0NgwZE0Zp/sNu4eM16w2LLcx4sZVdp9SwRV+6zdmmP2Vd7g6/YX5vcXSKQCCQCyx4ByuR7NxkZX9pudBxdKaQn7rTqImT9zwlz4jf3PVkUTeV76XOvuOCReMfGI4pS+vv7Z8Zr11u5NLTSqvkZyVrkGtJ9+0bDSy9ozTpeuc6wOP2OaYHEP/b3SbHDuCGFrM9/cEb89uVrlKpGFz08q+Qd63D10a1GlT64ej5PefcG8Rl+4kajmAcOuWpied0gkQweEKWMKM1aFy+N7lVUozXzm+umpUWfMqCagmz8ywdKdJ3OP6SRWybPKQ1BSDJvu2T8Ipq1ebXFvHm/dYIy/6LfPRxzFjQLWU+cPT9+cPu0eNtGI4o2TLPWjOP+J+cV7R1ob9loRPzPXycsJGvCySkvGhdrrDygCAevXndYbHr2A4v4rK/Zd+2orRTL/iOTV0wEEoFEIBFY1gi8daPh8Z1dxsZxN06Jr/9rSrE0f3vnVWP3PzxSrLhM3n99dHbhKzynFS1rMDfrd140NkYOGhDvvGx8UWj15DjupsX4rN93+YSixrOpI2ia4c1PzC2dtzb71YOFPC/aa81FyHrkSo04dddxMfSMe2OvdYeVBS0JWWtLyY/MzL7jakNivw2Gx4f+NrF0ytpvw2Gl7zWJ4/qJcxaS9RsvfqyQO7844lU17IJXrVlKlXZF1oSJq/ZZOz7x94nxs7ueLGS9zZjBceLNU0rN78dnzS9kTZvWoIOZ29oE3GkUUpvBYaNJyLsuezxevObQOP6FqyZZL+tvRV4vEUgEEoE+hIDKnue/co24e/q8wim4c/6CiO/tNjb+cP/M0tf91N3GxQevnBDbjFmpBJuprX/P9Hmlnr6YJ67Yr940JV6x9sqFj7hXu9Ssx89aUGp503aHtQVKCdiaMGtBnLLr2DjjjmklBwzrH3Pj5IWaNSc6df7o69s78UiVcl53NWupWjbBrKyG8HkPzCiSCc391N3GFhs/IM76z/T2XtF7r1VM0/ze6hBr23nZozNL5x/+aiRaD2bwWrP2mqYfu605tPS5RrSf33Z0idLbavTguPyxWYWsD99Gx66VS3DA5qMGl65b/OM1WT82qz1oQHCA0HstAVOz7kPfmlxKIpAIJALLGAExXnihHgLIKHwvXH1IfGiLVQq3/f7+J0sQs4BswdL1+OYtU0pk+Nd3HhsbjhhUiP4rN02Oix+a2TlZM2+vNay9UQa1XJ71Px6fXU589borl9Slh2bML85vDT40uHhkxvzSUF4nLZrrw0/Oj2nzFhQtWL7YXx6dVXKxdcG67JGZxXOM0DXG8LrB3y2YTE60a/32/hlF0jDY8XXy4Qv+z9R5JYKO9PH8sUOK810Nbk0/hgxolJ7bItlbG4DsvPqQ0nmLr9oQrf26DQTNPVmuxRKgocjjsxbEzPkLSvQ6839JXZu9oPi6NeZggpcbJ3XrtslzyjXlVTv++asOLq1CvT9l7oL49+S5xVWgVWidFL+MPzd5uUQgEUgEEoFliACFUkR3PfCL4OMn5zWLi3bggEZp7zx8UHvzp1V0g6rGvdPmlYIpqw0dGJuNHhwTZ80vpbzxR1Yw6+ImMnEjaylrmS+9DD/pealEIBFIBBKBpyGQZN3Fh0Kq2YvWGFq06us6KX6Sn6VEIBFIBBKBRGBZIdC44OLL2nOZciyKQCNiQMl0i1IAJkcikAgkAolAIvDfQqBx6aWXJhP9t9DP6yYCiUAikAgkAt1AoFOynjhxYsyb1x7YNWDAgBg5cmQMHTo0Jk+eHLNnL1oPe+WVVy7HOH6VVVYpv0+fPj3mzp0bY8aMiWnTpsWMGe0lPo0RI0bE8OHDF1nahAkTYsiQIeU6huOdVw/XMHc9pk6dGvPnz49Ro0YtvLY1tw7r9b5hzdZk/pVWWqm8NnPmzHKdsWPHlr/rOUePHh0Nids5EoFEIBFIBBKBPoJAp2R9yimnxEMPPVSWiESf97znxe677x5//vOf4+abb15k6TvssEMh33vuuSfe+ta3BrJz3P333x8HHHBA/PGPf4y//vWvC8/ZZJNN4g1veMNCIn3sscfizDPPDIT84Q9/uBx39dVXx+9///uF56y55prx6le/OpyLxM8777yyvgMPPLDM8/jjj8c3v/nNRdZlzdZDaDCfNbzuda+Lrbfeuhx3zTXXxJVXXhnvfe97y5p//etfF8J+29veVgSTHIlAIpAIJAKJQF9BoFOy/uAHPxi77LJL0UKfeOKJ+Oc//1mID+nRRGtt1CY23njjuPHGGwuBfv7znw/k/aMf/aiQ+je+8Y343ve+V+bYcMMNy54R+Utf+tLYf//9y9+/+93v4rLLLosbbrghfvKTn8Taa68d5557brlmTawIf7311oujjz66XOvss88u/3/xi18s10Oyf/jDH8o1CQ0vfvGLi4Cx6667xqRJk+LUU0+N6667Lvbee+94y1veUsjYen/wgx8Uwn/ta18bxx9/fNDwzdlR8+8rNyvXkQgkAolAItA/EeiSrL/2ta8V0nrkkUfi61//ejz/+c+Pu+66K97xjncUDbd1nHbaaXHLLbfEOuusEx/72MeKptxK1kh3t912K6dcfvnl8cMf/jAOP/zw2GqrreIrX/lKPOc5z4lLL7009tprr3j9619fyHrBggXxxje+sZyD/C+55JI466yzCinfdtttMWXKlFh33XXjAx/4wMKlIHHzf/KTn4wNNtigvE7Dp3Wvv/76MWvWrHjPe94Ta621Vpx//vmFsGnVhx12WJxxxhlJ1v3zO5C7TgQSgUSgzyPQJVm/7GUvKybw8ePHF6J817veVUzHd955Z3nd4JNmNr7++uuL5otkDz744KLFdkXWzN6HHnpoHHLIIYU0TzzxxEKu5ka03//+98s8N910U7zgBS8o10HSz33uc8txtGHkPm7cuDj99NPjpz/9aZdk3Ww2i3n72muvLUIG0mf23mabbeKCCy6IW2+9teyFdcB6U7Pu85/XXGAikAgkAv0SgS7J+j//+U8BZNiwYbHnnnsW8zENmra96qqrlvf8vtNOOxXT9mabbVb8ySeddFK8+c1v7hZZC/qikTNFCyBzDZq218xTB3ohascIEPv5z38e++yzT9H0CRC04he+8IVlPR01a0FoX/7yl4tJnJ+cYMDMbn0XX3xxsRpstNFGhfBp3YSHNIP3y+9BbjoRSAQSgT6NwDOawVtXf9RRR3VpBkfWfMVM1/zE22677UKfdasZnBBwxBFHFM2aBs4cPXDgwHKZwYMHl/n932oG9x4t+Yorrijk630DGb/kJS+Jz372s52SNWFg3333XRgwZs4tt9wyjjzyyDIXshZ0Rpu/6KKLYscdd0yy7tMf11xcIpAIJAL9E4ElJuvtt9+++IrrQcu+8MILi2aNrP/yl78UMmwlaxo407Mh0pzJnHaLJJ3HrG0wVzNFI03BbbXP2nu0ducKJnMdQzAZbfq3v/1tSQnrqFnTmAWn0cANJn1R5scdd1zcfvvthazf//73F9+1tWyxxRZJ1v3ze5C7TgQSgUSgTyPQKVkfe+yxJVBMOlXrYAYXpd06RFwzTwvo2m677cpbNN3VVlstPv7xj8c555wTf/rTnxaewgwtiIyWyxe+3377LSRrPuRf/epXJRjMD/N7PUSUuz6T9x577FFeRuwi0EWvEw5ox/znyJlJ+4QTTijr4KeuCf/kk08u6yRAyM2mWZvnZz/7WdHeDzrooKftu0/fwVxcIpAIJAKJwAqPQKdkLepbqlVtnq5ReOCBB4pm2zpEUw8aNKgQXF24RBCZoiPmePTRRwsp1mP11VcvBMpULqIbedcBa3PmzIl77723mLnN1ZoiVr8n57q1QAr/tvnM6zrWV8/Z+l59fdq49dLE5WA7z5C37W9af8d9r/CfgtxgIpAIJAKJQJ9GIMuN9unbk4tLBBKBRCARSAQiGpdddtnJCUQikAgkAolAIpAI9F0EGs1msz0UO0cikAgkAolAIpAI9EkEuupYMSIiahJfEBGzImJuD3cwKCL86ADSmw5f1mpN7R1Glnyo5NJa9HuOfh5LOI1uIos67Rc/gfXqHAK/nuwdbvLUWtdpTnt5qjvKomsQFdhxXwOqc9wD3VKmLOG+8/BEIBFIBFZgBJq6Ps1vf1Y3OnBM0/PTc3N2RMOzvBrlHM/1mRGNih+bulQNimgs5hnbXCWiMTWiKMo4yXO+Hq4/O6LpuT+s4l2vLeiKrI/UcEsr54pkb4yIv0XEEz24W5tFhO4ZF/WSJACjZukferAGp7wmIl4mC6w6/+FqTXcvwXyHt9WCOWEJjt8oIoSu/yQiCAdLOuS77RIRp7acuFZEvCgizq3uT+uchKx3Vse3Cgeq2MDu0og4qS3r7T1LupA8PhFIBBKBFROBJl54d0RM1q6ijSf+GtGontdNHPnyiJD/e2v1LMchz4+I/6kUowsi4i9tlbHVuH5HRKwZEV+PaODNDqOpScbnIhoHRTTlQGuSsXnLQb9ou94Vbdd6S0TsrmK2Ip5tz/U7uyLraypSor1h/p2kQbdN+vMe3CxJ0a+KiO9ExKM9OL8+RUFyrbVe28M5PhUR67WR34XV+UBT+sxN6u54ZRtRPpWH9sxn7RgRB7UJOR9djCa8uFnghnxb10hoIQTc0Im27gP0vxHx1g7vkfY2bvsg3VGtgyCWIxFIBBKBfo5AcwdNGBXArKyYOO9/Ixr3tgNTyBUZe94i44sjQuvJU6pzWFvHRcQZbfz2wUohpeQ69hURjQlPAdxcrVKWXhPRGBnRXKd6VuM27+1dzeH8Y9sUvcsiwnsUs28sjqxJE7UqL1HZxKe1Mf37q8WdV02G8EgmTLNMxN+u1PrXVxIDacVCkDWi3aIyC9s0Tc98TLcqo/yr2vSWEfEG5ccj4pE2E8TX2oj29Dbp5aVt1/h4RDzW1knz1SqeRsQDbcd9KyKc45r2xJwBzFaTNbJmGbAHg4nhqojYuZqL5umm/aZ6/wsR8Xi1Bjfylra5j2qzOHypInkmDBIQScr/zCOuYdzTZk34VUSs30LWcsTae4BGkLj0ANVM25ppy+MrYYgkVY/OyNp9oK3/X0XirBZqw1oDkiaREWr+ERFvb/vAXNkuKRbsCBowYGKRFK/4uv26do5EIBFIBPoZAk2aLa2ZUuR5TTH6YUTjpoqs8c3B1TP/FZWF8sm2Z+YhEY1REU28xdqKUHECTkPwf27nlgaSr0YTd3hGr91O1q2j6Rofqggb97GGmtfznHL25e6QNVJD1k5GSLRjJPimNtbXRYMqTyJAHtpknViZ0J1DMmB+psmRTg4kIVQaLlMBAv9BRFxfae6I+9fVZm2cNg+849rIbfvq/C+2SyzBfE36scFPVuccVpE64YE5oVUL7kjWhAaChfXQSJExKwDi+m5l8uAOcAMJDPZ6VyW0HFARnvUzUTAtf66SuNycbSPCzUbatWbtZiJNxMpSgcz5KsxxRCVsMK/4e3FkjWDt9+uV4GJYBeXJAAAgAElEQVSfoyPivkqac71PV+t0owkYfNhesx/CjfV5HVGf0zbf9H72Dc3tJgKJQCJAc6YVU5pwCa6hBB7VQtY4goa8RUSTksQ0zeR9TERMqriNxfLYiMbEiKbzP1H5uF+1qO+6SbGjFO6/KFk3WXzxiOcxxXONFqXz6MoV/anFkTX1nobqQU9a+HelQSM12hkSQ16OWbtNs/5KRaY0SNq0IS2MNm2DNFpkb4M2Q1r4fguJXNdGmG+utMxfVuZa5AlApIfUaYz7VeBaA4EBIdEq+ROYqUlC+1R+XaRWD2SNzOu1IU3gEDashVZt7cwXH6mIlb8YqbsOzZ7fnmbbGVlbD41/07Y9HtomQd1WSVc1WbshNPXnteHwmWo//rbG11Xa8tvaBIOnen62uw86msFrsnZzYYp0CQZMM65dm8HhxAzvWs9twfnBtuvBGtkTjJY0yC6/4olAIpAIrGAINPEIzddz/tvtQV5GszOypkTiNvFTFCVkf0CbH/rhiOb7Koul5/ZuEQ08UI0m67Pn/Wc6kDVl95B2H7g5ynXNScFC/t67anFkvVeLGZwNHeE6iWZGA+SAp+ojH2Zu2i9tGrkhZCb071XaKtIhjdCCBUcJuKJZI2vkikgJA6QcTnvnev3qylxNm0fUfoBBQ7cW5mm+WOSjDirJhyBg7QBwvVayZhFwMwoabVo1/y8CFwSH7A3rcBNYBWjzzMwEBsICoaArsiZYuNl/r/ZPw2ZNqMma9szUQbsmCNHGkTtiZ5GoBRP7r8fiyBrWiJrPxTrtm4WiO2QNN/eQ0JEjEUgEEoF+jECT9ZdlGDF/UeR1C8F2RtbctriFmxaPcW8iZVZonEhL/2q7W7fx40WBbbLAfrYDWf+wynL6WETjyYgmEzlSZ6LHcxdGNEqkW2eDltnqs3YM0y3/KrOrxTA1M70yIXcka35XkckIjj+g9qvSLvmCmWGRWE3WbPM0w49ViwEW6QXx2TTtD1GTZj5f+bNpxTRu5Ntdsm71WbsUskb+5mcORtq0a5HriyNrhApQkYNupj2dXwkObpgbSTJrJWuY0XzdYCTL598dsrY+gQuGdfLNu5HmeEklsPBH84X8sbIqIHJWhs40a8IWM4ugt0uqn378Rc2tJwKJQP9FoEkzpkhS1rRvrK2/ntPqZFOi8Jhnvucsy6vYKsdy2wogo1hSwlhgPfMFYlNImbTx1JCIRpVJ1SlZ/6iKnxKkJm3Mc9u5OIm7lGI1qSuydgGsXqc51fcSUSJtGtyulaaIrPmzES8NkckVgfL7IlNaJHMvyQOhMNkid3NbCE0QOdNEad20UwAhdto7fzdNHWDmpPVy6guS8mNziNC8gsVE0dGwAcu/XQ/CAY2dsNE6WAyQLbM4shbM5uaRtJinESyHP9M84YHJ39+EGb5e1yT9ECpYAuRVS7niLzcP0/aXKzL3t6A4mjDfvg+DNCrnu0FM1+39PtsHHKxNkJhhTmZ8lgXrdJO9R7rzHgzN+9tKEGD1OL7y59u/D4Dj3SMmfjgRNgRM5EgEEoFEoJ8h0KS0sG7WwzOeIsSti4QpnriHYuTZS/M+L6KJjD1DuYEpPbjG89Q5LMQstObdqt0s3jAngy7r6sERDc/majQ9o38R0bg2opjKzYUr64GzvtQVWXOCI57OCpAgNwRsMXzWSBVB+Z3/l0btPTZ3WiATNsJFqNpoIWa/+x8JIxwkYpF3Vj+i6WxSsBfJBcGZUz6a86zbMez7CE96GSJ2TRIS7dgPCagezOUS11ujrVvfMzehgpZuIGFmbxo007f5L69C6QkJSNx8NGn7sX4maTfU3143H98+P7+Ib4INnzHpjUme9k3wYEUg8MCvikIsayDUiLavB4HHfp0jopzgwErBwlHv1QeGBu41UiPcWlO3WEQIPPZgbYi6Nyl1/ezLndtNBBKBFQeBpue49Kh6eL56XgvsOj6i8VBEE6ch63siGrW7FPGKx/IMvzmiwUrqNbwxNqJR1QMpQWmbRzS4hL2Ph54b0ahTiL2GF+5v175LARaWaLxaD5x1a1dkvSzvBVNy7bNeltddkmsxfZCIEBzfcI5EIBFIBBKBFRaBEnD2p4hGHZDcw502WWvXjGiwqvZq9AWyZv6lMfbl9CH+CxosUzmfb45EIBFIBBKBFRaBok3PWDTYrCebbbI6D4xo9Drrpi+QdU8QyHMSgUQgEUgEEoF+g0CSdb+51bnRRCARSAQSgeUVga7IWkCVgClDQJfIbQFWPel4JfhLsJXzRc71dKhoJrCtJ81EWq8p0Ms6OiuxKX+O+UNg2OJG3YUFHp1FUpuDf7uztbZ0cCmBZj0ZAtEe6mEnr55cL89JBBKBRCARWCYIlI5bMoFkIwlEu1iRlsXlWdfkLH1KBJzwcSlbSzqWViMP0XHC4utc7CVdh+NFR59ZnQiIjkNussCC1sIknV1HhLiCJQhfhHjHIeJaOpUSpR2HiHW506qh1SlZS7oXaXJyuXsiPC3ptfL4RCARSAQSgWWCQKl9IqK87m0hzVYK2G+6UxSFZqzIBo3QBMLKacoaRRjSi6QdcaTTMuVWqw5GC5YaJMVKPpqa114XWU0AEI4udUvovE4n0pBoi37M71xzCKWXFiaHG1mrr+o889KEEaZUKUSs2Efd2tM5HclMHre0NDnSiLkeru18wCBxJT/tUySgNZifsEBjtm81veXS2YfgM8EDNHbrsn/vsUzYixQ0qVNS0OxZAw05zxqZqHZjHzR9RWFYNOwBjoLZpAWYSznUep/WLI9bqlZPemQvk49cXiQRSAQSgURgSREoWrUS0VJ21eCQB46DPtcdsna1uuuWkp6it5EVclakRJS07k7IUQ6ZY5GtAipIrG7QTaOV9qToOc1UTrXcM0U8EBtSRtDKliI0BM+MrHypBHHFO9RJVUSF1lrnCMtRU6QECSsdKq9YHjINvKOp22vedw5SZS3wOwEA8dqTuaVpSSlTyY0gopEH4nRNmrQcOuVM5dbJO3eO34XpK4Ki3CnyRriKx9gfd4JiJfajIpmKN2quK4hCABDarxANUpf3Bz/uB2lthBnnI3ca+c+qEqipWS/pdyGPTwQSgUSgzyLQpBxTbIdHNN4R0VQoi3J2/OLI+tSKJBCvaiv8uLRWhIEE960KfNQVuZQCVVoUafPFOgdBI1Ikp1qZoiEqgdGuJYv7XfK5amEEAVKEhHSEhehvr8ifhorcEbU6rObRdQuJarqB7JjtFU9XwYzWTOtU5aseNGeVxFSeMfwOCNKLPSrVyfzNTI2srcd+ED+TN4KkOfsfASs1p/AITVzxFOVJ1RAnjCBW5yFxa7R3goDfvUazVtJUuprSofaA3JE0YYAAUAsG8KnX6PpSx2jVGnooypIjEUgEEoFEYIVAoGdkjUxok7Q6fZ9pw0pfMtPWGh0yZMJdXCMPJmc/tPC6FzNSRFzIt7WRB4JTFYYGSrN2HKlCd6i6kQdyZDpGmEhOsBXB4pkaedBozaFSWW2mZwnQzALpam5BADE/Db2z2uCImLbvvFay1pRDmToaOvO5vHF7IbQgZuStpJyydUjYNZUHZaHgj1BTlqlDKVeWCXujlcOGJk1QUdKOQOT1JOsV4ouZm0gEEoFEoBWBnpF1x0Yeyq0JnBLcVLXxKqSHeLrTdYvmq3Ul4vVDC2UKbiVr87su37Af9VmZ3fmaa7Jmz6eN0koJD9pq8jk/E1kfXvmgEaZRtzJD1DVZ1wFmzOVLg6zVOWe9sGb1wAk/an93JGskz0/OzG/PBCRWBjXAET0S1y6NWdz/isWnZp3f8kQgEUgEVigEmhQ4SioFzv84BG8c2l2fNThoxUiMGZbJ+BuVmZsZvCNZe9/F1P1GOny2tHNaMh810tbBS7swZI0Y+Yhp6o5zPHO6Otq0VqZh/ZdplszctG/+Xhq+iGu+78WRNb8zPzETO63d4GtHjM4XPGY+zTjUyQbS0iDrumEJd4DgNX5uZm1mdqZ7gWR+R9ZM7twDmqhop0nTtlfWB6SNnGnlzPBcEUnWK9SXNDeTCCQCiQAEmgKKKZXiqXDE6yIaN3RF1hprINKOOcR8qUhPBLRGH1ifNiqIjBn5FRXxaRGGhGiTzLiaVjDdHllpihpXMO3WBdORMtM2oiYECNIS/c1XjZiQnjlp0sznfOfWQiNG8vzM5uMnP63yadNGkbuhqQet3RpEXRsEAgIAgrYn5nRtK2nprAfM1szsCJS2TwCxHvtkArdvvnth9tbAv67TF0Il0PBNy5FDzuZgvta31Dpp9fzTrmedhAYpbrR/WJ1b4eg+0KRZFpxPKJFG53+++wwwy293IpAIJAIrHALN2tV7VURDMHQx0f63x/LQyOO/jVFePxFIBBKBRKAfI9AXyFrvTv2vadc5EoFEIBFIBBKBRKADAn2BrKUsybGW55wjEUgEEoFEIBFIBPogWedNSQQSgUQgEUgEEoHFINAXNOu8QYlAIpAIJAKJQCKwEIFSI7wajVJWuiuyFpUsz9lBdVEUEdw9aaAtZUkhEulXIp17OqxHKHtPm1+I6BYRLmfNEJUtwluRF6Z4tbq7M3T/UrDF/yLdRaXfVJUltc86Naw7c+UxiUAikAgkAolACwJN2U1iuVSuxJvqityxuDxr6UuIWilOJKmClpSiJR1Lq+uWVCeFUeRY92SosW0O+dQGIULu+DEV0d7QzUkVWlfUxP8wUXEMVqqVSf+S0pYjEUgEEoFEIBFYQgSa0pLVIFEOW661FGGK5Le7WxSlbuShZKiCJvKsVR+jbesqpcqY2teqimmOQetU+1t+sWv4X3FyOcXKcNJuFQVxvvKecp7lNyuEIvfYMXKWFQZRJ1w9b/nKannL31Yjm3ZLkFDERA62RHJV1lxPCVT1uFvzxJG1UqHysA3nyutWAU0etlrjOp1Ya910Qx616yigYigRSiNH1gqtuLZiJvasEYfiKvLCcyQCiUAikAgkAkuIwNPKjeI7tTu+1B2y1gVEEQ+qOeLUllLkNgL7cdVpSgETJmUEq/oWsnYRRU900KrJTx1spUaRo6GTlipnam5L/FZUxd+6VyFvxKiJhgItKqL5IXGY0xqQpUYhOlc5ByGfUwkFCocg0Hp0JGuatZaf6oqb7/dVpyuat70y+SNeBVMUJIEVMnatmqyVXUXWhAXtNF9TFUxZwhuUhycCiUAikAgkAj2rDc6/rEIWUkS6yJR/VllPqVYITsMKWizmZ05G0MjcuTRXZIxgadSIXd1TcyG8LatKXMppKqvJfEwooLWfX5GfYzTCUB2Mds0Mrl2m6i6qhO1ZncMcTStHlsqXMiNoqGHuVrLmA6jzubW01KyEqb8mayTMP0BAUamM1s2nTZPXglN1NYTdmRmchUEjENXNciQCiUAikAgkAkuIQM/IWn1sjSNoxf5XixpxIkl/a89IC9XNqjuNPBAjLZTJnA1eOU6+3tZGHrRpxygp6vo07trcXDfyQLj6Z2sEQnOmUV/XjUYeNGsaP5O1wRSPhPnAa7I2r5Km9qw2uL9ZCmjhTOaabWi1mWS9hB/BPDwRSAQSgUTgmRB4GlkL9maJPqI7ZvB69rrrFrMx8y8tm09Y8FlHsmYu579GxoiNL5gpmZZKc2VCt4iarHWl+nfVKGRcpe3qEY2MHUO7R9ZqZTv2LVUPbJq96OvuknWrz7reF82/K7JWH1zzEQSuLSY/uz10JGuYsAKkZv1Mn8V8PxFIBBKBRGAxCDT11BC7JUYKv3Lpnt4VWfPV8kN3TLViBq7TpwSG6RaFePl4mbxpoptWBEuDvb6SCmjKTNnmZEZnxjY307ZGFTp3IWddqbSQJBiQJqSOCT7jmxbc5njmaVHdtF/pXPaA6EVz6wNNE5amJYqONl0PjS+06TyrA0oC5uxJ0w0BbJpq1D52+9Xxyj5o8NYlAO2dlUmf9k3o0CDk/io1jF8+RyKQCCQCiUAi0AMEmviQZVm8FIv0MRGNR7sia0Fd/MBM3R2Hnsv8yjdWHaBonAhVNygR2SK4EScNlMbKbC4cnUmb5okI/c7XLdpaeLpAL3PqiIX4ED7pggaPqEdW10OqCNy6EbauW+bgJ2fSdk1aNnN63eO6Xj9zPQ2db7t18EEzteuohYjlTBtyskW8M//XUd7S0LSwtGdrsA/R4q5vXqb9v/fg7uQpiUAikAgkAolAlwj0hQpm2XUrP6CJQCKQCCQCicBiEOgLZL1XVQlM6lOORCARSAQSgUQgEeiAQF8g67wpiUAikAgkAolAItDHNeu8QYlAIpAIJAKJQCLQA7IWhSZYyhC1LYRcMZPS/WMJh8hvAVkCr6Rz9XQoVGIukd89GYqaqEqmxKlhvsOqnO9rejJhnpMIJAKJQCKQCCxdBJqCtGVJSVMW0/XRiMb9i8uzlnqF3KRHibxWJlRlsSUdfamRR51nLVJcbrRobkVZciQCiUAikAgkAv9lBEprTKnH6ov8X1tWFv7U5+KU7hZFqRt5KEqidCgCp2krdKLUqFQrpUR1ntLSS6qWYiJSqaRFKcWpkYfUKBq7lDBE6Xzz6WBVVypTeMQxzleylGavUhptX+6ZkqQqqGlHKWUMAbumc5QYtSfpYVppWk896trg8rm/VJVP9Zprm0vamVxp6WOGnG1FWaSN2aM0MUKL36WdafwhXU16Gi1drrkgOeleJCPrly+nvrn3pLMpDqOAjOppUsyknamg9niVVy79S6GXHIlAIpAIJAL9DoGnVTBTt0N3yCO7Q9a6aSFIJIOgnleV7USUcqSVD1UkhCkZQX20Iu6PVUTqPOT8y0qtR1rITF4z8lekRD41AlbW8+tVkRLzIjPXU3NcMw+1wNUgR/oEAUS+Q1V6VHEWtcAVKlFNTJcuxN9K1s6TM21exE/AQLYIk2CAdOWXS0Q3j1xvAoDSpgrFKKxCyCCsMOkfV1VWsz/10gklH6mEF/XJkTchxI91H1kVh7EGFWpITIgaDnCSK35iNVe/+5jmhhOBRCAR6N8I9Kw2OA1TERFaKhJRhYwWTNvUBEPTDMRLy+ST1g2LFECbVYYU+SgRqpY3wtWZSuET/m+aOpJURk2TbQSNHBE9IYBWrBgKjZRfWQEWZnjz7V+ROa0WOXr/DxXhq6rGrK1SGkK0playRtAInlXAuggNBAGSi3XVLTKRckeyvqCqC45kCSfMEz+r5tHnW7EUmjoBSHMQmFkzoUVhFf4HWjmyd22meATOB0/IQfiEor9VfvT+/ZnN3ScCiUAi0O8Q6BlZMxUjXZ23ECczsY5SdSMPryNVr3enkQd/Nw2WBqz0aGeNPASQ6XTFdOx/2ioidf26kYdGH8qSao2J+BB2d2uDj6o0fFq6gDftOJG7UqLI3yCIKGvakawJBKqVaQNKSNFzW+lTAsJJ1XzKryJx62dS977jmfDVF9cIBUkjcv+rk04QYWqnfcP33krj7ncf09xwIpAIJAL9G4GnkTVlFFd8sTtm8Bo7dbGVGj2jIk9mambezhp5ICN1uGnOtOidK4JGcJpjIOUPddJ1S1crpmomZhonLd7xtPWarNXifltlrkZ0Zy4BWdcBZtaDfJm3kT2Cphm7NuFDV7CarJVI1TjEWvixP18RK5N7d8harXIYsSy47glV3XJm8iTr/v3NzN0nAolAItCCQAkww7VaSnOTvqiy4H6vK7LWW1p9cITbOn5aaaFMwhpcMIXXZI1UmXcFa9E0BYXx8yJoWqZgMlqoAC/n1MT5iUp7Zl5mBmZKp40yUQv+8r/gLn5dYew/rAiW1q/Zh2NoulKy9qgIkFBBi+c/rgdidM3Tqxdcyx4RrrmZwYHEdH5OVaPc/+tW1gVBbPbHny3QTBqb9zUCObnyj2tkgvxp6ebn46c1WyNTOWHEOq2buZ/ZXJMQbTdp1gQbezVvjkQgEUgEEoF+h0ATZ7D4amqlq+THIxoPdUXW2kYiRj7rjoOWqY0lQmd+1iBDIwu/I2p+aX5X5mu5zSKc9ZHmA6fJMp/7na+bH1w3LYFqjhekpisXH64WnEzCD1Zk5no0Uz5063YMc7NANQFfgsbMwTTPN0x7R7D14DcWhV2buwWXIV9BaMjU3IQKpG3fTPtIn4bvWFHaTO9I1u8EGUFxhBH7oZ0jcURsXXzySNiPeQkvCJzVwBrM47y3tq37tCq4DX7m7NhspN99XHPDiUAikAgkAk8h0BfKja5ojTwIDkiZwIDoCT78770pCJOf2UQgEUgEEoF+jACy5of9bw6mX/5jKUwryqBt641Ny/5jpeGzJORIBBKBRCARSASWGAFkzVybIxFIBBKBvofAO+Oz8WTcGb8pwTY5EoF+i0BfMIP3W/Bz44lAIvAMCBwVX4i58bM4OuM48rPSvxHojKwFSYnG5nuthyIiFy4GKsFcfLITujhGFLjAL3nT9RAR/rKWv0V0qx7W0yGCTuUyAWeC0no7RKFL47KuHIlAIvDfQOCTMTxOLPUeciQCzyYCoq/xk2wfHNI66kwdmTxSeOvhHJ9N59RBweKTFORS6KurIUtJ+W2B2qpyyjiqh6BoQdaCjWVbCVYWnDy9M7KWV+xCLljX+1YkREEPx4vsNkR1+xvpqhgm3Ujes9fUBjf4aaU4SVuSn4z066FymJQp8xjKmh7bFu0tL7njHN63FvO5vohwP/Xwng2rbqY2txxpr9WjXmu9X+uzrtqP7O96zY61Fvt1LaA6tt53fV59vDn91Pvo+hblO4lAIpAIJAJ9CQGZQLJ/ZAoZ6m0oRKIQl+F95Kn/BQ5QkdLfAqMpiJ79Cmwd1UbcaoAgX4PiqXhXK0/hDDzoOOdK88W1Mp+8h3e8J735qmpdrmk9py3ODO4kuclqcNdkatK9qgYVX63Sl+QOI2s5xQqFKNmpIpihuAhJoSuylvJVSyA6jDgXKNLBFA1RgtO5KpUhcvOJrha0RdNXLIWwIPpaZbW1qprbUqsOqdZgj4QCqVISzIGvbCqJRX60muAkGKldrAkKuZB4lAJ17jcqSUsOtrQ0Upc8ckVhrNVrQFe0RWW2HIlAIpAIJALLBwJ4Tq0P3EaDVpKagnZTtXwFuHAPEsZ9qljiAPyiIqZgYoWupCt7Dy/qMaHGiHTgVsusmhy6aSFqP61Dpy0FvqQHS4+mfBIM1O5Q7fOIJSFr5KTwCQkE8flRy5uJG1nXJEbCsHgmbtqtUpuKqXSmWTOfq4hmAEywm7k0yPAebVWd7VdU5gbEDyC5yDbif0VEaNOuBQBFVZC+PGwlTv2N8BVy0UhDlTI50ohbow5kbR9uTk3myB3o8LE+JglFXWjVaplzFQBXSdZ/Ve/LnRYBniMRSAQSgURg+UCAouWHZRhnURIpbDVZf7viHwqkoltIndat37QfBI+kNWDCAVynyBaZU/DuaYEBr+A1xN9K1n5Xa0RFUOfhQRq1Nfib8njUkpA1+/wrK/Kl2ptchKZiJQhWJTBlRm1YERAL4vtmn0eSnZE1wnWsAQyaLr+AUms2Jp3rK1WBEtXHVPyiZfMLnFJp1bp20eRtCOF7XbMOGjdt3zl1bXESEg2e38ENIfWQooCqd7e1I1zdv0hYAEPWBBVmCpq3sqFKpdLqYeJ317JXUlCORCARSAQSgeULAc94HEXppITVZvDOyJpVl3WV4loXzMJllEC8gQdYpPGJYln1oCGr/ImTWsmaAICbKJYqWhraKxMcNJXSw+JHS0LWWk6SQJCTlpYmoPq3kjWSZA5m06cV605Fa/XTGVkjSeYCAzGrJob4kDVTtwpmgsZIKoiX+dqG/Y10HYusAaYIiYpktGxVw1QG4/jnN6g1YpJQvT5NM5gwkDH/uUABALIE0N5rsrYWeyZB8UPwVbAc8L9bD9O//5niNRnJkQgkAolAIrD8IKArJHenAGmWU8Ws6tEZWeMKfIaMkTLXrBbQte+bIqds9akVX7QioYmUMqKtZE04qPtlsBYzozOHU3RZhCmUk5eUrNnsabV8zaQLF0HWVHWkyWesbSRTAFMxYlwcWbf6rOsNqdeNIJnTleM0J62dRs1HzLzdStaC3/S0RtAABJJN0opJMciXP9pN+FoVQMAqQILRwpKA4Fp+CBhM9kqNImgtOu2LFk6SUqeVBl6TtfWwGrhpSdbLz5czV5oIJAKJQI0AfhHchasoiK1D0DJuqBtZcZXSunEe8zfixjmUN9bVugEH1yvLc+3mrefsjKwpvuKsWJNp65RIwgPLr9dYlYtPtqvRMcCMhsvEzFzNJEx7Zv5mMhYkpvUlszBpwub4dJmml5SsESVi1W5SgBnSNU9nZM0fwKct5N5emDCYEtT01qpSZB8Cp2GbE1D8DjRt5E4qop2zGgBbLfOtK8nG/klA6nYTPNxEGvwBSdb5LU8EEoFEYIVAgOuUqxXX8BmzFmtn7OczlbZNIcUVNF7ZSshVrBJlU0ZRHdDMmosfcBbNmSsYn+FGZm6jK7JG8tyzhAbxUqy9uM0PBfgLiyNrkWx+aMf14Bum+fLd1hf3HomClEFjpc4jytoULkqbP8BCWkuKcqKLzBb23nEo08k/zrRNq+ULt3hNP7xHYECuzBb2QEigKZNKXI8fnK3fOnXZIhWJ1CYAMJMLGGPqEIBmkJaQOC2az5o0w9zOVC4/vO4YplkIoYHGbS/+F/Rmz0if5p0jEUgEEoFEYPlAgL/YTz3qZk7cmwKqKYCe87KeWGEpfvVAvDRrpmq8YHD9CmKu+RGv4Bs8VnONEt+ss/UQJY6/1AehEOI+BF8PGvaf+lMFM+ZzZE2CafVJLB8fqVxlIpAIJAKJwLJCgGbNStwaINaTa4tn2rjSjnty/sJzGpdffjnz9go/zj333PWvvfba3Xbeeee/7L333h0r1Kzw+88NJgKJQCKQCHQPgfPOO2+dnXfeefy4ceOYx3s8brrpppGTJk0auscee/S6UVXjkksuUWgkRyKQCCQCiUAikAj0UQQal156qQ/yW+kAACAASURBVGCrHIlAIpAIJAKJQCLQRxFIsu6jNyaXlQgkAolAIpAI1Ah0Staf+tSn4q676iYiEdtuu2184AMfiHvuuSdOO+20eOKJkvZVxgYbbBA777xz/O1vf4v7728vRjZo0KB4xSteEf/zP+qKRDz00ENx9NFHx6hRo+K441QSjbjwwgvjiiuuiIMOOijWW2+9uOCCC+L3v/99nHKK7LAciUAikAgkAolAIrBYsv7gBz9YCHillVaKJ598shDxnnvuGRtuuGGcf/75scUWW8TAge1NqEaPHl3I2THrrLNODBs2rJxz0UUXxSGHHBIveclL4vLLL48//OEPcc011xSSHjx4cPzud7+Lb33rW3HUUUfFrrvuGr/5zW/i7LPPjp/9TEpZjkQgEUgEEoFEIBF4RrL+3//930K8EydOjDPPPDO22WabQsY33XRTvPGNbywEbQwdOjT+85//FLKmTSPvSZMmxRe/+MU49NBDY/vtty+/08AvvfTSeNnLXhYHHnhgIWvaNK2a1o7Qk6zzg5kIJAKJQCKQCDwdgU7N4DTr1VZbrWjPs2fPLuSLoJH3z3/+8xg7dmw0Gu0p2tttt10h4p/+9KeFwGnjznn88cfjC1+QqhZx0kknxUc+8pG4/fbbi4b9zW9+s5D1+PHj44EHHiia9fTp0+NXv/pVatb5KU0EEoFEIBFIBDog0CVZ81Mj3jlz5sTdd99dTOC04CuvvDI23njjhWbwTTfdNEaOHBm//vWvY/XVV4+VV145Zs2aFTfccEPst99+sWDBgmL69vu8efPi5JNPLn7rf//734XUnUNzdz3aeZrB8zOaCCQCiUAikAgsikCXZP21r30thg8fXgiWFsxMTYv29/7771/8zvW48cYb49prr4199923aN205BNPPDEGDBhQtPHLLrusaOo0b5r0W97ylhg3blwh69e85jUl+Iwp3ZxJ1vkRTQQSgUQgEUgEuknWr371q2PIkCFFS77qqqtKJPdWW21VfNb80HWAGa2a9v33v/89nvvc58aIESNixowZRdPefPPNY9q0aUVrft7zdCGL4qeePHly7LTTToWs3/zmN5fAs09/+tOx5pprJlnnJzQRSAQSgUQgEeiuGfy+++4rhzabzYVBYEiYGXvqVG2r28dznvOc2GWXXYrmTWvmy6ZBI3RathQw/mqmc8MxiHn99dcvxyDr+fPnl9cefvjhJOv8iCYCiUAikAgkAt0h60QpEUgEEoFEIBFIBPoOAlnBrO/ci1xJIpAIJAKJQCLQKQKNW265JWuD54cjEeinCIwfP/5f/XTrue1EYLlCoNHklM6RCCQC/RKBv/zlL3v2y43nphOB5QyBJOvl7IblchOBpYlAo65utDQnzbkSgURgqSPQKVn/9re/jQkTJpSLybVWJ1xRlM7GHXfcUdK76tSs3q5Q048//vGPJY3rRS96UYwZM6a3U3br/L/+9a+xySablOv2dCgAAw/R7dLcciQCfR2BJOu+fodyfcsGgeYqbf2ldoloXNj59ZrrR8RaEY2/P/V+84CImBzROKfltddUx53e9bqbipS8NqLxm5bz9omIiyIaM9tfa0qf2iMi/hLR+I9XOiXr3XffPfzIs5ZOhbiVCFXBrOP48Y9/XN7/xCc+0WtMlSI94ogj4nWve125rjQvXb7UJH+2h8Iv8sGllPV0yDc/66yzSt75wQcf3NNp8rxEYJkhkGS9zKDOC/VpBJrvjojXRzT2e/oym8Mi4lB9qyIan6nI9PqI+G1EDGl7b1JE44SI5tciAuk/FBGbRDTe2QXxXxARoyIaL6rm2rTt+J9GxGsiGo9HNLeNCO0n/6SxZVsLjuMiGrd3StY77rhj6ZqlEMqDDz4Yp59+eumehcB11KI5KiuqiYf3HnnkkdK0w1hllVVKbrYqZqqdqWJGO5d7rbWm/53vXD/1UCBls802i3PPPTde8IIXlJePOeaYQtTvfe97i/aOBJ1LiHB9Frz6Oqqfmc+15YM7jlbuHGs26vNowHLFnV+/5hzlVb02c+bMsvbWOV1/7ty55X2FXxSFcZx1G/Zo/OhHPyqv1Xj06c9nLq7fI5Bk3e8/AglANK+MiK0j4oqIxmsXBaQ5ICKujogtIuLUiMYnIprv98iPaHwnorluRLytImi/axv5WBvdfCUizoxo3NxhvpdHBM12jYjGdhFNhH5URcq00iltPx+LCIGf57f9/6aIQGAXdknWNETVyZC1Bhuvfe1rC1GdcMIJpUmHCmcf+tCHSg9qBIv0NOY444wzCll5DwEiNV23dORCsG9605tKoRTaM23cecZ3vvOdhd266s3pj/3+97+/CA5f/epX45xzzikkqpiKrmCI+ctf/nJpELLlllvGO9/5zkKwhx9+eFmDymgsAgQK12FW/+xnP1uqrZnPsXvttVd8/OMfjw9/+MNFKEDISp6qXa4C23ve855ynFaeOpAh+k9+8pOlEMyxxx5b5jLe/va3x8c+9rEk6/zqL1cIJFkvV7crF/usINA8sM3kfFmb5vzNTshaxyqEOavdLI2s69HkG35XRAyLaHyu/dXm6hHxunYCbyDmltGk0dGgvxoRJ1dkTTNFxj+MiP0iGuOreWjzO0cEjf/4iMatXZL1y1/+8qKpPvroo4VE3/3ud5cSorpvMYcff/zxRdNGxv/6178KmZ166qmFsJHilClTYp999onvf//7heCQ9xprrBHqiPtbl653vOMdC327nZG1RWsUwg+s1jhtGMHr5mUdXlMBbeutty5lTGnTWnASHpAyy4DjmaSRPHKl8RIYfvCDHxSTNyImRBAokLVjaPTmRNpM/Lvttluolc4kz4pAGPjc5z4X//znP+MNb3hDqPZ2wAEHxM0335xk/ax8mXLSZwuBJOtnC9mcd/lCoLlJ52S9kJj5lDuS9f4RsXdEPNyuSSPa5svobhHBZ3xwROPuFnI/qK0J5biI+HZEXN5O1gvnv6IDWTsfUe/apoV/l5bdJVkfeeSRxbRLQ9VBizZN00VwNG7mbT5e5Oy9z3zmM4XYv/3tbxdtWO9qfmdEhtBpwFppms88fN3Ifo89+NA716xpsnvvvXfpxkVDRqxIn9AggEsTEEKEwUyt0cjaa6+9kKxXXXXVOP/88wupGvzSSFcA27333lvM469//euLlm/9yFqTEYRsIN/HHnusmL1ZGr7yla8UQeOVr3xlnHfeeUVAMI9BU1fzPM3gy9dXtL+vNsm6v38Ccv+VJtsDsnZmUwT0WyPi1ojG5S3kK/hsfkTjjGr+Ldu8xF+viHdOmxn9hIr82yO5o9mBrBeS+O4VYX/rGX3WTmHapmUyNSM2HbTuvPPOQtw05Zqs1QdHjhtttFF5f8899yxEr8XmM5E1U/aBBx5YruX8+roXX3xxIcpWsqZR03aZvX/zm/aAuppgCRi1Zs1/zlyvP7fuX7T3WqjYYost4vrrry8/iJ85uyNZu7a1b7PNNk8ja8IMFwDiZoF461vfWrTwJOv88i9PCCRZL093K9f67CGwJJp1k3l7SETjDxFNgVe0X2TPV01jnhjRfH5bANoLWsh6l8o8PjciBlWm9X0jGrctStbxRHXc/W0m+Wsimmu3a9xxepdkTWNlHqZ96mHNR4t4acZIGCkhP2TN/M20/Mtf/rL4f/mkkS+SQ4Y002ciawv++te/Hn/605/KXLR0GjWTt9Qxpml9sWnatPbPf/7zZV2IWctOa6NZu2ZN1iwAiB+x3nPPPUXgsG6+b93Adthhh9LaU/Cc1C1k/Y9//KN0FnvhC19Yrs8/bu8dNevDDjssfv7znxfhxTrMbc4k62fv65QzL30EkqyXPqY54/KIQEeybu5VBZxNq8i0xQzeXIOhNiJOq8zazNn80O+tAsSYW0VcSwliImf6FjA2KiIGtgenxdntPumFqVqVZh00bYWK+MalhFnHJa7VKVmfdNJJRUusI5+RGRIUfPXDH/6wRHUjM0FjyBhhM0MzO++3337Ft4zI+ai1zTR23XXXOO644wrpMhcjSR27ai3aMSK3b7311pDnzZzN/yy/m8n9G9/4Rul5rQ82YcF8TNJXXHFF6fjluLe97W2F5G+55ZZ46UtfWoQNpmqBZogZmVq3dTFpEyL41wkDTOSOcV1aNq1a3jXfOFP/ddddV4LRXFPAmmsxpxNM/I64CRBM7vzj1pcjEejrCCRZ9/U7lOtbNgg0Eeo+EY0fVeTMZH1iRAPZMlOLBt84onFe9ffothzrw9rTtoKpe3obYa9c+atFhX8rIrSnRASbRzROfWofzZUqf7ZjqtFE7GdFNKZHNGneO7RFob+6St+6NqIxe7mpYNZqBl82Ny+vkgis+AgkWa/49zh32BMEmgLHmLSf6gfdk2miaOzStGjOvRrLDVn/4he/KDnaNN0ciUAisHQQSLJeOjjmLCsaAqVi2aNtKVmCwXoxmkzfK0c0Hu3FJOXU5Yase7vRPD8RSASejkCSdX4qEoHlA4Ek6+XjPuUqE4FnBYEk62cF1pw0EVjqCCRZL3VIc8JEYPlBIMl6+blXudL+jUCvyFrBEFHal1wisrx9SL+SA93VkOok8rq3Q2EVUdmivUePHl1KgMp57mqI2ha9rWyqwiqahuRIBPo7AknW/f0TkPvvGQJNVcrU8BYt/tEqPUu6VXv6U8S8iDj2qehxLzWlfzlGbrYmIL9sKzV6eFsaWEsls/h+RGj9uG/Luhx7Yq/IWlcshCnlCUGr+KUimMpjXQ0pVnXVr56BFKVeuZrdSo1Km1IQRR636mOu39lQilTqmWYdmn8omJIjEejvCCRZ9/dPQO5/yRFoquf9qSqPWlnQN0fEl6rULXnUhhSvj0Y0rm3/s7lZRdTHVnXG5Wj7oelK1TLquuFKbkrvMpC7Fpk/6zVZKwLy4he/uJQNlV+MBDXw8PvVV19d8pXlJ+t3rdKXqmdKdSpsIk9bLrPj/C3aW96zuWjfcrcR+7rrrlvqiNfj5JNPLqVHFUORS20oYCLfW7UyhVzkijuf1n3QQQeVWuUKpyhyooiLRiA5EoH+jkCSdX//BOT+lxyB0sJST+ob23KsNfPQuOPnEY0HK2J+VXtd79YWmU1tMMe21RJHxLRurS+3faqndVM+9iEdzpH2pZ74aRGNO3pN1ohTYw9tLZUY1RCDyVlFMKVAkbSynAqcHHLIIaW5BkJF6IquSMU6+uijS9cqhKogyXe/+92iKd92222lQhjT+mWXXbawn/ZHPvKRUsnsVa+CSZS+14aKZchZMw5rqbV95VHNo8oYjVyTEtp5jkSgvyOQZN3fPwG5/54j0HxNZQK/JSI+q3BJRHNEVdzkDV3PW0qUnthuBldPvEnjVITlcxEN5UZp4oSB97VVRbu3re+1vta9S91Ckl/60pcKWa65JjN7FO1YxyuVzpCv3tiqiqmIpoLZxhtvXLRl59QNObSvpJHTjpG1Bh1KePJB+/2UU04pVcSUDTVayVqbTGtQNU2nrPe9733lXFq869PaVRXTFSzJuucfyzxzxUQgyXrFvK+5q2WBQHObiNgxInZq76TVuCWiSYN8yVMtMztbR5Mm/sqIxocrYlY3XFlRrTBVQkPWNG/m9csiGqUTVa8161YzuAk/+tGPxmabbVY6a+m4pUmGQcOmDSsviqz5jdXw1mCDJj5z5sxiOtdHmu95cWRN665LgRIOaPFXXXVVaSiiq5Y1ubYypYQEWnSS9bL48OY1ljcEkqyXtzuW6/3vI9Bcp73Gd+P+iFI6FGH7m5Z8UmW2ZiLvZDTf2da7WsGVH0Y0NP5AzHph/6ON5C+NaMyvXtMs5HkRAs4a+l0vfbLW13mttdYqJmvaMJO32t00XyZo/mf1vEWSn3322bH66qsXstZn2jFHHHFEOWdxZE37/ta3vlW0aH5vNb+ZvtUWR9Ze+9SnPhWbb755OU7nrCTr//5HPFfQ9xBIsu579yRX1NcRaKrb/fqIxucjmqu3NX38QET8pSJrAWP81Z34WZvM2szk/9emVVetMQtZq0f+g4jGlU/tvESbqyn+xfq1XmvWArWQJ3+xoenHJz7xiZg0aVIxW+u+5T1+55122qn8ztdM29X3Wk9s5EwL3nTTTUsjDY01FkfWSJkPm09clyznmvvTn/50EQZcn4DAJ77PPvuUZiNJ1n39C5Dr+28gkGT930A9r7l8I9Ac1tak4+PthB0z2sl3YROOD7VHdTcmVxqyDlp6WWuF+c0qbWtKROmudVxE47KI5v4RcWVE4+4WsiYQrBXR+P1SIWsdqLTMlBJVD/5nP94Tjc20jUyZu/1PC/a/9/mVBw4cWILN/M2k7W/vS7Xytx/kzDdt3np0vLaULPMZ1lSf4zVroL3XPmuEruNWjkSgvyOQZN3fPwG5/54hUMzfCKfZnorVqEiwBIbNY7SuyHrrNq1ZF66L23tgx4Dqet6f2aadz6u6bC2IaCxoIWvHNZ4yi/fSDN6zTS77s/jBDz/88JKXrU93jkQgEWhHIMk6PwmJwLOJQHPjiFg9ovG33l6FGfyvvZ2kr58vBYzZXGT5BhsIssuRCCQCFVnvnkgkAolA30eg0feXmCtMBBKBRCARSAT6NwJJ1v37/ufuE4FEIBFIBJYDBHpL1sqnvadKCq+3+9W28mvXLWbvJ0eEiLnejrUi4o1tjntmvGlt5duEv7eEvvd2+i7PV8f1pe15dfHHLo56cUSsFhHn9GAVa1c1Z5WnM2ZWe/tLD+bqySljqvvZ1d56MmeekwgkAonAcoxAc/uI2CqicWb7JppbtP2rStfstkYcv4to/OqpzZX3VCMT5d3JaP44ooE363mkdPHPntBeAKVUNFM4Zb+IuKb9+d+Y2FuyVsT84La8MiHnCpYrVi4vzGK7GvdW9VR7c+OUSxMGf3V7flusGhFvq7qY/Lk3E3fjXJgRUvz/eBfHu0nPqYq7d2PKRQ7ZPCI+GRHnVh1dhK2/tq2by08i4l9LOlkPjickHNFWPP5dPTg3T0kEEoFEYAVCoOk5r7qYZ/L1EQ2NNZAs3jms6pClccU3IhqVklriwLaPaEjxahlNKVyHtCu4jZERTbyFtKV53aA4Z1uhlfdHNEWQu963KoX0rIjG7UuDrEkFl7eXRSth6cql1YvUncRGSR13VKtG1ntEhAotiPW+tvctTvuwOe1VXIpm/opqPsQvR+3Cll3/T9Xh5Mdt+W5TK+KU8/aiquWYCDytykhDCFV3E0MIPeIbX5Gh0HtasJw2PTPNRZoRfi96zw2hIb86IggmBASS1POrtZUycC1DxRl7FoJfkzV8WAHk4zlfuy+F4M0hOV2NWPuuB7J2Q9WKhZU1uqE0+p+3FYLfu5pfhxZ4q55D07+owlKJOte4ua1cnZq1cCi1Zau2a9qtmQvmtGgfGELWI21rhufX2vauZN5HKgFMjVvrV4D9rOpYx0tdILR4zd5yJAKJQCKwgiHQZEHFUay2D7aTdRP/iPA+NqLpGbxGe1pW496I5gHV85Jm3ZGs8Z3n8oEVWTvPc/jWiMYjVSUzRVU0+vh4W/OOd0Q031R16frj0iDrAyupALm58C+qhzgS8d6/K+mA+eDUisyZhxEGiUJC+XcqzXFUVWLtLe0J46ETiebXpBlkydxtOF4LslYCV8INqZFqmBEQNMkEYT/aLvkUAkK249pNGkVA0JNU5xTr+HQlLMiZI2TQ1t0Ymrw2ZQQI57ghCN066iEnjEatbBzCpAnrFUqIkGO3UbV+a7I3BK1oO2GEMNBK1mrGfrf6kNiLajY0bD9y9dw3hErIsD6J9453Hu3bdWnGR1WC0Weqe+PahKTRbRdjwkHUPhiEDhYSNWr1V1Wg/rMtAtQ91T0gGRIMXIvm/8L2aj1FKMiRCCQCicAKikDpRb1HRdaelZ6RnsN4hOKkRSYFBv/hvf88naxraJrT2sl64d84QMtNitXLKkXvy+0kXjj16IjGDUuDrE1Km6wqtpQLHFMtWJ1TGjeiddHPtxHaXRU5Ii8+Z5LGrDaiRQjIAHFdURE1jfD8StNU1q29k0f3yJoGyjeuzZjm4PdXJI3kjS+0gUEoQLwkJ1q069MgEb910JCB+lBFuI6b1AVZI0iaJjKlGTvPnF5HiMzLbgiTiWvaG2mNANJy45SYc3NIcQVT8yFsuNLIadcGMmUFQMq0b1qxJuaaoRMudqssCXdWworr07hZFQg5iByeJEefA3Ob64OVMEFAoP1bn/PcY8LT2W2++p0rwcZaCSyEmByJQCKQCKygCDyNrHeNaLwrosnqqJoZrZny4jmt6tiUJSBr/mrNQMyD9D1z31pZNillFNDTlgZZt5rB3SjaM18y4vOAR8LGVW0kfUbl36bJIiAmVtqlwuhM1AgcKZ/+DGRtQze1EcxvKiI0P7JB/jRa89RkbT6aJwImHd1erYdmq6l1K1m/sjrX+qyHaRlpOm94RYTM1rTTjpp1Tdamr33W3ANM88iOwOKmdIesFXZ3gxR6J8ggdn1NrZVwUw+WgpqsWS6sC+6uA1PF5MUSCFqjhf+gvTB8KDYPf/cEqcPGfmncrWQteI9lwnzm8CFKsl5BH0e5rUQgEegKgaeR9YiIxglVK0tKkucrZQa/4AyB1Nu09aemLHUYtWZdAsk8cydHNGZGNCmWSLrqld34dSUM4LXTnw2yRgRqn9Lw2OwRhAc+siNx0FxJEez17PGOZQZwnO4igpuYFWy8K82az1v3EhHgCIf5nKkXsdEYmbARG3M0skSQSAuBWR9zBa2babwmawDTiF2b6d57fOeEAmZ02rFz+XSZ0TuSNXJV0J3mSphwDs2TD8IaER8S7w5Zt/qs6xtNiyb8fLsyodPSaeA1WdOWWQuYp1kzmKoJSsz7TNU0dJo0Hz4pEF7896wfiJ75m8BTkzVTD2Hm+kooggctPMk6n2iJQCLQzxBYhKw9h99VmcTxGPcjksYrlEPDs3bHiEarclW9tZCsncucLnDthoim5zSlSeyUkqXfawtk43bknvzG0iBr0d9s7XVkNG0QUZAaRLTRKhEbjRT5ImcEYlFIg/bHlI7caKfW5PXFkTUhgC+YNENjRaRIVSAbSQZZ8z8rlo6kfln5ZRGbtZJmhMQj3pqsrQMZC5ayF5o3szdtkimCH5sAIvDL/B3JWqg9DZ7g4Ka5eYIPEKBz3TSae0/JmnZL6mKatn7uBHusydrev1fFAlg/PA3CC4LnWiCI0NqZsbkAmF2Y+0Xzm48QRKBgHZG6xXXByiD4jADDP5Nk3c8eU7ndRCARaCVraDTFR7HeUmAEAh/boZPWjHYzeNOzduOIhmdvR7LGTebAZVyZ+EpckddZTXEJF6nn94W9JWuERVs1aT2QNaJAWN5D1oK6EAIC1LCbBux9vmB5xMzW/kaMoskdRxP3NymDL9i1agJyLRsimYhoRtbmqv3myJTWXmuhSNec5qEVC26jddLkBVkhU7+L4CZkIGy+afh4jwnY+mjN1uAc77W0OSvr4b8AunVbE62V/9gNpblbq7VYh2NcEx6t0pd5rLEWGGpczYGk7RkWfPAEH68RCrgTEKsgNHutLRuI1n2Ao2t63/qthxRoPmv1t+ualwBkDvNaMwzqdbsmYcm81mrulm4x+bVOBBKBRGBFQ6CJx5i+PVeRNX6i+IlrGv9Ub+qFhMwEfnNEkxa+QUSDy7Ym6+q9hfN4huKdx9vnL81Aal7FlfdFNGb1lqz76h1B1rXPuq+uMdeVCCQCiUAisEIj0BTYq9Vlr4tarahkTUOmrUuZypEIJAKJQCKQCCzXCKyoZL1c35RcfCKQCCQCiUAi0IpAknV+HhKBRCARSAQSgT6OQG/JWjCV0pN1uLrtMj1zunc1pDD1toe2oCr5xJz8hkAt6VFLMgRsqbImJ7y7wz4FYUl8782wbtHwgrkE2PV0qHZjjk5y+co9EfjX2Xut1xPYwG0gGlwgYMch7U6FMoEOnQ0BFNK7ejIE+pn/7z05Oc9JBBKBRGDZINBUdnpMWwnQumy2IDPFoATiKhdaZUOVhh8CeG9vq/Pt2dxhNJW3FkB2WxVMJoAXh9aFse6IaAjmrUapE/5ARGNKb8lapLN8XBsRKV2n+aiu1dVQaETxjt4MSejygaV6IRhRyaKdv7IEkwJM2pZ0p+4O65bepBJbbwZ/ujQsdbVFYfdkiOJ2vhQr6WQdhzQxN7qz91qP9WHxAZIPXpdzbX1f7p964qLAOw4Ri1LDlDztySDsSRWra7f3ZI48JxFIBBKBZxGBpueUuh7jIhq6SiJqabMUHYoXLlG1U4EpqbrNKvX4oLbuWnVRMC97TlLSKIoUJLUu5FE7T3aN8aeIRqV4NnGNYz4d0bixt2QtxUcdVJqV0pkWr5CI1KSuxtLoumVzCp4gWoSNcJTHtMm6acUz3Tx7d54Ure4OFddEmSP53gxFYBRQkVrW07Snl1TCCYlu304Wo+oNy4Gbvbjhg+MDJ2WuM4sIjAhC0tA6jt6WG+3JPegN7nluIpAIJAJLgEBp1KGGhbofP6kKoag3oeiJwlpSulg4pfF63lKeWF7lTk+NaFTloZsUNDUuTqiUIjyiQBjFk5JUl5GeHtGYEdHEoapWKpX9+ojG1UuDrDuWG5WjLA/XJlTZ0oRDIQ3/Ixb5wL+utGtVsxQsOaUtsfy9lUlBqVHHKqIiobzuuoWg6+F3BEXKARKzOKGBIMCsLQEdcCqJ0bYVLDm2koDkDJNmmM5V+pKPrbCI0qAKh5gDsIhZ6VJDkRfVwhAkkElRSqe6hvxuN0YDDdonoYUpRDUxxUXqgRAVYXGs9SFJZE1Co70yh6uzrciMojEEH5q8/XRmiYCTJiT2IvdPkRfaumu4+bR/62NSUYhFrjiJzwdLgRO53T5shB1rcF2CAy1aERgfKtipzU6wIPnR5K1f0RoFZGjV6uHCDkbqkztPQRh4sbwwr9PwSgUOkAAAIABJREFUfSgl/Ctko/uYc1lEdDtrvbdL8EXKQxOBRCAReDYRKGStQAliVQ9c1y3PQy5GbS0RN4Ku+zF4rkrX8ky8JqJRKTlNFSgdy+WHH5zjmcoCquCVZ7M2m3jJn57r+IaQ8IWlRdY0N0SE5PiRkQJCYDbwO0JCKny9+n8iNwtkxlVFiz8UqTCHam2JwNVVJQQoQOIBjySYSusuWx7uiEmJUpox/yxC0qELySIc5UURmvaaNH+at4pd5mV61h2FJo70VaNB3AAGoGR31zq0EjCUQCVQMPMjKz5310SMCM8NoeUTRpSPo6HyZyjjWZtBgO4mO958yqDaJyEFOSIze3AOoncNhGj/bmzdgMSdRHJ1ERQYKtgCIyVBnavIib0RCuDNr0yqc30404h9eNwvAon3lBb1gVQH3f8sFyRKc76/qh/uPlqvQi4EAoIPAcP6nWdPhCzz2YdOZQQqH2ofen4ZODlWWVT7YAlB+DkSgUQgEeijCDytNrhnHBcjF7CqkhRQCiMyxoUUzv0iGrowIl+WTgoMRYzr1t8UG6VExQPhDnzjWauaJp7yHKYcnrK0yBoBuhhtzUB+tDTaKrt8HYyFQGhqddct5lXEShIhTZBMEJxi5oh0ceVGkTVN2UAYzLRIw4aRvb/r6mK0XeDVnaKU10S41t0VWfPFWgcN24+boF43AQN4ruF1pIWgSFlAdh1CicYYTOU0UNq6QVjQ75o/vzaD07xJVCQrkpQ57V1rzrpZCdIkibWas2Hsw8DPzAcCP5o+Mqb1u8m1GRxZs6AQmpAi8nQtdcFp7ASGmqwFRPC/CJAwF0FH3Vt7c79cA7nSwFXk8VpHsjaXe0mwIRn6DJiPhg53WjdBxN+EvCTrPvp4ymUlAolAjUCXjTxYQD3nPFs9y8+IaDwQ0fT3lhENz8yarD33WRVZnwVaC1jrUNmsKHustPjTs5RCSFG8+Nkwg9O+kBoSFe3LLFx1FikPaA96D3IPcNodrZR0YaM0WwTeHbJuNYPXiCJPAW8EAISFOJmBXb87ZE0DFD1tfbRS5yJgpnKmYvtyXVou4qGxk6yQ7JKQNUGE5MQSwEJAsCBNqbzWHbL+WXUc7GirzC7Wao81WavLbv9Li6yVciWAuE8C0qxX5D/BrFWz1qsb0RN2Lqjes0aCGsEGkds/zdv+k6zziZgIJAJ9HIFFyBofrBfR+EZEk8uX8iOi2zi7ImvPuk1byJq1mfWUu5DLU/AYJc1z9J6IxqSIpuA0ShTNm3WXZRkfskb+YGmQNXu+SHCNNAx+aiZZmjQpwQPZIhAh3zXt1zGIpPZpImsPbxtGBD0la3OSRlxbeTdaKT/qM5E107Sa5rRKvl41vgXKeR1x2yMCQtbA4x9mShbZTkKi3T4TWfPVMoOQkpj9+S90IWNWRmTIrd774jRrWr9uY7C1T5GK1mbtNHAEKZ2gNmcvLbJmxiYIwNMHjSDG30xT596AjQ8oszmrAEEGpgQQ+DO3Wx9LAysF076giiTrPv6YyuUlAonAImSNt1hIPf+4Qz2LPde5Gyk1nnsC0PwgY/Fb3LXM3HiFkuWZzY3L2soy7Ti8yB1JefM8Nbg1Efx5vSVrEWs0Q4RGtTdclIZsbqTDJOw9D2YmUETzz4qsmaG9xsyMeGzSsV5D3OZC8nzcNsyHangP+REEOqYb8R/w49aRzXy+TLHIkEbqfWTpd9dHMEhE204+VsFo0sKYf12Tadj+kA1zt+taPzMF/zYy1BzDvpiE7YXQgNBo+HX/bP5ZEhlpyjlIljmYQEDY8SMiWx6fNZ1TXZu2bP18HYa1VH6MhXvkPkDWPhCkPGTN3cBEUzckQY6kNX5xZOqDxRLBN08AcX+YxMUa2A9JUOAarZlkRxrk7/ZBtVYfVMFpBBD7dK9o+NZNcLFPfnWxAwQTVhUfaqZz1gv3UpCdD6efHIlAIpAI9FEEmrTirSIaFFEGRnxBEcEznvEUL4pU/YzzLBdnJS7oue3nNREzzRkX4ADPXIoh1yxL878iGjXHVTg08YN0rjt7S9a0LQ92F68HqYCp1EAWdRcopGpjiIyaj1zqICUL9eBGCI4heXgf6fgxj2tVkXLlPddE7J2lG9HkHENicQ3H+huAgrH8zXQtIpk5m5ZoneZH0EiIeYNP1TXqtVmD860T6Vina3jf3IQX+/c3MrZ27oB6WIP5nQP7eh6/e818fpxrLQQYa7W+eu9+tzZ++XrAxzAfLGHid8fW+Pjb9e2J9Gcf9V7MZ37rZ/mwHnNai/9hWK+LSdtc9ms4xzXgVGPsGHtwjnPrOVzb764PF9dxr5B6jkQgEUgE+igCzep52aife2iOC9SzT7pVVVCqWXOP12ZGNCkq60Q0qpTikpKFR6bppNW+2Wb9vJwY0ejAZ6Xb18yIxtzeknUfBfYZl0XD5fhH1EzZORKBRCARSAQSgaWMQJNyqrWm2Kdejf5K1r0CLU9OBBKBRCARSASWJQJJ1ssS7bxWIpAIJAKJQCLQAwR6S9bs+EqO8t/WQ7Tb4hp5cLLXkeM9WHI5hX9ZoBW/qMH2Lzetq2F9/KU9rcPdOq8As3q4rpSpzmpqO4ZfXNBc7W/u6X7zvEQgEUgEEoFljkBTgHRroyrxNRprzIlo4gJxRfdGNCZHNPEMPsSLhtfreh/VS00BzgMjGniyw5C61bghoin2R4Au/7dhjvt7S9Y2IfdWRJuoYxXLkKYCHF0NlV7kV/dm2LCIY85+gUoc/Rz4Kpd1NiStK3kp2rm3Q6S7YiSGfcsjF8FXR8O3zi+ATRR3XTCmt9fO8xOBRCARSASWGQJN0d11hUVkLANI5o9IcAojYvbsxy2ykGTcUM4orL9rJ996NOvCWt67ZdHI71KO9MMRjT0jSh1xqWEixg0ZNX/sLVmTIqQ5ISNl1USuSadCYl2NpdXIoy7NSdJBxILGVAnrbEhNqoui9PY2q4hW3zzpT9LACCctbc0WXkJ6mJJ0Ur1yJAKJQCKQCCxXCDQppLXlGL8gZrUsFIOSciqdlzKoXLWuWpQ3JUdlRD2mtWX7dpvScaU5qycichyxnxrReDCiiUflZL8rojGk0tj9rUqlYY7HlgZZd9XIg6la4jfN2+YU1KB9S4uSf6aKVd0oQt6v8pi0ZI09lBIlWSBD9cLlDNtcPTo28lCg5PgqR1putyImAJb/CyBkLbnc9ZktED2t/PtVfrU1AUdFLpqz84Cripla162DcFDfPGH5ipqYBw6uwzQuJxtJ12TNjGFfCoaogMYVIFcZNvamJKsbQjqrm4csVx/pXGwikAgkAisuAk0as3ofLLh1ISwErbaEIlnSWdW7kJo6K6LRwYpb0rOk4eIg/IWDDq3M6Wp64D4FpqR2uQ5+pMVfFNEotTqWBlkrwylPl8bMPK1ohsIcyFWSuNqmqoLJ/1WKVKEN1bUcR/VHVApweI0U41iaqvZg8nFr0lP0XFUyw2ZJHTYBJNqtQhsad6jbrYgHAFVMUxQFueps5RwEaU6kKRkdaEiWj4B5gxmftcC6lC5VZaaub+7arlf3zSZRaUSC4OGgEpub6hrmshdmf8IJE4j92TfBgUBBSrNmhVf4RphHFufvX3G/C7mzRCARSAT6LAJNhaheWnXdwgsUSnW+PdMVPvn/9u4E7NZ9rhv47za8SpFoIkJJhEqTlF5NqIRMxRGvyszbIFPKGBlDxpw4yTGeq84p8zwcMiTDMYsihJDyigxxv89nrf//7Hsva639THvv53n2939dz7WfZ6113/f//q611/c3fn++7/EJiVAaGOSer3J4GNzNjWY8SI/+RdVwm6oR71CAxAOcRX9zbHGniDWRLs7gKbtB1sjReah/WWL5VLxYC9NBHoRCeK99kIf+M2QtfN5VwBD0Zgd5mPMpH8BDZrUIR/xRazgXjmcssIAoa5G+XNQGdzwS55V7rd/tj7UkjM+4kBcX3kb6fSFYXr/FCuJJk+AkgOJvHrb7dgwjQC83CVRvLKvLdezFGyvXLrRCL12+PysIBIEgEAT2FAIjBwtfnDGfojUia73TD2na4AYi/edGvpnT1tZIOvo7D2mDT29oVBiNgKlAGu6B4ElsczhpjjexlBm5iywzFE7eDbJeDIP3QR59yAQPVyU2Qra5PshDmByZie3zxOlrm0DCy96qNnifZ+2aiFpOWe6c4bCKrF2DdysEDiwe8WbIehoGhyb5uZc3eVH7ILLC8+9k7fW00emUqx6EF0lRFX9IPWS9p/5jZjNBIAgEgcPIVcHXnaoG0VGURZL5W6uGh1XNlM04X5w7XU4fmZPtiISvNBnkQesbD3L+RE85pfiPIUDRDE/wxjlxwt8Uzj5eNcuZ445d8azdgA2oWLN42shLEh1JqdCWoxXqNcMYMSKsPoZSO5XXCV2zInjbmyFrYW2EKFQOKDcuLK5CT5JfDtjeVpE1j15eQPiCB26PmyFrIQ4GhcVTFlp3PSFxuXdvgtBFJ2shd967a8mFe+MZEt4Ub2jIOt8MQSAIBIE9i8DMu737xjQt6U1kLWWJW8xBQMI4y4wF+uGcU3yIC4S7cRKSFkWVXsVtPGccgTfIO+MvS40UzXFcYf6F8zs35+4pO/WsbcBwB15x16pGkoqpWAvC2jbqd4VTCB1hq5YTDlYlLR8s3Ox4N6HsXXhb8ZbXu3lhgD65yU15DllLyisYY6kIIehdI5QOQPtA5Hqghd4Ro7wA71bxmPy3KSi9T5qHrwVLbhyBCq1L9CsEM3CjL9EBe7J48sBG/ATXjeW0f6FyVhbQAW5vQvQME0VzogyKzmCggI30qdx5VhAIAkEgCOwpBGb90z9ZNXCy2ppN4TIASnqXAyrCKqLLyzaTgc73o9pca+HwZ1SNPGQ8hHfxjtYuBWf9nM+oGm5UNeKv/9NqwXDJqVXDR3dK1jbFTRfS7gsx9UEe8sguLK9MHAS5sVL6cAdEZzO9X00owGuQMK8V8flB1EARsrY857y9+Vy+uGuv2o/Xu4Zz2yMvX54AQTIe7BcJ84Jdi6EAC/8yPITqXU9InTEwFT1R/deX67ovRWfui1HiHB53nOu4J0YI8rcve/c8Q8KeHC8c7ppZQSAIBIEgsKcQGNtgpmFB3GrEBb7nP17VB3yM+OO8VQNvGBWK2MpDc/L8LbJ6jqqh13hN7pQHP3As+3APtVMfqxpmjvBOyXpPQZrNBIEgEASCQBDYOwjMcs7nX07OW9tlyHpreOXVQSAIBIEgEASOOQIh62MOeS4YBIJAEAgCQWBrCISst4ZXXh0EgkAQCAJB4JgjsIqsSXT2SSOKoVRlr9K3pt6iaKq3bu3kJvQ996WoSzm8nrOsIBAEgkAQCALHGIERR5KwJuJlKQx7dSso1vKrQPlNc7GUvkYCV9epGh63fLPjrasGoigKybyWgIrOqudUDe9vvdvawChzqhZ/vqrxVWStNUkbkypmPWCUuShwLalgm0lrutADdwFF1dpanCzDOd41FzufVZNnBYEgEASCQBA4hgjMKsFpdZCMtnQ7aeU1yEOrri4fgzgePKnk9tqbVA1kuCdrNrDDFK+HVg3nq5rphWvn0g2l00mHk2N1FRFIITeqPYyq5qnryJqEml5lbUUawJWeO8jF9J1p4LY6WWvwVsauh9oN6ifWGqVFCvlrVdK/TEtb+bqeaEIp06VsXQuURX2MMDodbv3Orqftyn6cE5n7lx45sZE+I1uvW1dM0yqlZ9trlNlrFXvdpCf8GL7puVQQCAJBIAjsLwRGxHla1WCqY1sjLQ/qZPdscqMUOCmOnVk1G6lJF+TmS8ia8BfOPamRNU7Cic+rGt5QNSJm/OWaY9Xw2CY3qjf7RZshay+khX1KEyOhPCY0bsOUyCiuEBchs4lcaajqbSZG/rx2ccM0ekgbqes95kV3je2OwpSsTbMiXmIMGQuDd6+HTUjitU38nNcvJPFTTUHMfhgZPHE92K7z4nYdM6iFLQzXcHxWEAgCQSAIBIE1CIyGLlGnpFrG8RP5JSfdtMEdOpvIdZFG1oRTDHV64xKyxl+i1e9vZH2FNm3y9KrhrW00JmVLTian1b9ez8t+5zqypvTVF4UtP2Q2WQcmZ/ndCYmY9DA4gkXuNkyIRJ5bPP4aG2T7qKbaYkyYG6fQIpzAWz/bZFlAjUGA8Ims2Ov0ONNLePzvbxrfgJDn7uc0LcveqJZZcgrIX9iBFBwizwoCQSAIBIEgsAKBUYT3XxuZ8oKpUuKZT80HeUzJejZ1ETeSFDXYYyEMfjbN8cKFwYW9jZF+fdXwwqrRbAycyQl1/vtVjYZAcVT/cDOeNRUuHivy5ra7gHA3dTB56q576ndEfM824pKH60ZZJTzZLu25jqynnrXEu3PyhEmzbZWsFcn9TMst+Nf0K2AKvzMqQtb5DxoEgkAQCAJrEBjx2/9UDV+oGg1fEvL208h6ltOWZpX2VRT2ghYJlpY17KPLcE990k7WjkX+PHEpY1FkmuCuc1bVcHorNuPYrtQGl2PuOWshbewvb6zgS+7YzGfkTSpT6NsMzvs1cua92iCv25AMz4nDm/+JdDdL1irMDQGhuU26zY25po0bkrHoWZteQg7O3oXaDRQRsrdnkm8q84QrhMzvErLO/9AgEASCQBBYj8DMsz73XBd8NHBKhbZI73e0nDWn0qRJqVpkrVjMwp/XrBqkhxfWOPWs24Cn4b1VI+e0T+X676rhyVUjvuJkPmIz1eBeg/QQpvJ15GtjNoOAhb0l31/UvOgnt9cJkys2Q5QGbXDnj0TW02pwRoKYvuNO35hc9Yy2D8VpQuqLZC1HTVBd4ZlCMjep7UtBGcB5987HWGAAxLPO/9MgEASCQBBY51kbGqWlmNNHq1veWriac9qrwYWt77cwlONz8zD4LJ/Nw+ZAtnU2WasGV6CtSlyxda8G1w7mcUXZR6wGX+yztlGb1HstBy00YPCECnF91k6ILHm2vF6ELt8sVO51kuTK34WfH9vK3Y2NFN83gaqvxT7rN7epXEIMroHsEbHj+k3IHzAIkLA9IGQFZkhbSAKgyNpejCtjfMhfy6lnBYEgEASCQBBYgcCszxrn4RjO35ltzjQve0WftVONt533WY8850tXDaLMnaynfdZ9fLL89rb6rPfjW2fCl3mhkvE8dEVtfe70fryf7DkIBIEgEAT2NQKjHPSFq4ZpIfW27uggyY3qTZOkl0MXrjA/W0QgKwgEgSAQBILAcUBgVpR2rqrBGOUdrYNE1jsCIgcHgSCwBxG4z6zW5Ip1r9ns96wgcMIiELI+Yd/63HgQ2AcI3HvWs/qbde9IDu+DdytbPIoIrCJr4iPdktVTTdZzlT63XLG2KoLjO136uPsSNtAaRi3taC/VfARUyKtuZrnf87d+cwVui0slO1wUte0k/CGs7/yq3HdzaXNTqGeP8N2J9rrqfEWEWUEgCASBA4jAqHBZS5bv80/Me66tWfHZxauGD1SNWo0VYCt0nj05569pn/Xo+5aAmJRt49Xhv6pG38f45J+qBjzkcJXi0rkf6+dYRdZao5SNO1DMXUX101ZoaivksonTduFd0letAtxyTtXmr2yTTXbh9CtPQT5OJXu/9pGu5Y1RDYjc37nkxd40fenORwt9O8ub9Zime96UcrZzmq86htLbSa39TUU9Afmd5PbvuPFBe9iu7CwnCQJBIAjsKQRmhOw7zvcxIqaQ+dImkkJL5C5Vw62rRmSu60j7leV79plVA7nrtkbnISGqlZkTRp3TebVBMwjeVTU8s2o0e+P67RwMhFM3rvHRdX3WhEN4XHrAFG2ZBkL9a3Ht5tStD2+0eF23XUD7F1F0CmZatY7mYsHobVNFvpnFc9ZzzitdFlEQmYCLN4p2+XYWY8CkMxGOH9vOCVYco//8Fq2NjpWnrW4nPef2qa0vKwgEgSBwwBAYyVPrKiJbrecakT59gwuv3X4uUTVcvnnCOIsjZ2lh/vmqgSZJWyPHk/AJnsE3fpAyftPafNP2nU81lL7In2wMqLre3Diol29GbpSFgHhciBzofZo4CfI2RtNzvEiqZS5ukIeeMU3jwtpC6A9uHiJPmRcndOqG3dB0TeVGPX7bdvM8N94vUXU3r1dbz/RftmZyhOHcdMv1apt6Yr8PalO7NKa7YfsVwn5489xZSQaOGA6CsAwbYf2IFiBiGufu8zoNSFbQvZuCm9e4tzMnN4AEvbYbNchaKNsbDuv+Zuk3J1GH1Hnnv7HkE/577dzIlQoOL/2WDVMWHby9mQ9tZMkLZ639SnuDjTP1AdNsT0Ndv58PivcCSTME9A0ykIRhfFBYjvDQh04Hlwdu0VmHHZydQ2jfcJaXt4hLf90B+4+a2wkCQeDERmDUB/1pnm3znn0fGwrlu57gltGYND0ma/R9eMGq4dETovZd7/v7A/Nw+vD0qhEp88TxiO9g3EKwC1/dsWo4qWrEpwRV3riOrP+6fSm7iIMRpokgSJGQCaJAtohZczgCJLtm3iePnBVivCXLQUhdGB0hIhNEqNEcwSCLvhbJGumyajSUIy8341omfbkecuV5G+bhpk5tRP2apqhmQgphFHsCLpF0ZIqwhH8ZDXK3PHj5ca9jZCBTRgovH8kjOtdCfCwd+0GwRFq6weFciB3YyPlazZgQGqH9Kk/hOQYFxTf94IwOk8cMSaEAN10+CDRoicvAkpFk3wRpSKe6b1634+me24s3H+E+p2nVwtrEFgYIowLpw5TojcftQ/6FCh1ChgnDy/vA6Hlke8+896IrjA/YsB6FfeDJMIFVVhAIAkHgACMw4gPeMydRKJvT8qYlZC01esVDuW2QjDxxTiGuks8my33L+QzsEa/inc9WDVetGnEufiMGxgs3bnPt1C1fzEKkEt+IxsxoxCN/zYND9Eh7OnWL54UIuPCOoZXKq5NM5xUfSW50FVkjUQTIM7V4uLzGZzcNcqRlb8LTCI48KWJyXSBY8shnNJlSv8uxk0sFOulSZI2E7RvhGS5udjbgWVP25pyOk09fJGtGgB+P9zC417OKnNP5NMjz5llThN6dy769iTTP+6KBLk8thI6c4cpoESlgiJC7Q5684Zs1jO3ZwBIkLOrgHn+tXQPxMr54zD0MbrAKS8/7h7RJw9oTwwEm9txzJ65rz4yuNzZMfT4cy9gKWR/gr6jcWhAIArMJWb7bDdiQa8a58swLZD0S5jrfoYlcy5CbDf9ofDX4Lm9rxFtmW3AKhdfvXzXiJpHQTU3dciLeFNceoQljC90qPEMmwrl9RCYS40X64r9Dex0X32u3Q9bICGGyLvq4TIQsT8xj5n0KCbt53jYN80Wy5nFbIgC8ZAROGN3jjA7eOjJ0b3o67Z9FI0zP2EDwkvzC8AjSvd+qec5Tz3pK1vbEkzfwhPC7AgLGhetuhqx5y6wv+4MdsXgfEBGAzZI1g0au2/u1jqwZIYheuEcUBPkiZ/ggfJhJR4gEGMjCW/deIH7vKWMkZJ1vsyAQBA4oArNqbc6iyuxJ6nYpWZ88/14c8Mlkzaq7fc/iLt/tvm9xJ4fOYA9TvXCUKOh06pZjOGRrp275gkYWyFHoF2nyrJANAkAcQqsuyBMUmr1JC6V27xTRCdEqUtsMWbMoEKKFKFgpLAt6384tLKuajnEgLI2sje8UVufRe0y4oXvWwrTGjokAIHMep/3K57qWvDPQkC5wEZUcPC9Y6B9IvRrdPTM8Ht8IHKBTsnZ+c7KlAuAhDI78VVzzkr1ZSPNIZC2ULVTO6+fVs954vvBnDK0ja6TunhV8yZUzGBhNi2RtjwoIvTcMIee1L+kLoXZ4MkqQtvOIOCjCY0TIUwv/eF/krQ1YCVkf0K+p3FYQOLERmHnUHBffiRw4nKh960srPGvcc4eqoRVFz0ha5Nf3KI4y6Mq5fCdzhERbcYuoJs7wHSxqjeeci7PHUXr8qpz1Ka1CjRfqNQrHeLKGdgjHIilf0EiNVyqMy0OTt5Wnls9E8EjS8UjeFz6XX64aAMheBdy0wtzmkYbVvUkepZtDDIis5QlmIWTHs3RYKq6jaIo3TodVOIEni7DkpS3jPe0b8SNsYVzkY98sHuF2IXx5BedzLYSJKJGVtACSRmJyv/qfFRv0pdhLCxjchJLtT7ijW1PeaAUG+rpd3/3aI89bft2SE+Hh+mAoALN4+IwY5/amMpK8ic7NQIA1Uve4KIjfETDvl+XGKoSJe2GEKCKDH0sOWSuQkO6Ah3v2XjsPwnYfQuf2KGxuPjmcRBvgKe/OQMoKAkEgCBwwBEY8xbnpU7N8h76wavh0m2/9pKoBn7Q1+t48/VB/9chZu+RGXvuvqkY1S5xQS9Haw6pG36uiwTgWvylK8z3MyfJdjAfVe71qFVkjZV/klpPwQnt7T38OESMTLUxymwjCFzgyQmimlLiY41yHV+oxOU+vdRzymoqK8Ej7YmEwCrqoCOsEqfjbfhzHQBDqRcD24xrIzjX70G836wex9mI23rU92r/jpq1bjA/RBASv+MoPDBC2kATPtbdueW7a9tTHeiJAgNuD/DUsEbY9izp4nfvwGFJF3gwEy316Q3n6fTIY64x15ZzOwfhBrh5znNfD2DFy3ArGHKvOANaet09kb/X+aq9hgPhRuQ+Tfn8wc5zRqIwvRoLCMsVu8PDe2AcsGSVZQSAIBIEDhsCs2KsTrHvzPfqhquGLTRTlclWDdGdbo+9yRNzFTaRUCae03PTo+/KcVcPESR1xi+9y+XDfrfxP5+FE+o79oOvtd7nRxYK0A/ZBye0EgSAQBILA/kVglu++wOH91tu7m/1O1grKpvOwt4dCjgoCQSAIBIEgsOsIjCKp56gapEZ3tPY7We/o5nNwEAgCQSAIBIH9gMAqspaDlle1FBjJH/f86eJ9ybGyHuSrd7rE7QlzHGlJxCs628yQjy7/tmyghnuUT+757SNdN88HgSAQBIJAEJBX1pXU+LHfi6k+AAAgAElEQVQP9+jAeG7ohc0LaM30xoXGW73T2RXj/141OJ9zq49Sl4TjtHZ9ZRVZaxvqFc0qrZWWU8VaRsgq2ZzUEI6dLhXfvS963blU6GnDkrNetxgRvRVMW9fiUpWuunk3hpDs9N5zfBAIAkEgCOwLBEZKj1TIkCsuenbV0Phx1MZ7+6pB6++SNRKvunrVcLeqUWEvBTMFZa/cUDB7eZMh9ZiCaoVqBK3etU5uFGGrHtYjTW5TW5SK4MW1m4M8Nlswpjea1XIkLxxZU1BjcJA2XVyqrFXcpZp5X/wHySaDQBAIAscbgVHHkLZl2iKi0Npvn1g1vK2Nu9TOaohH76iabHhUZ0WbQtcOwqdnohsHByH/57euIz3ZHGDOpE6mk7c6yMMQDeSnlB3bk5xE1vS6tWwpO9eDLDSu6VsblfYkPdZ6cxGm2ccMAP3Ti3rYy8ha3zRjgaevj5gXrK+b4eCGec7K611fw/l0QteUrPXJUd9iwWjZorWt5YuXLmrAkvEmaHXyJuiD1gNHuQypA879EjjRdye8TtGLNeVYb4JUgWMnk1aO9wcr1w8CQSAIBIHdQ2DUvnzuquGsiRf88arhzKoR70mv3n8FWeMdTnCXmKapoS/7rY3o8SlO4WBSAsVx0rRvWkfW5DHleRErBTEkxIJAugjYSQl3CCULhRuioSEcoSItFgHBcy6/Y5CsnrFbtxw3j1YDOKuhr0Wy1kNtYIVBEiwY1yE8YqgHgkW8iPOeTTWMbrlr9tXJuvch61HWR8yacU6gOD8AuzqXsAOLRwN7J2UCKwRIhOh/p03j0tNsP8RR/M740C8nrGF/WUEgCASBIHCgERg5fARMOKQ8ZIqZJhO+/avJehbyphCJW8y1MA9iStYmHZKqpvuBH6ln4lzzGp61jqwpXyFdsmcsBdKeNKGJZCBdBEiQA7k5ubA5Nx55+Z1etxuxMa9BiMhUftvrbZSC13Te8yJZ814Vkwl5A4GoCgOBilona94vlTIqWjxwMpqLZG0vvG5g2h/5TkYCpbZO1vbDQLEHz3W5TgIsVNIogFEKI1EKyHc08RFasM6r2EAUwN5EGrKCQBAIAkHgwCIwKxRDtniJkqSoMkVLoez/WkLWorOcQpzCqZXbxldInEQ0pUiOoci0yC65UecmFrZSbtQBSJDcpNUHeaheE27moQpLI/TpIA+kaNMIWExf8l1xmn83ow2+SNZ0U5E0uUwjOf3NQydZ2sna7zxluqpulgoXWUzzlxGwsD2VMPfCM0a6/mZwCMt3sjahinWkWEDYgWrXdLKWMDotbaF+kqimeTFCvGHeJJjwru2BNZQVBIJAEAgCBxKBWf805/UaVcMdqkaRZAOeRFnxh9kJP1Y1IGFRbY4eWVL8YnEY8Qnn13lEr6l7UpfEo2+rGk6vmk3oMv/iqes8ay65i3qxZDevmSdNNk3eWa5YbhZZI1EFaKrf5HyVmyMy2tHOoyBsM2TNEJAHtpAiAHiyiF/+mxVyJLKehqB7GFxOu2uKk3mjw22P2yFr0QYRAQM96Iqb2uU+nRdRC52HrA/kf9DcVBAIAkFgFPHlUZu02CPH6ppwl/ZjyzxqNVA4kwMpEq3+SQ6a5ywdbEwxrjCcSYGZfDcOFIFWA/XcFs11zoetImthX4yPMF1IVRuS5o4jbSFgwyV4qjbEA6VDjbiRshCywi3qYn1YhAo5JOc1wuCsCpaEYRN98eht0KI9LRxtNCePW85ajplnbIgFohSitychdkQprMDL7QtZMxbokAOok7b7QtYE0nnlSJtnLuwArB5ZYA0pWNP25bVyEzxo9814AG6fN+pxb4h9umZWEAgCQSAIHDgERpyjzVjBsWUmxXOrBpzV1vjmquGKVeOCNrinZ6MwT92oHr9+1Sh1isTb0Kbh3lWzinFkLiKtmE0K9/mryBrpyS1b8rFcdxuyFH2xIsTUWQ1OjKSQIU/cVBIN3fK2xFSEBZCmOL3HELbXGhQhrD4dhNF7ol1HmFoIHbm7OcfzannICFEemyGBsHn4csYeZ2T05f76+EYRAkaEdi/34h4M9lAUJlLAgGBcMAgUjgnl26P7dw8MBNaPKj3hDPcm1C6krh/OHhkS3pypAXLgPqq5oSAQBILAiYvArKgMl3ThMFzw7kMiJzNC/tmq4aVVM2I3dWs6BxsX/UjV8LqqEWeJTOMjfdZN6GumKS40jquc+wuRG936J44VJMegmnyFQs3WT5ojgkAQCAJB4KAhMPOSv/HwyVzbu0dkrXgsa/MIsHi0jIkgZAWBIBAEgkAQWIHA+c5ddZ5zVn1ShHZHC1lzv7OCQBAIAkEgCASBPYrAsjB4G+k1a0nqS6K7DdNeeif9tfK5y5YYvXNMn3cdj09XG7y99BxebzWh8z2KaLYVBIJAEAgC+w0BHIaPlo2y9Jz8NP7q7bpT7uqP+9frvH4Vl3Xec54pl/XH+3Ff9bplZK1ASquWwqm+CKJMlcGmb4RiMYlwxVlTqc/pa27T5DpbxdvsKf3Ri1XTKrlVYy9blNDcIFWXrCAQBIJAEAgCu4UADtMqTFVzuhRa40TyoPjtjFbMTIQL91kep/et+FlPtMJkSmUKsKdL/pp+iRYvleTEU/o0S91IlDO1c0mz6m7yWtodXvv5ZWStEpyUqKpvyipk0VQ5a28SMlc1zXqQs1WNjXS1ONH51uKkKlpel4XQG8TdIPERLV99aZlC4r16+1JNxpQCmGpy52B5IHjWDplPSwW263u836jydkult2tSPfPjeZXqCsFIpGYFgSAQBIJAEJgigNOe2dpyFQ9Pl7ZkGiK4jfQ2cSwtx+ZB4DrdRBZ+60OtereR9qvezoX0qV26Fp4iuoX/dA7RIVEtrquITsmdWkvx25uc9x0Jca2rBr9zO4j2t8XTVoyG/ZGpvmlKXl6nQdwGCYLoi6YWhmw9r0dsFVlrLldVbelZRsiI1zX0n/GkkbOhIcROlMEjcNcnRuJmqJvR7VY+r+3KvlybrKiyeEYAC+aR+XwGgSAQBIJAEFhAgHIlkqavsUjWeENL8WVbJJikNa9ZK7FQOPET7cM0Ouh94DAaIGSxETxdb0vb8hMar725tf+6nvZhWuK4rbcpE1vhCItoI3j8+YStkDVL4q7Ng+ZhI2jkrL+ZZ83a0JtM0eUBbYCH3mQe9J+v8KzJgSJcC0kTP0Hej2qP84x57sIQLBfEDAAhAt4+aVPXEm5gwQirAwfJAxlJ88KRtz1mBYEgEASCQBCYIkDRksynnPMiWRMBo1ZpAhaHlcQ2xUrOIUGwpzSHleqYELqQNYEwziQO6mSNLxE57XDeNUfW8CspZyneTzaxLRFhSy83+VKOKN59xVbIGlkKkSNf4ifyyywE7G8j3Hj5ZhaEcIFwthCBGLyLLQuDi+/30LhQAI9ZbpzYOcUweXC/UyDzr0Z0IQESpEicDKmbu257Dc/fY45D5AwMU0yojIWs8x80CASBIBAEFhHgfPbZ1MvIGrdJ8+KSFzT1MmMucc3l2gwKRE9u2ywKnjZRL+HzKVkzCpC08Dmi58QS4OKFkxQ1frmTtRy6EDwe5XmfthWyNrjCxnjOEuomiJAGnZI1EHi+QgNy0TZHmtPPMrJmqfSEvlg9JTGWCcIHCvKnpSrUjvBZJKwTwiRCBQyGPj5TzsG8at6048iZyhnIAyDukHX+kwaBIBAEgsAyBHjI0qaLZI1AFZPxvEV0yWyb1ih8Ld0rv4x0LQVnctPC4+ZYULyckjVe5EVT7bx7y0eLFvPSHeNYXEkxFKHz4jnCZLIfuhWy5tY7sZw0K0CMnpdrPrR8smo4+W0xdtYBi0Fsf7NkLWZPfxzZywuYtuVmJeI9bmY10CTljcR0Lf8qNHMdHjnyRvbIWs6aYRGyzn/OIBAEgkAQWIfAIlmrp5KGxS14j/Mnp4y0PSbsTRrU38LeIr3C3khYGhZn4SdOpDYsY5V50LxkoXC1XFK5vQUM/zEU1GsJjZMgVcfFAcWn91hH1tx5IW/uuKUcXX6YW+4CLoyshaZ50MreHcOL5XU7Tr74/m1kpU328WDOJ1/tselC/PLOrmtoBm9bJbeZnoiXdyy07vpGWgopEFQXnmDpMBDM0gakogChc+F1Vo6QQlYQCAJBIAgEgUUEdDuJ9OIVC4dxNBWSGXOpNgs5q6f6s+YNq5My0KnzowIzOWb8ZDqk40WAeeNC5qLDuA2vIXiOZ2/vcl3H4zIOqv04Tjido3rGOrLG7H6eNbkrfWKKvVgdE2HyGTEjRXF9rVK82fe2ym1ki9AVksl192VTNjNd/ZxAcx0AtUHes3MIMwiLu76CNudzD2aDCs27FqtGPoFxYWylcwnfG0OWFQSCQBAIAkFgEQG9z0hUkbTFCeRBq3+S01b/hF/UaQl/W0LUOpX6UhTWK7o7lwmd40YEb+mndh38NdUU4Xk7VuW3JfStRkxr16z9K4M88qENAkEgCASBIHA4AiK/HNXpVMjtYKTLiZPbx2lu5xyzY5A1Nz0rCASBIBAEgkAQmCMgIqvwa53M9mawEg2WDnauHS1kzd3OCgJBIAgEgSAQBPYoAgmD79E3JtsKAkEgCASBINARWEXWirgWJ2IpY1eCTgatLyEC4uV9KolqOWXm0/P21zifwrC+6H2b8dknj3jedZ1jx7M/8xYHgSAQBIJAENgFBISyFYWZd4GbCKD42+N+x1n40WOEvTr/4cbp9C3c6RjPd57DqY7zHC5UHO15r/OY83rtuIqsaZaqbJuOtNRmpf9ZU7cNONbQDJKjLmJCCF1uQucauqmOqdamk6r3zGAQfWg2g5j1UCtJ166FuLVdqYTTl0bMJCsIBIEgEASCwPFEgBqZNir8pFKcOJh2Kzog2rC0VvXZF7hQyzE+RLDEvLRwWchXK5d2Z/yp7djxqsD1U+vTdi76IArS6JrgTNXm9zB7Yx1Z6yczGKMvrVf6wJCrzbo4eTV9aDROO1m7gPYtN0WoxNQu5e4kQfVJey0yJxnKqqBsRhOcKoweapaJpnC90llBIAgEgSAQBI4XAoRNECflTM4qTiSRzfF8aHNIiXXR97hJa0fuwlxamXt7Fl40MET/9lubJonBHtqXkTMRFWM4VaBrOzbx8szmuGohe+Y6sub18oIt/76vqZPZgB5qIW0jwfSAPWdC1hTFeOX6mlkRpmZZSuGJm1A7s0iKElNB6javTxr5u+HZlJHj9e7kukEgCASBIBAEGin3qVu8XlLXHFa907gL13E4RZQ5mTS/OZ+cWwJhos8WrY9fbP3WPGvOMEeXAhppbQ4tTkXuXbbUv4wAAmQnryNrL+xl63S+sTu33mbE4nnFcsx0UV+7DbJG3BrPaXsLt9NN1RQuJECj1fCNrCAQBIJAEAgCxwsBHjEy5fmK/HJOkXMfkcm71kv9xA1RMBO6RIRN0CK7TaZ0KirW74GnjvgJpZAxFYnGxZ9qYXTOMI8b57qmiPRZ68hannnqWQt9I2aKYshb7xgtU5qmQt30wuWsN+tZT8naZC4qMW7YJimgeYy1kRUEgkAQCAJB4HgggCOpl1HJVPBF0cyELmSNDymUyUXLZ0vvElFRFCbd+9LJII++d7VfItJy2zgVITv2eU1+27RJJK7P+1JN/vRjJnitI2s56C6r1i+k+MvFOolKuhsDJgnuRrZC1n1Op7y2kLtwgqQ8j90NA2AqaXo83qhcMwgEgSAQBE5cBPAg79YMax4uWVLeNK9ZGheRC4HzwM3BUHjm7z6so0/dgqA0L76U6pXXvmwLh3uNHx67xfFF/AqtXYfz+sB1ZI3tWQh9mYZFeFyCXRweObMquP3IWkL8SGSt+s2kEaPAVL+pFJest0mC6MLuSJu1QddbaHynCjIn7scsdx4EgkAQCAI7QcAkx5u36DHnFGmr5DalS60VjW+eLwdWNJjImOcNjlKXJcWL0wyaknv+TCsc0yml2EweWz3XK5sXLUTOSfav8wix4+K7rCJr3i7Wny6uv2EaLI2+bJKVQUqNxaGYTLxeDF5ImxUhFGAJmStB5zlb72rHAsLxNtdbxVgTkvq8eDOus4JAEAgCQSAIHGsE8JWQNu5TXK3GCmkLY6vZsnAUB1NEWNGZ1wpl63DCe2qxXtfanI12tvCkY0yiNB2SZ266162aV80LR/icWxy7snXrWAOS6wWBIBAEgkAQOGgIqMEy8vL0nd5Y5EZ3imCODwJBIAgEgSCwHAHpXTload0drZD1juDLwUEgCASBIBAEjj4CIeujj3GuEASCQBAIAkFgRwiErHcEXw4OAkEgCASBIHD0EVhG1nq6NGZr0VKhpvxcxbZG7sWl/UrJOc1TIiqfaKXpBnPcpVXEbfcuXJt+OBF1lXNZQSAIBIEgEAT2GgIXbrKgJk6S2NbObFjV7TdEVG7ZKsfx5HQRPVEFfqWmKXK7DbGxk5qyGblSPdZ6sbVvzdYystb4rdT8rq0f2glIjypFX0XWytJdTCO3PrQLNrLWvqXvzAQuS5m6PjPl6zar39pjhndIxOs982MMGf1UE0+0hzmfc/vxWvqppNmygkAQCAJBIAgcLwTojVxrQ4HzT5pmeCfr72oTt4y/1OY1JWu8aygISVKaJQTAaJT8fVMAJVGKrB/S/l5L1vrI9Hvpl6YupreMzNoysiaW8vFmQZgWoj+b+AnP2qhNgidu6Hta3zRVMhrjV22P6682teRXWrO4MWG0WJG0HjUg6Ls2tYskKSvGOfW+ZQWBIBAEgkAQOB4IIF2tWfjs21pkGVkTEzOISt+15xfJmmOKiPVpc0A7WevXJhKm35rImGEfZ69lnjWyNRZMuTl5UYLj3PllSxhcCJwnjNSv3uZUEzPpZH2FpntKms3v5Nk8byzYvTbC3N/czmFCiZtzs4yDRbL2WmEDqmkskEcfj3cn1wwCQSAIBIEg0ELdBEuQs9QvhxR/3bgpdBqjydlcJGuTtJC76V0cUWTNYaUFLgUt7YwvCYetJWtPOoiq2AOat4vA6Z2SR5suZI39CZKzBn69kelZjazJq9FBpa3qnDZkohZLhPuPcIUQCKIjb6Fx07Z45ItkTSHNTbgxEqQh6/x/CQJBIAgEgeOFAJlQDqQQtlGXlMukgc2+pvWt7svv+O60tsnrtNdT95QO5rxKIRupKTIt5czxfXIjfxFkQ0OW5qynN84tZyUoHtPUTQ9V8ruvTtbPbSQtB23TCs141v/ewumKxL6zyavJP9uc+djkSadkzZsXHjAfe5GsheSFzEPWx+ujmesGgSAQBIJAR8CIZylfaWDFZfLTZzROU3sl/cs55UnjLguXkiT9SJtfLRROVpRHbeFNtVrO+SNN+czsjbVkba40YmUhCIvzZh30tiVkzUrg9Zr1qWocSbvoV5pnLYzupgwCsfkpWfPajd1E3sIJ/lbcFrLOf4ogEASCQBDYqwj0gmf7w5fy03gP0UoxX64VkRnwoUKcM8qDVilumWWNqKfjoEWcdUIhakM8OMez+qx1fdbmUivmUlrOoyZKLmnOa+7ryhtx9V9trr7ctSla3fu+z8YFedxi79dveWni5EIFNih0rurNxsX9hcuF2k0xUSHu5uTAhRiEz1WUEz5X+MZwUGmeFQSCQBAIAkHgeCPAIUXWQti9GBvZ6qKS2kXUuO/xG2Hxz7bNColLHfO237nRKfV7jdue0RzWyzTOw6tryRqxiptz0zE9b1leereXqjcePMPBDSlZd4OIPisIBIEgEASCwImAgJZp0WjRa61fyPq1vU15LyiYqYpTyMYq4THbnBj/slaxE+ENyz0GgSAQBIJAEDgMAWStp/p4L1VxrAjl78Ljku9ZQSAIBIEgcFAQuGR9c120LlWfqo/Ue+qD9T81HpRbOxb3gazJi2YFgSAQBIJAEDh6CFy7rlHfXNep99Xj6pWzQquQ9RbQ3gth8C1sNy8NAkEgCASBfYnAfeqGNdSF6sv1tLrPTFY6awsIrCJrbVhyydN1ZpMfFa7uS8W2JnD635dovdjas8618JoXLVSRb2GLeWkQCAJBIAjsewQeP+s7VkIs3blfvOqrNe2QDr9OpZe2GRaqvA2Z0iWFA72WIqelUIxs9lvb39TNfq5JZnuI6Bhe/Mcmq03d04yNV7SebZ1Qiq8tImMvXkXWFMTol04BVQSmVcsFge1Yz5NUe3V7XJuVC+o/009tQy7upt697z9suYEgEASCQBA4kRBQ7Ew75BytM0q7MdUyyp0/3jhQyzGJbJLY2rUYJURStChrZbbIdmtjplJmGBVu1JutApzCmXYuomImTfpdobXXfLE5xH+wjqyR8qcX3hVa4XS939w2Q/dUn7Smba9H1vqzL7rRI/2appNKpSwrCASBIBAEgsB+RYDzimx51jxduiLmVJgOSS77Hk2a2/3daEOFjFCY8dLvXXLD2pMJjRlIxRDg4Oq/1rKsbcvsC966czAEXPNz68ia6Mh/twsZsOEE5NUUBtAqZR0QKyFi8rKQ9X79DGbfQSAIBIEgsAYBaV1TH3nKxL6u2JxWsyyki3nIpk9KFdMK4X0biUnsZHGRzRZtRsZ+eNaUP3nT+JU4Cl6+U3vctUmVnrGOrImQ63u2SJ4ZnOHihnJwz4UFXNhwD5bBD8ezzgc+CASBIBAEDhgCUro8Z86rsDjBMBHmZWRNlQy5Cnsv0wr5taZOJhJNWtSS5/7djfz29ZrH7bwGW0kdU+w0NvrO68iatfCZdjKa3cLbJEfNoza6C1nr0T6pDeRwgYTBD9inNLcTBIJAEDjBETCEStib3DVlTXMuVpH1XzbeNBZz2eJxy0er4+pETWZUrppU6fOq6gdakfbr28wNEyvvv5OctST6TdsULAM+/B2yPsE/1bn9IBAEgsABQ0AHFEfVSEw5aNMm1WL9bCsAkzIWdRYGlxIW3u5TtBahIPjFM39Je0J4nWOs/kv1uLD3/Vvdl9nYitnUhf3eOrK2wWk1+H3bJBDufQ+PI2ii4wrMeNkh6wP2Kc3tBIEgEAROcARwodHNQtxaspCnUZjIGkdq5RLCxovI2nAOeWhLXZex0SrFLWR9sfZalePy1Ljz8+3cwu3OgVcVtRm76TqvWkXW4uqLfdbas8TW9Yv19eF2UtXf+qxViUuUn6+Fx00L0UeWFQSCQBAIAkFgPyJg0NRVG0FP968IzIArIfK+TKEUyu4pZBXjyF6ltyWE/rj2u0mSiBh59yVMrnXaMRxj51J0tnbq1n4ENXsOAkEgCASBILBXEDCXWs5b2/OOVuRGdwRfDg4CQSAIBIEgsBIB4ijanHngO1oh6x3Bl4ODQBAIAkEgCBx9BELWRx/jXCEIBIEgEASCwI4QWEXW128N3cROFJpddiPBrlhscV24VcjpB1NcZpFRUyGnl2yWGN/mcm7i6ITQu5LaNk+Vw4JAEAgCQSAI7DoC5mBo5VK1TRp0Gu6mZjar5G46Jf3iqslJkRIVU7itQhzH/kRr+/q69rfH/czWMrJWak5WjcKKeDuxcn8j4cV1lVZmroLtd6rqHU1P3KAPTd80U7e7lK1/dyN9FeZZQSAIBIEgEAT2CgJ6ohEx+VHroU04xfhPbc1UPxWY/XZ7Xd/3L1TV6U1YjBOsqtxALMfQLDmt8S1ZUr3bK8lavxi90rs2nVMnUkquhHxxsSgQNQ9cSTrlFW1fP7ohPH6XVtJ+zfb41zapNjKmrAql6TxnZe+sEa//h40bo0P+sVb6ztpw/u9rTeIS9WTY9LgRN88KAkEgCASBIHA8EECuuBF3acPi0JINNejDMA/O6gc2xmhSM8NjfeFLxz2m9Vk/vR1r/galUK81apqTfPZa5ln/fGvkvmFr5kbWv7UCCWSNxDWDOzEi1XPtQm7gfRvh9Fu2YR+UWoTF3YzGb43gNMf1nLkpTeGfav9SgEHYiJ6yi724YRNO9Lw9qFktx+MNyjWDQBAIAkEgCHQEEDXvmVOJ96RtyY4+v6l8LpI1+W7OLVW0P2gpZ+ROA1xY3PF0xSmarSVrueLbN3EToieXa+O7nACBTheyNteTt+zCQuhk1oz7smmbvVITLP+VjbGZBmpTc6GGZk6n11yrkTVt1E+085BvWyRrpH+TDV1yTedeJ8SQFQSCQBAIAkHgeCHAu8Z7D2ihbuFsKWCOqHD2U5d41svImiOKT4mn3K/NuPYYDp7VbB2pGpzXLExtMyTV6KGauNVXJ+u3NMJWmCbXbJoIIhaPv3kLbQuRI1oTTHjXLAcedCdrXrnE+u3ajS6SNaOBEcGC4cmHrI/XxzPXDQJBIAgEgT7MCqlS7aQd/s8boWzzqp/dIsH4jfc8rd9aRtZPanBSLePYyoVfYUPdjOMqrL6WrMmKIlMeLTFxm+A1T4dpd7KWFBc+VwgmdP3JRtb+NlzbDFAqLjxuYWyELESO/DtZ2+TXtAHfNMYXyVrlnNFjIev8JwkCQSAIBIHjjQCvWgU4XkPOeIu8NscTl12gRZbpgtMA7+vtbeY1L5rmuAh0J2ua4M+pqvO3ui6kbdLlWrLG6A5SyMVLlihHym9b8Kzlnz0vtI2kzd/sBWOS5bxoF+SdsxTcwJSsbUphmRtncTAKePMh6+P9Ucz1g0AQCAJBYBUCPGv8J/+sMFrdlQlaCFvU2qAOBK7mSzszh/UpLcKMpPGk1ixhc+3Pqsr/qDmkurH8zRgwKGstWSv2kjh3QWyvYk1c3tSRvgzv+MFWnX3jVmYuxm4up+T4G9ucTnnr7qUb/+Vv52dhWD9cVb+88SOcrl2L161ajncv4X75FiI3jeTK7cZV1GUFgSAQBIJAEDheCHxD0xrhSeM8/Nc5kkaJ4mhetxSvQVivaRs1wesirUBbftsxnF4kr+haYbfW6F5dfsSc9bEA4GqtGZyH7ccGbZRXnxUEgkAQCAJB4IRH4EgFZscKIOQs1y1RzwpRYZ4VBIJAEAgCQSAINJdbGDsrCASBIEd7HeMAACAASURBVLD3ELhyXabOU+etV9Sb9t7msqMgcOwQ4FnTI80KAkEgCOw9BH6tTq6P1dPrJUtnE+y9/WZHQeAoIbBXwuBH6fZy2iAQBPY1Avetq9ZXNipi713mDWQFgRMWgVVkrfqbCMl0UWbZyWCOv2mVcfLSu7k0kCuf70vL1x0XWsym11Nar3ldKT2R9Z0uFfJ6xPv6dKvmo1yTFQSCQBAIAvsXARxJZ0S3kzYr3UyGa+hg0mKsq+mBrVf6p1oblj5rapsmRk7X3Tc6oG7Q2pSpcDoXiVHn1/kk1YObaIp4TPsWztVG/dlVZK1tysQPfWN9vWRBjHyr8BshRmJ0txe1GMB0oXQTTYBKOQ2Qi0v7l/42A0f0de90Ad/gk99r/XUk5lwjrWU7RTbHB4EgEASOLwL4hPOqLYv6Jk65c1Pn1HL1/g2xsEs3mWxOonbki7WWZm1d04VTTeqi7PmZ1luNh6SiX9zma9ArQeCcyr9tjiDxlFPWkbXpW0Z9WeQ9eaJ/2LxjozNZAb/YFMqIkBM70RNNEtQgD564hm5/65t2E4rZaI/bBHJFtAZ1sEx+bONCFMqsdzerhOrLz7TXazr/eFNDUzHel3NcsvWAe+xhTSXNHkz/ov5C2KWf2/PGkwGOAAvlGBPAkCygPrjx+M0amdMxNxmFNqvGd2+UMWizJvWFxQBwXwaaeEO8CXrk9Ko7Xr86NTfXIj8HF21rFNwyr/v4/ofM1YNAEAgCyxCgvmlKJB4ym9rvpj8S9kLGtEZEV7UaE0nRR403yWlzImfqYxujM829RsjEv3jmyF8UWFTYa6h50ifRb02yW1/2SU1ABXc8cB1ZkxXtIesPtbAyckGsmruFtSmssDxYGgiMWotNsjhswI1x9RHjlKyR8XMbSSE2s7CNvbRBLj9vlVoasqYGQ92FZBsLhgZrBwAIyBqRzvRTm+CKEDTVNHrmjAb5LoTumhrPycMxNhAqsD1O15yxQURdyAOIvGVA3bQpzxjz6X7pnK8ja2EMxoLzsbzsjRCMN4qVZBQaoRdkPlWEy3+XIBAEgkAQ2HsIcEZNz8J9yJgqGbImfMILfmEj4a4FzrsWDu8Lb3B2O6d6XgqXcJiF23AfLx5/0BvBnQibbPfd1pE1EulhawT8zA2vkkct5MsTFEtHZrzuHqv3OhO4kK3jhaKR5iJZ84w953xu4hGN5EmtPbiRv9wvsubZ8uARNgOBt8546AtZ0y8nWWrJtQuDuyaiBjCiZli4eZYSkuapd7U1Q0EMGTH5C4GKKlCYoaoGYN6y/ATLiWEhHLKOrD33XS1aAA8Sczz3bli4X28MmTkSrVlBIAgEgSCwNxHgICJnktk45Vub87iMrEWZOamXaseI6loiyrgJH56zeeLO1Z1eY58RuetwLsmRkie1OH2/v46sJbcRZl/IxwmFtHmiJnJ1smZt8Lgt5MTlZzmsImvSo7x0g0AWydo1eOqsF2Tt3JLuCPtCjTSRXV8IkGwbz9tCsA9vRV5/3AjR4xL6PG0RgGVkjYR5vzxi5yB7iqj9GCrO4kGs8vjLJn5Nw+CsMEIvhpZ4M0QJhDmEvhkDvHeScrx3x2UFgSAQBILA3kMAR5p34QevSKHiI3yHrPGc7/HXNidOKlRkGc/gmz6gw6zrTvacYFHoZzWnFk8Jf0vVimhfthkEuEboHZ/edx1ZIxPE2xfiQWQ2yrNWhLabZM3b5rny4AGDEJE1gmNpKNhCskLJiHVK1uZk99C43yXs5YURLPLnRQu3m7nt/M6DJHnp8gauLZ/M6ul5+U7WDA4eMNDtg/Fw1yWfqSlZf0fLbQvtKzbzBiBsb7aIhBC8sIcB5UL2ohNZQSAIBIEgsLcQUPVtLoY0Lp7gKSsAe1FLpxoZzeGU3sRVap6QtMpv3ON33Ek7HIeYsCUtanqklKxwt0g0rnjXRk3YO9rfCFtum6fOQHjkOrKWy1VU1hfi5DEKFbMcbKATzW541kBhlcjn/ksjZ9e8arsRpCq8zYNGsn0xIBSpietbwGPVCDGIDiBoZK0AQCEAwJC1cxkK4hqiBqwcHq97U2DWyZpeOW8YabtnRgRDYHFNyZpBwajh9dsP48YegM/CYhAoUGBYGC2aArO99R80uwkCQSAIQABnIFXV2zxihK0QTFT45I16qX9r/MPxEplVwHzRxo08ZWSsxklY2/e9eikLj4hOS/s6F57gXSty5sxx6kSMjaXmxX94FVnzQhef696feHsn8ekErv47ohJ7d7wfr/XjnDxTjzlH/5037dxIixWCHHmy8smI1OsdazlPr0zvHyXHO19fXmMvfqbH9se8tp+j78W/nu/36Jwem/7dr+Gx6X3367rvxXM4T993/7ef13N+IvaQL4UgEASCwN5EwPd+/x63w84jfu+81Dlhyif9MWOhhcoR85SPOgc5/5RrFx8/m1P2koKZgiuFXZZCNYSdyVt78wOcXQWBIBAEgsCRESC8pVBM+nVHay+RtRsRfra0dgmHZwWBIBAEgkAQOOER2GtkfcK/IQEgCASBIBAEgsAiAiHrfCaCQBAIAkEgCOxxBFaRtYpvVW5vaa1KqqWXaV1TWtEHphT9ne1eqbIo8nKslqXtLhXmFGCUs++Ghvd295HjgkAQCAJBIAgsQWDUkkXWWoHxG6sGbV1tjbqntHVNF90NOh7TRfBLEdsPVg2nVY2UMomq/FvVQGJ7tpaRNbESil20uil/2Qi5TZJqi0vrk5YnOt+mhCBn6mIqnCmF9Ybw7bzN9FG1T2k2721Z2zlPjgkCQSAIBIEgsMsIjCq5CZpoBcalTXFz0IbFZyVV3QdM9WuTmdazPV249YatE0pPt8px9Vt/VzWc3aa8jKxVZOsL01umr9gkEd4tUY/FpT/MZvyQ9TT4gtoXSVLHaxRH/kjdIvep3L1XyOnlJlxC/5sKDAsDMetJ9m8naw3i1MuAQ3BEY7le7KwgEASCQBAIAscBgdEkyQ80zQzy2rQ9HlI1kLpG1vi1t33hQ1xIAKUrg5Lpxnt6uf2rqPqjTUiL4NhNqoaztU6WkbXZzD/dSNeMTUos9EqXLWRtkogTmjBiwpSQOaESmzPEAomb68kIcBPUv4iKXLORst81gOuvJjGKuJ/clMW8huAJq4OICOOB9BpRkWWSn8fhDcslg0AQCAJB4MRDYEbWRLRwGh6kUPnEqsEIzMkaTVokkU1l88lVw5eqZiFy3EqyFAeaHWEKpHQywv5M1XBY6/Iysua5UglDnPLUvGBjIeWNebzThawf1WRJedGInrAJVRZk7XfKZAi4D8f48aYURjiF9WBKCbI2OIOqmDCAcALFsilZI33hBufxXMj6xPvfkTsOAkEgCOwRBEZRYkOaDKQiZiJlfNISsiZljRvvUjW0Oq4ZgZP0/tOq4W+qRvwmv03BDIlLK8t/f7JqmA3UOlI1OLaXk7YJczrJgU6lMTtZ64uWCOfiawBXnIashauN+OJ5m0RiMywKJM16QPCdrBWTGZHJg2atLJK10DzNcJqqgAlZ75GPbLYRBIJAEDjxEJiFuTmz1DcRt5nX9zicrEfpW9MkaYY/omr4fNUs1y0SbdLjTauGTx3CbiSvjbjpgZOmPrVqmBVvryNrxWXyyYrNsL1QNisCkfbVyVo+W1W4TfjXhCtkLTZPH5ugOTJGzkLZCNn0LpOoOlnT8VZZx6tfFgZXeU5rNWR94v2vyB0HgSAQBPYYAjPSxVec2vO0KPMfLJC1gjL8+bSqAd/xXYXPhcW/uFE9Ph1K5Tka42rAOLW87xdUDYh7LVk7GUHxPl2LVjdSlkifkjUCJWwuj8xb5v0aaoGsedvy3TxsIy551zYxJWuzQVW8sS6ExnnuxM4XPeuQ9R77qGY7QSAIBIETF4FRuxYnVvU3z9rELOFrUx8/38LbyFpl919VDU2Vc0bWuqXeWTUYOtXWaN61FLLxys4hmvz6/pp1njXiFdJWMOaErIKeu+5n1wsmBy3PbENy3Fx2E0b0k725ec42IZzO9af5jbTNhva8pa9bftrNfls7B0PBcUZMXnGj0MwAcCXtKuiIm5tglRUEgkAQCAJB4DggMAuDI1TRZ/MscJ76LFXfX5hXhY8Xbq85q2pQk8V7RuxC5x+sGpB9J2tRYwVnarZ43G3U88BhXutZ94lZ/XXTcZm7CYwwuBsWUvjG1jDOsujzqXfzWjlXEAgCQSAIBIE9jsDMEEDRa1u3jsdN6L/WniUMLk8uIZ8VBIJAEAgCQSAIbKIaPCAFgSAQBIJAEAgCxxmBI7VuHeft5fJBIAgEgSAQBILAKrJWNKZyjca3pe3qoq3w6zP7FDYFapL9CgG61rhqPpKmdMj7UtC2bnCIFrOXrMDA+YjA0DPPCgJBIAgEgQOLwEgGG6e8/dDAjZEmid7qd1UNpEgX1qgX+1xVw4sOf2K8WFVd9tDjZxemvbVqwFkrC8z0df2fueTZjMjIqan0lk+eqansw6X16wptQphKdEvlnQo8g0r6IpF69TX3p5r9gSue15ZGjU3+PSsIBIEgEAQOJAIjLe9rN/UyDh4NEd/7JmqZmqXy+zeqhqZLMlIGxR2kvK3HVg3UP9sa8QbdEsM/dEdpAdMZpRL8blXDB1d51l7Ag1SJhqD1QN+2kbeT+916VZsgwvO2GQVipnXpk75KMwbciMUKoR3uNX53LGEUC1mqBCeEblFuIYDunIZ99Mf9DiCLmpphHu6hTwTTCua81q+3di8930/dAGcZWbsm0Raetl5w19OiBniN7FdqQ0n0fLOEyL91suapu0eeuUljdFzpm/vX4BI4sLLgd/aYs0NvTn4LAkEgCASB/YfAyOnzPU+Jk+PH4aPweaOmD86xfdr890FbMyrFW3jsxhsco/eaStn15mQ+mqWhqBo/EgYzD4OTrFW6i4Q95UhkbUO8RTOqTd6yEBmtU61WRn3ZoNnTXduUZOg/tAlcBFTciAEePPVbtr5s50HoSJ+oipt2HK9WX7dzec7mkexj28Qu6i70yXn8tFaRop40xMmSAQIRFqEG1skLWk83knXTpE+dgzyqhazdC9LXKgYP50HcjmU96efWA+5Yb4jrX6TtkdALrdfrN9J2PMxgotdcr7rm94mc3P77aGbHQSAIBIEg0BEYcZPoKm5s7VUj/Y/eH43vqJCdUjUsGRM94q6HNcfz841TOYQ3qBrojLc1UhHFk2dspKGfsI6svQjRUC4jIUqlhccrRE6ljGgJ6wG5EU2xeeMxkaKN37x5t3LfiAtZ0/PWDH7p9toXNkOAAcADRe4sDF41lTPHGN6hidzN8W4BQklNroCIimsKNdAj10iOLB1jGe/5uZZDECVYRtZ3bqIrvHyedZ/fTSrV3zx1+35PMxgQsGvznO3LnpH7XzQ8kDuM3KNz04TNCgJBIAgEgQOBwIysOWj4kyQo71kkFt/gI94xsZNfqBoW6p9G4e3fbc4gxxJHUO3EU/c9RNYz751MNw+b4Nib1pE1D1f83divJ7QJIf5+zMbmjM50coM5rtvIWticB8yrtGlFagh2StY8a6FjJIiIXZ/XzhIRTmBJIHD64ULeiJsV4ly8XAaBPfCEETyQqJxRRqNq5tqO4Xnz1hkXXvfEFn5fRtbAs3ckbCHaU9oeTfhi6bhH+zOoxLV5/D23QBNWKJ3xwktH+l7TwyMMiqwgEASCQBA4EAic7VlzKEV+cZTIrJx1V/HEV7eqGprS5ohHRKAN/hBF5sxyPg3zoC3uPPhRdBh/dfVQ3MNhfNw6snZx+uA2RD4NIal0RtY8bXlaOqbIime9GbJ2A6aKqJajUobYkLVrIXXEa+Pi+8LsvGhEjKxZIW5ESJohIQRNjo2MqbA7Qpa7NksUiSN1MqUkUVk3mwmD94+SayNe12YpmTcq9N3JmrHBIgIoDXQEL4zhGHlzeW/RBUUDPG6hjqwgEASCQBDY9wiMnDgOLIdNdNVIS9//vG3OorC17/2XHQqDj5xUEekHtHQvblO/hVMtZM2Lxjdqnzisctf4kRN7vyPlrIWCvZDC2Fua14ugkZ+wswsJcSst3yxZCw8IcwtL/3EjYZ6qULbQsZv9/iVkjeh5y3LGQvKK0iTrn9tC0dqlEDpv3ixu+WzhaflrNy+5f6Sc9TKyZpzIuytCWyRrRoPr27NwOLIWhldN7t549iwoufisIBAEgkAQ2PcIjIhVgbMUsQizYVQi0BxbeWzRVE4lPhBh5dx5DAdph5Y6/qGWZjah0uJcCo8rWEbsuM6cDZzoWg9fRdbi70LONsJyQMQquOWou1fsWOFr+WM92Lxe/cdyuX2INnL850Zowt5K0xV3ITmi54q4/I4MFXu9sZ1PHgChC4nzqm2YtyzfbQiIGxZuQMau69zI3p6QpjC0kIJcQK9oR7bOJaTQQ97CETx9gLaJKDPgnEffGwvKhJTeW65YANAw6GFwr/W8HmvPixgomvNmsLTk/u0nKwgEgSAQBA4EAqOorXSvqCke8iPSqgsJeeMTfIAPL181PLxq1petrgqniAS/uWpomh+jlq6bVA23qBrxEvLGdyZScgg/vIqseaIIqIuIO7lwN/L+8qEquBkZ8rIROrLyu38l2B2v38zr3RBC5Wkapel8ju09264n9Owxr3Uty/m81vld27l7tRzvWhjBQvR+R+L27Dg91Ajf9Xnazu9crumxTsquJd+92D8OG/t3bc8JUQhjmLDies7tef96vu/R/ty76513gtmB+IjmJoJAEAgCQQACIx7AHZ+rGhoXjTqTGhcoLptViV+malA75Ri8NGzMsdahNFkjHvraQ4/Pxmgi7c9WDTNuOpZyoyrakDXPcz8u0QW5de1qvPusIBAEgkAQCAJrEBhFYb++athxdPVYknXe0iAQBIJAEAgCQWAbCISstwFaDgkCQSAIBIEgcCwRCFkfS7RzrSAQBIJAEAgC20BgFVkrHZcItxR8KTvXR7ZsqZqWDG+C5dvYxaFDlLv3RaJTfnjVlC9KY55XeLa4lNb78fyypU9cEZylqI2Uaq8Q38kN6Ed/8TZOoEhNRb1/VaYrZlNFb29ZQSAIBIEgsOcQGPGVYua3VQ1amRWQqf6+UNWggnuyRkM5dBApSrYarw4TXh2vVjVM+GPUxqV4be3ULW1VCFqFm+ZsS69129Bhu6Da4jValHa69HK7tqVCXA/a49oAjcVzkxQFiL7rxaUCTyk8IZRlSzl8B0UVngpyrWHavnayiLP0JvetnEf1oN5y/yJrYixU1PTxZQWBIBAEgsCeQmB8ShP10v3jB9fQ/eBo0Sc5Z9VAG6Stsbf69i4l+iWnTkZimodxu6rB63qluWLsN1QNM05cJ4qiR1jLE49Pv/TzNvqtX70EL43fZNRWjY3cCsTEQ/SvWYgLYWkUX+a1A4hXrXR+cenzJgF3+xUXR4L6sy3eLOUzniwltp0sREvgZTtLdML74U3UXE/cZck81O2cOscEgSAQBILA7iAwchRpf/iO1qolokoMBRHTHTEPQveQr3RqlshX23Fv9dWShYCvWjV8rmqkskkl86Sq4TxVo35tCmmkSRH4jJfWkTUVLhaCMLdGbwIoPF3tS/3k5NA8R5NbI7g+ZxKgboCS1w8079BrTCERMuDVauGihEb9rPdy2w9SJpLS9+YcyBoo9sN4INfmb03oSM116a86D09bozpRFWRNBYYUqHA4WdC+kDUjpC/64KIGjBH7tH9WzclNSo78KRUa4zYJrJMeJcVKZIVBwVjp49Icz7vWT663rqu0MQrshfIaCTmP2wMZV2IzWtu8mfRi3Zfzs8x42UIm1G/87RzOZaoYYRgRhCmGu/N5zFmCQBAIAkHgCAjMNL85hwRPfA8/qWr4UNWsb/rGK6Zu+e4/rWp4S9WIg/GP1q5HVQ0XrBoNiqLAyaF8/2bImhoZcjWrGiEiCyFvyiu8UERGgYzACLUuREIvmxiI57u2KSERXjJLAdkjc03eQgaIzojJvuiNI2ULAXoNrW1Wit+FtwEj5G5wN1KjDU5P1c2ahiJ8j9RFA+zhHxvhT0FH1qwhi3AJYjdzWi6bziuP3cQTEqYsJiF5AFN2E+qmOvODTbuVwQIfBCy3gEQt1hHjw/2TQZVDNwubQUADndHCyGDoULpZJGukT6r0Om2uNqlToZd7NqU46QHzTr2OHF1WEAgCQSAIHFMEZuFtIWxOFk7gMfOs8SGFsoURmaPI699XDfgBv3NcOxe+umrAJW2Nvus3Rda8QqSFzHjX8tfyqgi1q5uRDu3TRITBbYDMJ51U3i0PvMuD2jxCZXH0qVukP3nsfSFBRoKF2JEQ79F5HcOTlahH1ogPWQsvAIy3ywMGlvCxCWCMDcVywtPThaxJm1ru0R4k+hGrvDVPlveK6E3/cs/mYJuA4sdca9dlMFypRRd44q7rzbBX6YEubSq07XWmlcGMB80IIl1KUhVpL5I1/GHl3hXTiTgYI8rT5rUzShA4Lx4WWUEgCASBIHDMEJgVjXFgP1E1PKNqlHb1fY0fOZvyzYtkLaL8mnkeeuQE+u7mKIoUc+AuXTUorkbkmyZr3qwwuMXD6zrfPDnh4D5PGoH3nDWPUTyfALnwLOJDXrzKzZD1NAzeITeIg+dsQheSdd4pWfMwed8IFZnzXJGmY5C/0ZVCyotkPQ2De07YQe5ajgGBk5KzH57+OrLm+SJw1tUiWbOw5OBFEuCGaGnG2hMjAIkzJkxggeE0DM5S83pRCrO0GSIh62P2HzEXCgJBIAisQmDEH1Ka753npUcOLQeMcyuSrNDsS0vI+nVVg4pxZMwBw62OQfAcvqtXDZzBLZG1fDLS0uKEuHm6SJeX+vo2h5MHjawNvBCiFdKVZ0Y8No44De+w+e2SNcISJhBGlwPnnU7JWhgdYTIK3PgzG2kKbQtbGxKC+KYe/GLOGjLCD7xZhoZQNxF1If9Fskaa8va0zo1CQ/IMF5rhi2TN2EHGT23nF8Y3dYznLn1g7yIS0gfe/ClZv6GF9T0vQsEQCVnn2yMIBIEgcFwRGBGx7ijf7zxiRMuBxQEcPBFkaVGvkZL9hqpBRBUBn1k14ES/+74XhVUjZeGp763q7Vyb86xNjRIGVmktlKwPWTgaIdqERDrX/cnNc0RCeoLlq3vBlY0LLXsdz1I1ucIw4WF6qUiMx9huYrZZOdhF7XChBpVyCsCEjRFd95aFweWIEa3rKHDjgTMoELsqOkn6/nt/i3napp8sLrl3EQTgM04c796EJRgenncuZG2eNqAZNPBA7PLXQiHuzxvCI0f6QuawcA9wcj7PqwpkRZnBLZfvdYrh5M7hzdCwD/dtcIkPAtLm/cuPqxbknZsBnhUEgkAQCAJHHYFR6hG/4RzLv4qbpX6lO3HnGVXDWVWj7+vvrhqkUVHFDQ5ViC9udFRgJrrb1sgJ/WTVIDy+shpcHhrxWggbQfYJV/05j/WpWEhGVRtvERnZLGvB347znNeK0bNGPO8YzyPYvhyzTARFSTxCRPr+Rc4Kvnq8n4XiOs7neXt2/m5A9IlhR7qO5+2x77dPAOvX7uX3DBaRA/kIhWiK7xSj2T9Lanp/IhOw7FPBXMM994leXu/8Wrf6c/YLL1jbi/t2T/2+POde7ce57TMrCASBIBAEjjoCs4lYvtd7N1WfLOlvj5+jamgp5NlYzG+vGlotlmPnU7S+eslhD/igrVlF+Vf6RC8n76R81G9xly7AUxZ+F9b27zIFs1261MrTyDWwlHi2Ctn+qHnLR/u6OX8QCAJBIAjsGwTed6Gqc3991cV3ZeqWUHJWEAgCQSAIBIEgsEcRyCCPPfrGZFtBIAgEgSAQBDoCIet8FoJAEAgCQSAI7HEEVpE1FS/54CNNfdKLrIqZeIifzS7KYprJKb70pe2JlOh2FyUYbV0qtUmUqlRXTp8VBIJAEAgCQWC7CCj0onipKBi/XLW1K/fJjbp1DILyt/Zl3UAKj2lk9IXrFCbjTEsBGplpWiCO0bqrk0nLNNVMj9Ho0EWkpfij67TBp6Ioq26y64ZT4Jr2MR8JFC1PVLj820eE/XKT5USy21kAAoQbNlGrS5Bu51w5JggEgSAQBIIABKhj0rigfWEGBKEuxIucEauC4z9vj3s9XtOho22rL+1eXQJbF4+WYK2+Zk3Q6cCD2nxpbjienoeWaSSvVfdBWyFrzO/kfQOmcpkBbUiHm9Ffpo/YRSwbUyVt8dK7fGm/GX1qbp4kp6X32Ov1YusvNuCCdCgxlf+sKuMzCa64Di+eR4+gz2ptXFRg7I0QCrJmoeh91o98m3Z8PnpBIAgEgSAQBDaLgDZcfEIXQ4susta6xdsm9oWv6I/ctWlvEDbBi3iHoBdP3ELQjnE+MqI8dQ4lnmII8LKdQzSb6AojgCYJwTESpg/YClkTStEzRkzEEA9E+xeNiAmFUOMio0bZi+42oQ8XR6hUvgibdC+a5WAKlv7pXtIu9G5Ih8Zyz2kypyuO6F3PTQCNbCd1MjdJV5tiGY1u/dGsFWB6nV5sFgkZ0PtsqKo9ZrPvTl4XBIJAEAgCQaCRK9EpBI3j8EtfRK1Ecs3D4EhaOBDfcCbpZCwuBC/07RiDsKic4SrKlgY+EdvCs343G+NarT34lK2Qtc0SAtGXTctaPJ2XS5wEcbM6ECvBD2QrL02e9JrNtRc6MHzCQtY2yRO2cYtWNpET+uLC2fLX2srcnBujSoZ4GQKI2kLcz26WjPNPydq1jMt0DqIjIev83wsCQSAIBIGtIoBMhbkXyZoTaa413unLuEsDlkSZedb/sXAx0WPy2SSkhdFFkEWnedxqrH51rng2c0BxH+VKofHXboWsbchGWBJcdAM1kLWQNclMc5aRI3lQG0LGCr68nnXAa56SNQ98OnVLyJq8Gk9Z7F7Y2/Ia8qBC34Cx6HUjcF64G+a187ynZC3EQO4zZL3Vj2ZeHwSCQBAIAh2BAe6iUwAAETxJREFUVWRtjoRCMgJZQuHmZPCQSURL4fpZmLp19khj4XP5aqTsNX5IdStKEwbntUslkx+Vgr73OrJWAIbVLdqnyJXXS/ua5yzBjqy7N+1CPGMbRNwIHHnztOW65bKnZI1ExfXpfFusB7F5rr9QgvPy5E2pkpfuZC03Ld6vAs/vBnyI9xu+EbLOf7AgEASCQBDYTQRWkTXZUCle0V6RZsT70vYjbaxYWuSXDLVuJwtv8Z45ofgOactxy21LMRuSxQEVKebwmhMhMnyPdWTdtbtdwAVpX2uJ4qrT70a+yFoMH4nLGfO4edBeI1RtM4ZPIFfe9ZSs79dIuWuBO5YH7To8Zee0bJjl0sla+TyjQFxf+Ttv274Qe8h6Nz+iOVcQCAJBIAisImszGhSNWfLTwt9yzULaeA9PSfl+byPyTtYKsi1cxnsWne7S30LkHjfUShqZQaBo+vRVZK1cvI/tclKFYQrBhLWRqjnNwt28Yv86uTyzE5stbSlHF5cXs3dDQgY9P+1v5e5GafZFwPz9zZt3g9rC6H67lvj/jzYvu5/btCkGBbK3D4Vs9gYkPdfIHZiAYZmwaLKCQBAIAkEgCGwFAfVanEKpVvzSlwLo3s3kMZFeTiTixmW4C29xWlV8WzxxDmlfiqzxpGM4n9K/rucx/IgDObmfi4LZVt6yvDYIBIEgEASCwOYRUBWO6HVO7Wgha95pVhAIAkEgCASBILBHEUDWBEOygkAQCAJBIAgEgT2KQMLge/SNybaCQBAIAkEgCHQEQtb5LASBIBAEgkAQ2OMILCNrVdyUwvRYUxFTlUYXVR/14pI4JymqIk5vtYpuGuBf2ShXJ9G2leEei+em4qLJnKRob+/a43Bme0EgCASBIHCCI4AXTZVUBf6eNqNiOgGSGArNb91Lf11Vr94QD/u1xrMPbmqdJnu9ux0/g3MZWVMP00NN9ERblmlYWqGIjy8uJE7yE6HqFUPSb2stXIRTEPd2l75tkqWEU7603ZPkuCAQBIJAEAgCxxCBl7RrkcjWysXRJdHdF5EvQij415AqczEe24ZZcXAJqxAfw5/IfiVZY3weLY8ZWZqO9XeT/unpPXeyJpFG31R/NPWxmzWVM1YDJRfntG66ISX6uvZax16lKaORUyOSwsIwblNPN9U0YzptmKDK5ZtQitcSTXnWMQQ/lwoCQSAIBIEgsBkEyFybReEH95HFJtXdF4lSgz84oQ9suuO3bToiSBy3UTkjCPbldWTNq0bQZM5c5KkLQuWLZE3L20WpiCF3YiXC6DxroiQuSnaU5+11rAgbJLzy6EbMp7YmcpKhVGAcS4jFEBBSpUIKFF2QOVUXEqOOzQoCQSAIBIEgsJcQkAImEmYeNcdXj/WiRjinkzwpURTcSL2TGAoSJ0hGZvswh3RVgRlrgOKXwRoUW3jW5k1TElskaxekUmYzSJaFQJ7U70jVpiic+ZvH7SbIp1E78xiv2UQTcqFUyJCy4xfJmjZ5HxzC2ghZ76WPZ/YSBIJAEAgCEBBBVu8lT83LvlfTD+/omFwpvexxip+iyiZsmUL5/FbvxUGlavbhppy2NGc9hRtJc9lpnD6vWQIk0foSykbWhnaQRvuRJkkqhI2IiZLfo8Xl5bOFypG1IR6mcZk3PSVrVobwOw97kax51ELqrJCQdf5TBIEgEASCwF5EAEEb0PG4xnW4cRoGFz02/IMDbEIluezueSs0kx52DtKkCs6khteStdyz3LBBHcTJJcvloBWQLZK1BDpBch62MLrXImsEbaanZDkv3VBuofIpWbMmhA0UsNEMZ5WYuBWy3osfw+wpCASBIBAE1iEghC0KLbSN98zEkM6lHa5gWrQaAZsW+ZsbTu5zJ2TNs0byeFJhN89bmngtWTsZkuWyu+jL2vQrxV9TspaPvlMjWJ409x9pI2vWgxy1cLvE+a2WeNaqvm2a4DlDgPg5Lz5knf8QQSAIBIEgsN8QoAqKF6V6tUBzRDmu6rnUgF291W1pdVbtzTnlXavRulGLLt+i1YwZADLLXa8TRZETViimfUu+2OQPLVrTNipEKzwtpK0YTRk6i0Ju2fxOMXsbFAZA1s6F0PVym2DieRXkYvPC4wwDxW0sDdfymNy5XLbkOyJ3rOV8WUEgCASBIBAE9hICePESrVBM2vi9jeN41vjMFEheM07DYxxTvPqLjdQ5xvqszciWKtZttZasndh4LoTupCyDo9HvrIH86a0QzRxQo8VYFW/dS+hnL0EgCASBIBAEjiICfagWnlVw5od3jntrGMezh2cfxT2sP/WlLlWX/8Qn6peGob54gQvUKz7wgVlIICsIBIGjjMAwzNors4LAUUdgHIszhoAic70NtJH147dxXA4JAkHgACAwDHXrA3AbuYV9gMA41g81HQ3FU1lbRABZi59nBYEgcAIiMAzxck7At/243PI4ni1upU4pa4sIhKy3CFheHgQOEgIh64P0bu7tezkIZP3e91Z99KNVP/qjVV/zNYfw/s//rPqnf6r6ru+quoDxHJP1oQ9Vvf/9Vd///VXfQElEIvqLVc71P/9TdalLVX3d180fP/PMqv/1v+aPfdM3HX6epWR9r3tVfUAtN+mxr626ylWqfv7nv/pgz7/1rVX//d9VV1L/vYP14hdXffazVb9M16WtP/mT+fmtc52r6md+puomurar6iEPqbr5zau+WZ35ZAHgH/6h6lrXqvp6NeZtPe95Vec9b9VP/dTWN+lNePzjq/6t6bd5M25606oLX7jqVa+q+umfrvrWb52f1z284AXzN+xnCbZuSNW85S1Vb3hD1S1veeja3rzHPKbqE5+YP+ZcnvdmLy5v7N//fdV5zlP1I2RnsoLALiEQst4lIHOaIyKwn8n6//2/qr/+66qnPKXq3/99zlP3JtHV1mmnVT3sYVWPetTh39HvfnfV/e9f9ba3zb/bn/jEOQ/h2Ne8purLX6669a2rbnCDqrvcZc4n5z531dWuVnXHOx7OuUvJGiE84AFztv/85+dE8T3fcziR9k2eeup887/zO0d8r9a+4GMfm1sZFyVO2tY1rzknZI/9139V/e3fVv3ET1Td+MZV73pX1SUvebh147DPfKbqU5+q+vZvnxN8Xw9+cNU3fuPhhLnZHb/udVWPfnTVr//6HGgE++Y3V/3QD1W98pVzsFlClmvf737zffgXiT/nOfM3+i8oxLbFoHjgA6v+7/+tOuc5528c6+yP//ird+Xxv/zL+T15U7OCwG4hELLeLSRzniMhsJ/J+h//cf5dzTu+7GWr7nOfquc+t+pyl5s7Y7e5TdXrX1/1spfNnTfrc5+retzj5t7yrW5V9Yd/WPUbv1H1Az8w/xth47H/+I+q7/3eOVk/9KFz7xv53/nOVT9GmqytlWT9kpfMDxrHqic9ae5V3u1uc9L4+MfnJ/rwh+fsj0gf8YiqS1+66uEPn3vjNm+94hVzz5snifB5m6wUj7/nPVXXu97c4njTm+aGwY/TM2sLWTvvd3/3fB9/93dVz3/+/NwI9GIXm5MiK8Q53/GOqmGYX89NClO89rXz/QK7kzVrB9CiAaIGn/zk/Ni3v30OsHubLtdilDBgzn/+uXHCQuLxfvrTX03WLKxnPWvu/V/jGqvJ+rGPrfJjn/BgtT3hCXOjxH6t3/3dubUlygAnb+iLXjTfs/fHmw4DxkOPctzpTvMPwUtfOjduftDIlKwgsASBkHU+FscKgf1M1jxgPCe6iSdwk+/pK1xhzlFnnDHnHU5dJ2sO6B3uUPWd3zl3zERSfVfjqhe+cB4B5qB+6Utzz1v09573nPPVn/1Z1c/9XNVVdVsfiayRGWJCkk996pysbZKnKGT7p39a9chHVj3jGfPQL2Kyme/4jvlNIYo///M5yQlxC0sjcgR/+unzx1gprBJe79/8zdwrZW0sI2uPffCDc2PhJ3/ykFfKYz3llLn3j6xYPYD7/d+fk5/rIHvnv/vd5wTtXyT2xjfOgbzZzap++7fnxgSDwRvjOn0ha3/f975V5zvffJ/uC9C83kXPmgftjXPuq199blgs86zh596FPexZqJwxwxq78pXnRgGr67a3nePLe2cIsdSufe2q972v6oIXnO+d0STs7+fZz5574aw1r2etuUZWEFhEIGSdz8SxQmA/k3XH6K/+as4teJCDhb/uetd5BNj3LOLuZC23fbvbVV3mMnNH7+STD32n4yvf7d3RRf7nOMecfxA17nIuzuQRyRqr8/gc/IUvzEPRiIlXe5GLzD1LpCaEKyxsQywDoWIEjwiRuk3xlsX4kdO//uvcOnGuW9xiftPyzoh+q2TNK+VVs1AQotzyFa94iKzt094BgmiR9tOeNvecXROY9nnDG87BsXeEzUhh/UzJWtjDufvekeKNbjSPOiwja0aL0DayZjkh48UwuPsXqvcmKSq47nXn+Q7nFgVA1h4766y5QXKJS8y9aedGvownlpznYIHARRS8J94bePLUkbwIRlYQCFnnM3C8ENjPZN0dMxHgf/mXeaQTmYo2KzYTvfQYDxrX+Q5eRdaiokhfWJzjZSFzdU6+rznC97jHPGQ+XSvD4Lw1+Vme2fd939yL4y13slaAJhw7JWveHyJBPhe60LwYjEc5JWsE5G9WhjDyxS8+9xzF+o9E1kLDyPaXfml+owgKeMINCJlFA9TuWXeydsM9Z+14oLg3C9C82SORtTfiOteZH4dIXUvofB1ZewNFE/73/56H7xfJehoGh6fnGTgiFUIhDBs58SlZf8u3zNMBrDJpBB58yPp4ff3s/+vGs97/7+F+uYP9TNYqunEWh02UmDctetkjsL6zP/KReZRTKBtPIGWOIefvQQ+aO4wcYD/45tWvnv9Ic97+9nOO+KONGVwK1xaJ2nt8xJx1/yBw911Akh3BOimvuJM1d11oWDhWLllR1eUvPyezKVkjIUTH80M8zsMjlPtFQKvC4EhJOJ61Yg+8WmTHI+U18rBV3SGyTtbi/fbBewWuSnDgeL1ryusiXKHzI5H1NGfdMTkSWfPYWVBC8DzhdWTtwyDXbb8qzX0gWHDudUrWMGA0+NAoaHD+kPV++brae/sMWe+99+Sg7mg/kzXeQri+8zlhOAb59m4k/KgSXIGwImCvVTvk+xoHSr8qGuM1i3T+6q/OeRDB41MRWPVIIsEnnTTn1l/4hflzfW2arFkOyEZe9StfmZMrb1NiXIwdGbIQkKX+sF6eLkw7JWvWhptFMEK6Ks5ZFeL/yzxrRMsycU3eOi8cuWolQ9ZCw7/5m/PwtZDElKzlbhVeMQwQH4J284CW6GcAIMUf/uHtk7Vwhb3JZQtfMxjgJMKArHn8wiIMmEWy/q3fmu+fwYPM5fBFCXjMcGHswI9R4YPgA9FTD4wUqQlh/JD1Qf16O/r3FbI++hjnCnME9jNZ27/op/TvO985Lxzm9PVeaCTuOR6x723RaDVUar2QtXSwCKuCYN/dz3zmPOrseOSMXzmMyNrCH9Kkqs3XkrVcKEJEItOFTG1YDlYoWPW33LPHnFwI2u8qslkciEhRGCLzekSEbPwurI4sEbDXCY87XmihL6Tl/JbQOk+8WxoqurVuySE7r2uyRpAwD72HwF0fmQrnI1PEL7zMaHAsK8d9+tuehSjkwBF4XwjX8wh3ikmvcndNi2GBcOXwnVvxl/XPs5kp84Kzvrw5esL7m+P17s1e7VmKwOsV5HUSd14kzlCCldfDx+t8KODqHn0whPe9ZnEvh7+j+etERyBkfaJ/Ao7d/e93soaU71vf3d/2bYdzge9x38scUN/lNEGkdq1eAY6YPWfhUN66vx3TO4vUe3Uuka7tr/dYFMyO3Wc1VwoCew6BkPWee0sO7IYOAllv9s15+csPVYVv9pgjve7/A4LtDFX/V0x6AAAAAElFTkSuQmCC">
          <a:extLst>
            <a:ext uri="{FF2B5EF4-FFF2-40B4-BE49-F238E27FC236}">
              <a16:creationId xmlns:a16="http://schemas.microsoft.com/office/drawing/2014/main" id="{E833224C-A395-4F9C-B0DC-6FA8FC4ED76A}"/>
            </a:ext>
          </a:extLst>
        </xdr:cNvPr>
        <xdr:cNvSpPr>
          <a:spLocks noChangeAspect="1" noChangeArrowheads="1"/>
        </xdr:cNvSpPr>
      </xdr:nvSpPr>
      <xdr:spPr>
        <a:xfrm>
          <a:off x="3613150" y="136309100"/>
          <a:ext cx="304800" cy="30352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539</xdr:row>
      <xdr:rowOff>0</xdr:rowOff>
    </xdr:from>
    <xdr:to>
      <xdr:col>10</xdr:col>
      <xdr:colOff>304800</xdr:colOff>
      <xdr:row>539</xdr:row>
      <xdr:rowOff>302623</xdr:rowOff>
    </xdr:to>
    <xdr:sp macro="" textlink="">
      <xdr:nvSpPr>
        <xdr:cNvPr id="4" name="AutoShape 2" descr="data:image/png;base64,iVBORw0KGgoAAAANSUhEUgAAAesAAAGFCAYAAADdDduLAAAAAXNSR0IArs4c6QAAIABJREFUeF7s3QeYXVW1B/B1U0hIIQkJvQrSQZEiIKCIFQVR7AUbDxRUxILtKYICImAHVBBFUJ+KiAVBlCYCokgXEJDeQxLSSE/um9+ec8LNMBMmMyFOMmt/3yQz956zz97/c+/5r74acepdX40ciUAikAgkAolAItBnEWjED+5u9tnV5cISgUQgEUgEEoFEIJKs80OQCCQCnSIweEAj1h8xKO6eOjdqiX7TUYPj7qnzYl4zZfz82CQCyxKBTsn6oM1Hxpl3To9Z8/vmF/I16w2LO6bMjf9MnbtYrBoRseNqQ8ox/3h8drdxHdCI2G2NobHn2isvPOeJ2fPj1H9Pi5k9wOSzzx8dX7lxcrevnwcmAn0BgbFDBsTXdhobx980JW6dPCe2HD04vrjdmDjg8gkxfd6CvrDEXEMi0G8Q6JSsr9l37Xj5BY/GlDl98wv5nV3Gxnn3z4gLH5q52BuFdA/ZYpWiFZx869Ru31QaxWFbrRLv3HhE3DVtXjlv+3ErxXdvmxZfvWnJSfdNzxkev7rnyW5fPw9MBPoCAmOGDIgzX7xa3DBpTnzxuifiqzuuWgj7jRePL4L8akMHxovXHBo3PTEn7pzSLjjvvd6wGDKwEY/Pmh9XPjYryLa7rjE0Vh0yIFYa0IiLH55ZzvEd+5fzps6NBX1TJ+gLtyDXkAgsRKDbZL3WsIFxxAvGFNIyDrpiQjwyY37ss/6wWG/4oNh59SHlC/q+yyfE3AXN2GSVwXH0DmPiOSMHxWn/nhY/uWt6zJzXjIv2WjP+/NCseP7YleKn/5ker99gWPnd+OAVE+LhGfPjtesNK+fRiifOmh/vuOzxRW5ZZ2Q9YvCA+J/NRsY7Nh5ejj3m+snx+wdmFLLeaszgGLPSwBg+qBGfumZS3DZ5bmw9ZqX44YvHlWMvfXhWfPNfU+KRmfPL3x4kB202MjysfnjH9PLab1+xejzw5Px4yyXj43XrD4tBjYhf3vNkfGm7MfGLe56MW56YEx/ZapV4y3OGx2WPzIoHps8r2rwH3SWvWSv2PP+R/NglAssVAgMbUT7rH99mVLG0sbh9/ton4k8PzozVVh4YF7xyjVhz2KAi1H/wygmFkL+189g4+94Zsc96K8cP7yDcTokzX7JavGj1obHyoEacdOvU8sz400MzY+sxg4u16qKHZyZhL1efjFzsfwOBbpP1ES8YHduNHRKf+eek+OZOY+OSh2fG/939ZJz4wlULgT/45PzYduxK8dZLx8eVj82OY7YfE7utOTT+PXluvHjNIfGFa5+IM/8zPWa8Z8PyRfX7TqsNic1HDY6P/31SnPSisXH5o7PirP9MLxL8C1cbEvdNmxs7rDYkVjnzvmck673WXTmO2WHVOOLaJ+LFaw2NMSsNiA9cOSE+9/zR8dE2Er118tzYYMSg+O5tU+Nbt0yNR96xfpx2+7T480MzC8l/55apccVjsxaS9Ue2XCX2WGtoXDW+3Xz+wc1HxrE3TI4f3Tk9Dth0RCH079w6Nc56yWrlATRp9vy44Q3rxo2T5sSjM+fHRiMHxYevmljmnLz/BjH6rEX38N+42XnNRGBJESCUHrT5KnH8C8fEh6+aFD+9a3oRxh9++3rF6vSGi8bHkS8YHX99bFaMXmlAPGfk4Djquifi1euuHK9ad1h8+KoJ8ZtXrBFfv3lqXDdxdvz7Te3fkX3//Fi8bO2V4/ZuuLOWdM15fCKwIiLQbbJmUh45eEDwA/9kj9UKce/0u4fjhBeuGtdMmB1fu3lKnLTL2Ji5oBnf+tfUuGqfteLjV0+KX937ZPzvtqNjzZUHxmFXT4yJ79ogPnb1xEJ6i865emwxenC89PxH4rgdV40rH50VJ982Ne5487qx6dkPPiNZW9ewQY1igvvkNqPisK1GxYgz7y1kvc2qK8VbLxkfH9h8ZDHJffTqiTFtbjNGDW7EC8YNiW/uPDa+fvOUognUmvXh24yKz207KngCRgxqxBl3Ti/rn7sgOiXrNYcNjNN3Xy3G/eS+cg1kj8STrFfEr03/2tN7NhkRp+22Wrzt0vHx63vb3TnT3rNBPD5zQRG6d19jaJxy29S44MEZ8altRsXIlQbG/s8dHr+7f0YRWH/1stXjc/98Im5iTt9udHzmeaMLSR953RNFcJ8xL+3g/esTlbvtCQLdJmua7tHbj4kJs+cX3xOzFrL+0JYj44rHZhcfMoJab8Sg+PYti5I1zZWv6/B/TIq73rJebPiLB8pad1p9SBy3w6pFE/V1pWkj63c/d0QhOebk7pI1U/yR242ODUcOLiboNz5neIw68944dMtRhcSPvXFyvGKdlWPf9YfFF657It64wfD47Laj46+Pzipmcv7oVrK2ZmbA8x+YGV/badW4a+rccp64mgM3G1lMevbJxMeE3krWXACO8bBKsu7JxzLP6UsIdEXWrGmE9FErDYg/Pjgz3rDBsDhquzHFbSUg8y0bDV9I1qxngkJZvD637ehiOXvuKqxqE0s8Rw/iNvsSRLmWROBZR6BLsj7s6kkxnRoZEZNmLyhaKVL70FUT47CtR8W7Nh5RyPobO60aU+cuiO//e1p88QVj4pJHZhZT2WWvWauYyUnOJ+w4ppiTP3PNomSNBAuxXTEhDtuav3dEt8maWfuqymw9e34zNhk1OI7ZYUwc+reJJd3k2zuPjVV/cl/87/NHx17rDSvXfsMGw2OlgRGfveaJmLj/BnHcjZPLWh3787uf7JSsacf7bjAsvrDt6DjgrxOKOZ1Zncmfts0E+Im/Tyrk/btXrBFvv/TxspbXrrtyHHX95CTrZ/0jnBd4thHojKxZ114wdkiccNPk2HLMSnHuvU/Gh7dcJd5ePRf223B4rDZ0wNPIevc1hxaftXiVT2wzKn5734w4974n02f9bN/EnH+5R6BLsp4zPxbmUpKa/z15Thy4+Spx+5Q5xRz+mnWHFbL+9PNGFTMzzXidYQNjnz8/FvdPnxcf23pUCbby+gNPzisBX39/fHbc89anNOs3P2d4CeS6+Yk5IUCMD6u7mvVL1hoaT8xuFyZc7/ibp5Rgr2lzF8TkOQvifZuMiFFn3Rcf33pUiMaeNa9ZtF9RrefcOyO+s/OqsdWYleJv42eHuQS6dKZZI+tVBg+I03YfVwJpDr5yQgmAk8Jy97S58bwxK8W7//J4SSO7fO+1Y8TgRtz6xNyyDpp3atbL/Xek32/gVeuuHJ/YelR8+YbJxRJl+E584QWjY/txQ8r34Jv/mhorDYgSN+J7PnJwIx56cl6cdOu0OHK7McVM/uCT88p3Z//njoh/T5lbXGr/d/f0uH3yU3nc/R7sBCAR6AKBTsn6leusXCI763HPtHklzYLpao2VBxbtUrT2dRPmxPs2HVGCywRYyUEWsCUVQ7DJLqsPKSayfz0xt3w55y1oFqn69/fPKFMzT++y+tAigd/yxNzYYOSgErgmSOXxmfNj/Kz2yPA/PNB+fD08IDZZZdDCv6fObb+u6NLNRg2Oe6fPi7WHDSrSPlPb2KEDivlNUBjyZCmQQ8osPmVuM2bNWxD3TZ8Xd1dpWnzpG7UFyjQasTAl5XmrrhQi4i98cGYRLOyN6c4D6prHZxdf+carDC74EGZ2XWNInHHH9HK9N244PM6pfH35SUwEljcEfJfXGT6ouJdY0eoxfJCAskHx2Mz5MWFWuytr87ZcbPVSZHUQXB+dMb9Yuri6WMC40DZeZVAMbDQWOW95wyTXmwgsawR6VcGMnxhZi+LmX+7Pg5Dw0z1WKxAgc8E0gmqeqXBLf8Ys954IJAKJQCLQPQR6Rda05h3GDol7ps9dqJV277Ir3lG08RetPiReu/7wmDpnQfzxwRklRSULPqx49zp3lAgkAonAskagV2S9rBeb10sEEoFEIBFIBPojAknW/fGu554TgUQgEUgEnjUEBE+uO2JQzJ3fjCfmLCjxGsY6wwaVWCjBlvUQHzZ88ICYNqc9ONoQzzV26MBS9VMapNM7Jeu91x8W46oAM+eK1r550pwuNybgS4CJIK2lNQRqCeK65OFZiwS1tM7P7FxXGHum6yovukNVKtWxNi8oTeDLkgzmbulm/le2tOMQaCao7cm5C0qgW45EIBFIBBKB/oXA+zcdWUr1Csg8994ZxS36vLErxUe3HFXSh3985/QSaC1wWU2P9YcPijumzi11CwR0ymDacdyQeHjGvDj19mklBqrL1C1VhRQWGjqwEZNmzS8FQW6Y2Dlhf2XHVeOfj89eqhHP8jG/u+u4eMOfHyvF/jsbF++1Zrzsgke79Sn41PNGxfs2HVmiVI01hg4sAH7yH5O6dX59kEIpz191pRjQaMQ/Jzy9kxcpyXWkk52dzTuWCNs8OBFIBBKB5R0BZar/vNda8f3bphb+HDywEd+7bWqp5DlxVrsS9/aNh8cHrpgQ+28yomQeXf7IrELQx900uSiDiF7viZesObQEcJ9w85SuyfrDf5sY0+c2S4rTwVusUrRmbR7lTmsduaDZjIsfnlVyk1vJWt71duOGFPVdsQNFD5T/vHr87Dhky1WKhn79xNmhaALpQmeezkYrWUsPEcyG/PZaz7V1wRpSSon+4f4ZRUi4buKcOHiLkbHu8EElXUQ+dW1SMD+yXnlgI351b3sa2Js2HBZv2HB4bHvuQ6WZiBzqSx+ZVaqqbbvqSvHTu56Ml641NDYeOagUOXFNhVWYM1669sqluhmt/uDNR5b9GifcNKXknCJrOee0bGksBIK+2m50ef9i5PoTgUQgEehLCOA26bofumpCSed920bDiwVXU6nX/fmxUg3zB7uPi388PqekSF87YXapAHjsDmMKD0lhlhb5jkvHF47DwZ+/7omuybpukYmUqOkW8Jv7ZsShW64SB/z18XjhakMLcb7qj48uJOu5zWb8aPfVYq8LH419NxgeqwxuxEf+NjHOffkaxQY/YtCA2HrVwcV8THNH2sfcMLnkPXccrWQtH3r1lQfEkddNLtXDmLCZob+8/Zj4v7ueLJKH1Km1hw0stYu9vt/F44t2Ww9krXjLFY+2a8PyoAkAGgroNy1XlOChTKmmIJ/6x6RS/ez1Gw4reeTyRw++cmIxXdSNPKxDly/9fg/YbGTcPXVuKRwBYJ3ESFF7rj00nnv2gyVCPEcikAgkAonAio2A1F39JJjAP7D5KrHnWkOLMinNWSExvKAxlmwhLWPVJ9lwxOA49+WrFw5SqEu/Cn5vSq/mWZTabtUGf+8mI+K9m44sDTjunDqv+GOp6d/eZWwcevXE2Hn1ocUMrhY2tX92W1celcnY7T/6t4mlxd5FD82MM+6cVrpd6cCF6Nqlj4mlsf2SkrXypre/ad3Y/JwHi9ZLqDBWHzqwNA5QhOU9f3mqtSayPmb7VWNBKd0QpXXlEf98ovTE7oqs1TkmVBx5/ROl5rFCK++7/PGFZG0NgwZE0Zp/sNu4eM16w2LLcx4sZVdp9SwRV+6zdmmP2Vd7g6/YX5vcXSKQCCQCyx4ByuR7NxkZX9pudBxdKaQn7rTqImT9zwlz4jf3PVkUTeV76XOvuOCReMfGI4pS+vv7Z8Zr11u5NLTSqvkZyVrkGtJ9+0bDSy9ozTpeuc6wOP2OaYHEP/b3SbHDuCGFrM9/cEb89uVrlKpGFz08q+Qd63D10a1GlT64ej5PefcG8Rl+4kajmAcOuWpied0gkQweEKWMKM1aFy+N7lVUozXzm+umpUWfMqCagmz8ywdKdJ3OP6SRWybPKQ1BSDJvu2T8Ipq1ebXFvHm/dYIy/6LfPRxzFjQLWU+cPT9+cPu0eNtGI4o2TLPWjOP+J+cV7R1ob9loRPzPXycsJGvCySkvGhdrrDygCAevXndYbHr2A4v4rK/Zd+2orRTL/iOTV0wEEoFEIBFY1gi8daPh8Z1dxsZxN06Jr/9rSrE0f3vnVWP3PzxSrLhM3n99dHbhKzynFS1rMDfrd140NkYOGhDvvGx8UWj15DjupsX4rN93+YSixrOpI2ia4c1PzC2dtzb71YOFPC/aa81FyHrkSo04dddxMfSMe2OvdYeVBS0JWWtLyY/MzL7jakNivw2Gx4f+NrF0ytpvw2Gl7zWJ4/qJcxaS9RsvfqyQO7844lU17IJXrVlKlXZF1oSJq/ZZOz7x94nxs7ueLGS9zZjBceLNU0rN78dnzS9kTZvWoIOZ29oE3GkUUpvBYaNJyLsuezxevObQOP6FqyZZL+tvRV4vEUgEEoE+hIDKnue/co24e/q8wim4c/6CiO/tNjb+cP/M0tf91N3GxQevnBDbjFmpBJuprX/P9Hmlnr6YJ67Yr940JV6x9sqFj7hXu9Ssx89aUGp503aHtQVKCdiaMGtBnLLr2DjjjmklBwzrH3Pj5IWaNSc6df7o69s78UiVcl53NWupWjbBrKyG8HkPzCiSCc391N3GFhs/IM76z/T2XtF7r1VM0/ze6hBr23nZozNL5x/+aiRaD2bwWrP2mqYfu605tPS5RrSf33Z0idLbavTguPyxWYWsD99Gx66VS3DA5qMGl65b/OM1WT82qz1oQHCA0HstAVOz7kPfmlxKIpAIJALLGAExXnihHgLIKHwvXH1IfGiLVQq3/f7+J0sQs4BswdL1+OYtU0pk+Nd3HhsbjhhUiP4rN02Oix+a2TlZM2+vNay9UQa1XJ71Px6fXU589borl9Slh2bML85vDT40uHhkxvzSUF4nLZrrw0/Oj2nzFhQtWL7YXx6dVXKxdcG67JGZxXOM0DXG8LrB3y2YTE60a/32/hlF0jDY8XXy4Qv+z9R5JYKO9PH8sUOK810Nbk0/hgxolJ7bItlbG4DsvPqQ0nmLr9oQrf26DQTNPVmuxRKgocjjsxbEzPkLSvQ6839JXZu9oPi6NeZggpcbJ3XrtslzyjXlVTv++asOLq1CvT9l7oL49+S5xVWgVWidFL+MPzd5uUQgEUgEEoFliACFUkR3PfCL4OMn5zWLi3bggEZp7zx8UHvzp1V0g6rGvdPmlYIpqw0dGJuNHhwTZ80vpbzxR1Yw6+ImMnEjaylrmS+9DD/pealEIBFIBBKBpyGQZN3Fh0Kq2YvWGFq06us6KX6Sn6VEIBFIBBKBRGBZIdC44OLL2nOZciyKQCNiQMl0i1IAJkcikAgkAolAIvDfQqBx6aWXJhP9t9DP6yYCiUAikAgkAt1AoFOynjhxYsyb1x7YNWDAgBg5cmQMHTo0Jk+eHLNnL1oPe+WVVy7HOH6VVVYpv0+fPj3mzp0bY8aMiWnTpsWMGe0lPo0RI0bE8OHDF1nahAkTYsiQIeU6huOdVw/XMHc9pk6dGvPnz49Ro0YtvLY1tw7r9b5hzdZk/pVWWqm8NnPmzHKdsWPHlr/rOUePHh0Nids5EoFEIBFIBBKBPoJAp2R9yimnxEMPPVSWiESf97znxe677x5//vOf4+abb15k6TvssEMh33vuuSfe+ta3BrJz3P333x8HHHBA/PGPf4y//vWvC8/ZZJNN4g1veMNCIn3sscfizDPPDIT84Q9/uBx39dVXx+9///uF56y55prx6le/OpyLxM8777yyvgMPPLDM8/jjj8c3v/nNRdZlzdZDaDCfNbzuda+Lrbfeuhx3zTXXxJVXXhnvfe97y5p//etfF8J+29veVgSTHIlAIpAIJAKJQF9BoFOy/uAHPxi77LJL0UKfeOKJ+Oc//1mID+nRRGtt1CY23njjuPHGGwuBfv7znw/k/aMf/aiQ+je+8Y343ve+V+bYcMMNy54R+Utf+tLYf//9y9+/+93v4rLLLosbbrghfvKTn8Taa68d5557brlmTawIf7311oujjz66XOvss88u/3/xi18s10Oyf/jDH8o1CQ0vfvGLi4Cx6667xqRJk+LUU0+N6667Lvbee+94y1veUsjYen/wgx8Uwn/ta18bxx9/fNDwzdlR8+8rNyvXkQgkAolAItA/EeiSrL/2ta8V0nrkkUfi61//ejz/+c+Pu+66K97xjncUDbd1nHbaaXHLLbfEOuusEx/72MeKptxK1kh3t912K6dcfvnl8cMf/jAOP/zw2GqrreIrX/lKPOc5z4lLL7009tprr3j9619fyHrBggXxxje+sZyD/C+55JI466yzCinfdtttMWXKlFh33XXjAx/4wMKlIHHzf/KTn4wNNtigvE7Dp3Wvv/76MWvWrHjPe94Ta621Vpx//vmFsGnVhx12WJxxxhlJ1v3zO5C7TgQSgUSgzyPQJVm/7GUvKybw8ePHF6J817veVUzHd955Z3nd4JNmNr7++uuL5otkDz744KLFdkXWzN6HHnpoHHLIIYU0TzzxxEKu5ka03//+98s8N910U7zgBS8o10HSz33uc8txtGHkPm7cuDj99NPjpz/9aZdk3Ww2i3n72muvLUIG0mf23mabbeKCCy6IW2+9teyFdcB6U7Pu85/XXGAikAgkAv0SgS7J+j//+U8BZNiwYbHnnnsW8zENmra96qqrlvf8vtNOOxXT9mabbVb8ySeddFK8+c1v7hZZC/qikTNFCyBzDZq218xTB3ohascIEPv5z38e++yzT9H0CRC04he+8IVlPR01a0FoX/7yl4tJnJ+cYMDMbn0XX3xxsRpstNFGhfBp3YSHNIP3y+9BbjoRSAQSgT6NwDOawVtXf9RRR3VpBkfWfMVM1/zE22677UKfdasZnBBwxBFHFM2aBs4cPXDgwHKZwYMHl/n932oG9x4t+Yorrijk630DGb/kJS+Jz372s52SNWFg3333XRgwZs4tt9wyjjzyyDIXshZ0Rpu/6KKLYscdd0yy7tMf11xcIpAIJAL9E4ElJuvtt9+++IrrQcu+8MILi2aNrP/yl78UMmwlaxo407Mh0pzJnHaLJJ3HrG0wVzNFI03BbbXP2nu0ducKJnMdQzAZbfq3v/1tSQnrqFnTmAWn0cANJn1R5scdd1zcfvvthazf//73F9+1tWyxxRZJ1v3ze5C7TgQSgUSgTyPQKVkfe+yxJVBMOlXrYAYXpd06RFwzTwvo2m677cpbNN3VVlstPv7xj8c555wTf/rTnxaewgwtiIyWyxe+3377LSRrPuRf/epXJRjMD/N7PUSUuz6T9x577FFeRuwi0EWvEw5ox/znyJlJ+4QTTijr4KeuCf/kk08u6yRAyM2mWZvnZz/7WdHeDzrooKftu0/fwVxcIpAIJAKJwAqPQKdkLepbqlVtnq5ReOCBB4pm2zpEUw8aNKgQXF24RBCZoiPmePTRRwsp1mP11VcvBMpULqIbedcBa3PmzIl77723mLnN1ZoiVr8n57q1QAr/tvnM6zrWV8/Z+l59fdq49dLE5WA7z5C37W9af8d9r/CfgtxgIpAIJAKJQJ9GIMuN9unbk4tLBBKBRCARSAQiGpdddtnJCUQikAgkAolAIpAI9F0EGs1msz0UO0cikAgkAolAIpAI9EkEuupYMSIiahJfEBGzImJuD3cwKCL86ADSmw5f1mpN7R1Glnyo5NJa9HuOfh5LOI1uIos67Rc/gfXqHAK/nuwdbvLUWtdpTnt5qjvKomsQFdhxXwOqc9wD3VKmLOG+8/BEIBFIBFZgBJq6Ps1vf1Y3OnBM0/PTc3N2RMOzvBrlHM/1mRGNih+bulQNimgs5hnbXCWiMTWiKMo4yXO+Hq4/O6LpuT+s4l2vLeiKrI/UcEsr54pkb4yIv0XEEz24W5tFhO4ZF/WSJACjZukferAGp7wmIl4mC6w6/+FqTXcvwXyHt9WCOWEJjt8oIoSu/yQiCAdLOuS77RIRp7acuFZEvCgizq3uT+uchKx3Vse3Cgeq2MDu0og4qS3r7T1LupA8PhFIBBKBFROBJl54d0RM1q6ijSf+GtGontdNHPnyiJD/e2v1LMchz4+I/6kUowsi4i9tlbHVuH5HRKwZEV+PaODNDqOpScbnIhoHRTTlQGuSsXnLQb9ou94Vbdd6S0TsrmK2Ip5tz/U7uyLraypSor1h/p2kQbdN+vMe3CxJ0a+KiO9ExKM9OL8+RUFyrbVe28M5PhUR67WR34XV+UBT+sxN6u54ZRtRPpWH9sxn7RgRB7UJOR9djCa8uFnghnxb10hoIQTc0Im27gP0vxHx1g7vkfY2bvsg3VGtgyCWIxFIBBKBfo5AcwdNGBXArKyYOO9/Ixr3tgNTyBUZe94i44sjQuvJU6pzWFvHRcQZbfz2wUohpeQ69hURjQlPAdxcrVKWXhPRGBnRXKd6VuM27+1dzeH8Y9sUvcsiwnsUs28sjqxJE7UqL1HZxKe1Mf37q8WdV02G8EgmTLNMxN+u1PrXVxIDacVCkDWi3aIyC9s0Tc98TLcqo/yr2vSWEfEG5ccj4pE2E8TX2oj29Dbp5aVt1/h4RDzW1knz1SqeRsQDbcd9KyKc45r2xJwBzFaTNbJmGbAHg4nhqojYuZqL5umm/aZ6/wsR8Xi1Bjfylra5j2qzOHypInkmDBIQScr/zCOuYdzTZk34VUSs30LWcsTae4BGkLj0ANVM25ppy+MrYYgkVY/OyNp9oK3/X0XirBZqw1oDkiaREWr+ERFvb/vAXNkuKRbsCBowYGKRFK/4uv26do5EIBFIBPoZAk2aLa2ZUuR5TTH6YUTjpoqs8c3B1TP/FZWF8sm2Z+YhEY1REU28xdqKUHECTkPwf27nlgaSr0YTd3hGr91O1q2j6Rofqggb97GGmtfznHL25e6QNVJD1k5GSLRjJPimNtbXRYMqTyJAHtpknViZ0J1DMmB+psmRTg4kIVQaLlMBAv9BRFxfae6I+9fVZm2cNg+849rIbfvq/C+2SyzBfE36scFPVuccVpE64YE5oVUL7kjWhAaChfXQSJExKwDi+m5l8uAOcAMJDPZ6VyW0HFARnvUzUTAtf66SuNycbSPCzUbatWbtZiJNxMpSgcz5KsxxRCVsMK/4e3FkjWDt9+uV4GJYBeXJAAAgAElEQVSfoyPivkqac71PV+t0owkYfNhesx/CjfV5HVGf0zbf9H72Dc3tJgKJQCJAc6YVU5pwCa6hBB7VQtY4goa8RUSTksQ0zeR9TERMqriNxfLYiMbEiKbzP1H5uF+1qO+6SbGjFO6/KFk3WXzxiOcxxXONFqXz6MoV/anFkTX1nobqQU9a+HelQSM12hkSQ16OWbtNs/5KRaY0SNq0IS2MNm2DNFpkb4M2Q1r4fguJXNdGmG+utMxfVuZa5AlApIfUaYz7VeBaA4EBIdEq+ROYqUlC+1R+XaRWD2SNzOu1IU3gEDashVZt7cwXH6mIlb8YqbsOzZ7fnmbbGVlbD41/07Y9HtomQd1WSVc1WbshNPXnteHwmWo//rbG11Xa8tvaBIOnen62uw86msFrsnZzYYp0CQZMM65dm8HhxAzvWs9twfnBtuvBGtkTjJY0yC6/4olAIpAIrGAINPEIzddz/tvtQV5GszOypkTiNvFTFCVkf0CbH/rhiOb7Koul5/ZuEQ08UI0m67Pn/Wc6kDVl95B2H7g5ynXNScFC/t67anFkvVeLGZwNHeE6iWZGA+SAp+ojH2Zu2i9tGrkhZCb071XaKtIhjdCCBUcJuKJZI2vkikgJA6QcTnvnev3qylxNm0fUfoBBQ7cW5mm+WOSjDirJhyBg7QBwvVayZhFwMwoabVo1/y8CFwSH7A3rcBNYBWjzzMwEBsICoaArsiZYuNl/r/ZPw2ZNqMma9szUQbsmCNHGkTtiZ5GoBRP7r8fiyBrWiJrPxTrtm4WiO2QNN/eQ0JEjEUgEEoF+jECT9ZdlGDF/UeR1C8F2RtbctriFmxaPcW8iZVZonEhL/2q7W7fx40WBbbLAfrYDWf+wynL6WETjyYgmEzlSZ6LHcxdGNEqkW2eDltnqs3YM0y3/KrOrxTA1M70yIXcka35XkckIjj+g9qvSLvmCmWGRWE3WbPM0w49ViwEW6QXx2TTtD1GTZj5f+bNpxTRu5Ntdsm71WbsUskb+5mcORtq0a5HriyNrhApQkYNupj2dXwkObpgbSTJrJWuY0XzdYCTL598dsrY+gQuGdfLNu5HmeEklsPBH84X8sbIqIHJWhs40a8IWM4ugt0uqn378Rc2tJwKJQP9FoEkzpkhS1rRvrK2/ntPqZFOi8Jhnvucsy6vYKsdy2wogo1hSwlhgPfMFYlNImbTx1JCIRpVJ1SlZ/6iKnxKkJm3Mc9u5OIm7lGI1qSuydgGsXqc51fcSUSJtGtyulaaIrPmzES8NkckVgfL7IlNaJHMvyQOhMNkid3NbCE0QOdNEad20UwAhdto7fzdNHWDmpPVy6guS8mNziNC8gsVE0dGwAcu/XQ/CAY2dsNE6WAyQLbM4shbM5uaRtJinESyHP9M84YHJ39+EGb5e1yT9ECpYAuRVS7niLzcP0/aXKzL3t6A4mjDfvg+DNCrnu0FM1+39PtsHHKxNkJhhTmZ8lgXrdJO9R7rzHgzN+9tKEGD1OL7y59u/D4Dj3SMmfjgRNgRM5EgEEoFEoJ8h0KS0sG7WwzOeIsSti4QpnriHYuTZS/M+L6KJjD1DuYEpPbjG89Q5LMQstObdqt0s3jAngy7r6sERDc/majQ9o38R0bg2opjKzYUr64GzvtQVWXOCI57OCpAgNwRsMXzWSBVB+Z3/l0btPTZ3WiATNsJFqNpoIWa/+x8JIxwkYpF3Vj+i6WxSsBfJBcGZUz6a86zbMez7CE96GSJ2TRIS7dgPCagezOUS11ujrVvfMzehgpZuIGFmbxo007f5L69C6QkJSNx8NGn7sX4maTfU3143H98+P7+Ib4INnzHpjUme9k3wYEUg8MCvikIsayDUiLavB4HHfp0jopzgwErBwlHv1QeGBu41UiPcWlO3WEQIPPZgbYi6Nyl1/ezLndtNBBKBFQeBpue49Kh6eL56XgvsOj6i8VBEE6ch63siGrW7FPGKx/IMvzmiwUrqNbwxNqJR1QMpQWmbRzS4hL2Ph54b0ahTiL2GF+5v175LARaWaLxaD5x1a1dkvSzvBVNy7bNeltddkmsxfZCIEBzfcI5EIBFIBBKBFRaBEnD2p4hGHZDcw502WWvXjGiwqvZq9AWyZv6lMfbl9CH+CxosUzmfb45EIBFIBBKBFRaBok3PWDTYrCebbbI6D4xo9Drrpi+QdU8QyHMSgUQgEUgEEoF+g0CSdb+51bnRRCARSAQSgeUVga7IWkCVgClDQJfIbQFWPel4JfhLsJXzRc71dKhoJrCtJ81EWq8p0Ms6OiuxKX+O+UNg2OJG3YUFHp1FUpuDf7uztbZ0cCmBZj0ZAtEe6mEnr55cL89JBBKBRCARWCYIlI5bMoFkIwlEu1iRlsXlWdfkLH1KBJzwcSlbSzqWViMP0XHC4utc7CVdh+NFR59ZnQiIjkNussCC1sIknV1HhLiCJQhfhHjHIeJaOpUSpR2HiHW506qh1SlZS7oXaXJyuXsiPC3ptfL4RCARSAQSgWWCQKl9IqK87m0hzVYK2G+6UxSFZqzIBo3QBMLKacoaRRjSi6QdcaTTMuVWqw5GC5YaJMVKPpqa114XWU0AEI4udUvovE4n0pBoi37M71xzCKWXFiaHG1mrr+o889KEEaZUKUSs2Efd2tM5HclMHre0NDnSiLkeru18wCBxJT/tUySgNZifsEBjtm81veXS2YfgM8EDNHbrsn/vsUzYixQ0qVNS0OxZAw05zxqZqHZjHzR9RWFYNOwBjoLZpAWYSznUep/WLI9bqlZPemQvk49cXiQRSAQSgURgSREoWrUS0VJ21eCQB46DPtcdsna1uuuWkp6it5EVclakRJS07k7IUQ6ZY5GtAipIrG7QTaOV9qToOc1UTrXcM0U8EBtSRtDKliI0BM+MrHypBHHFO9RJVUSF1lrnCMtRU6QECSsdKq9YHjINvKOp22vedw5SZS3wOwEA8dqTuaVpSSlTyY0gopEH4nRNmrQcOuVM5dbJO3eO34XpK4Ki3CnyRriKx9gfd4JiJfajIpmKN2quK4hCABDarxANUpf3Bz/uB2lthBnnI3ca+c+qEqipWS/pdyGPTwQSgUSgzyLQpBxTbIdHNN4R0VQoi3J2/OLI+tSKJBCvaiv8uLRWhIEE960KfNQVuZQCVVoUafPFOgdBI1Ikp1qZoiEqgdGuJYv7XfK5amEEAVKEhHSEhehvr8ifhorcEbU6rObRdQuJarqB7JjtFU9XwYzWTOtU5aseNGeVxFSeMfwOCNKLPSrVyfzNTI2srcd+ED+TN4KkOfsfASs1p/AITVzxFOVJ1RAnjCBW5yFxa7R3goDfvUazVtJUuprSofaA3JE0YYAAUAsG8KnX6PpSx2jVGnooypIjEUgEEoFEYIVAoGdkjUxok7Q6fZ9pw0pfMtPWGh0yZMJdXCMPJmc/tPC6FzNSRFzIt7WRB4JTFYYGSrN2HKlCd6i6kQdyZDpGmEhOsBXB4pkaedBozaFSWW2mZwnQzALpam5BADE/Db2z2uCImLbvvFay1pRDmToaOvO5vHF7IbQgZuStpJyydUjYNZUHZaHgj1BTlqlDKVeWCXujlcOGJk1QUdKOQOT1JOsV4ouZm0gEEoFEoBWBnpF1x0Yeyq0JnBLcVLXxKqSHeLrTdYvmq3Ul4vVDC2UKbiVr87su37Af9VmZ3fmaa7Jmz6eN0koJD9pq8jk/E1kfXvmgEaZRtzJD1DVZ1wFmzOVLg6zVOWe9sGb1wAk/an93JGskz0/OzG/PBCRWBjXAET0S1y6NWdz/isWnZp3f8kQgEUgEVigEmhQ4SioFzv84BG8c2l2fNThoxUiMGZbJ+BuVmZsZvCNZe9/F1P1GOny2tHNaMh810tbBS7swZI0Y+Yhp6o5zPHO6Otq0VqZh/ZdplszctG/+Xhq+iGu+78WRNb8zPzETO63d4GtHjM4XPGY+zTjUyQbS0iDrumEJd4DgNX5uZm1mdqZ7gWR+R9ZM7twDmqhop0nTtlfWB6SNnGnlzPBcEUnWK9SXNDeTCCQCiQAEmgKKKZXiqXDE6yIaN3RF1hprINKOOcR8qUhPBLRGH1ifNiqIjBn5FRXxaRGGhGiTzLiaVjDdHllpihpXMO3WBdORMtM2oiYECNIS/c1XjZiQnjlp0sznfOfWQiNG8vzM5uMnP63yadNGkbuhqQet3RpEXRsEAgIAgrYn5nRtK2nprAfM1szsCJS2TwCxHvtkArdvvnth9tbAv67TF0Il0PBNy5FDzuZgvta31Dpp9fzTrmedhAYpbrR/WJ1b4eg+0KRZFpxPKJFG53+++wwwy293IpAIJAIrHALN2tV7VURDMHQx0f63x/LQyOO/jVFePxFIBBKBRKAfI9AXyFrvTv2vadc5EoFEIBFIBBKBRKADAn2BrKUsybGW55wjEUgEEoFEIBFIBPogWedNSQQSgUQgEUgEEoHFINAXNOu8QYlAIpAIJAKJQCKwEIFSI7wajVJWuiuyFpUsz9lBdVEUEdw9aaAtZUkhEulXIp17OqxHKHtPm1+I6BYRLmfNEJUtwluRF6Z4tbq7M3T/UrDF/yLdRaXfVJUltc86Naw7c+UxiUAikAgkAolACwJN2U1iuVSuxJvqityxuDxr6UuIWilOJKmClpSiJR1Lq+uWVCeFUeRY92SosW0O+dQGIULu+DEV0d7QzUkVWlfUxP8wUXEMVqqVSf+S0pYjEUgEEoFEIBFYQgSa0pLVIFEOW661FGGK5Le7WxSlbuShZKiCJvKsVR+jbesqpcqY2teqimmOQetU+1t+sWv4X3FyOcXKcNJuFQVxvvKecp7lNyuEIvfYMXKWFQZRJ1w9b/nKannL31Yjm3ZLkFDERA62RHJV1lxPCVT1uFvzxJG1UqHysA3nyutWAU0etlrjOp1Ya910Qx616yigYigRSiNH1gqtuLZiJvasEYfiKvLCcyQCiUAikAgkAkuIwNPKjeI7tTu+1B2y1gVEEQ+qOeLUllLkNgL7cdVpSgETJmUEq/oWsnYRRU900KrJTx1spUaRo6GTlipnam5L/FZUxd+6VyFvxKiJhgItKqL5IXGY0xqQpUYhOlc5ByGfUwkFCocg0Hp0JGuatZaf6oqb7/dVpyuat70y+SNeBVMUJIEVMnatmqyVXUXWhAXtNF9TFUxZwhuUhycCiUAikAgkAj2rDc6/rEIWUkS6yJR/VllPqVYITsMKWizmZ05G0MjcuTRXZIxgadSIXd1TcyG8LatKXMppKqvJfEwooLWfX5GfYzTCUB2Mds0Mrl2m6i6qhO1ZncMcTStHlsqXMiNoqGHuVrLmA6jzubW01KyEqb8mayTMP0BAUamM1s2nTZPXglN1NYTdmRmchUEjENXNciQCiUAikAgkAkuIQM/IWn1sjSNoxf5XixpxIkl/a89IC9XNqjuNPBAjLZTJnA1eOU6+3tZGHrRpxygp6vo07trcXDfyQLj6Z2sEQnOmUV/XjUYeNGsaP5O1wRSPhPnAa7I2r5Km9qw2uL9ZCmjhTOaabWi1mWS9hB/BPDwRSAQSgUTgmRB4GlkL9maJPqI7ZvB69rrrFrMx8y8tm09Y8FlHsmYu579GxoiNL5gpmZZKc2VCt4iarHWl+nfVKGRcpe3qEY2MHUO7R9ZqZTv2LVUPbJq96OvuknWrz7reF82/K7JWH1zzEQSuLSY/uz10JGuYsAKkZv1Mn8V8PxFIBBKBRGAxCDT11BC7JUYKv3Lpnt4VWfPV8kN3TLViBq7TpwSG6RaFePl4mbxpoptWBEuDvb6SCmjKTNnmZEZnxjY307ZGFTp3IWddqbSQJBiQJqSOCT7jmxbc5njmaVHdtF/pXPaA6EVz6wNNE5amJYqONl0PjS+06TyrA0oC5uxJ0w0BbJpq1D52+9Xxyj5o8NYlAO2dlUmf9k3o0CDk/io1jF8+RyKQCCQCiUAi0AMEmviQZVm8FIv0MRGNR7sia0Fd/MBM3R2Hnsv8yjdWHaBonAhVNygR2SK4EScNlMbKbC4cnUmb5okI/c7XLdpaeLpAL3PqiIX4ED7pggaPqEdW10OqCNy6EbauW+bgJ2fSdk1aNnN63eO6Xj9zPQ2db7t18EEzteuohYjlTBtyskW8M//XUd7S0LSwtGdrsA/R4q5vXqb9v/fg7uQpiUAikAgkAolAlwj0hQpm2XUrP6CJQCKQCCQCicBiEOgLZL1XVQlM6lOORCARSAQSgUQgEeiAQF8g67wpiUAikAgkAolAItDHNeu8QYlAIpAIJAKJQCLQA7IWhSZYyhC1LYRcMZPS/WMJh8hvAVkCr6Rz9XQoVGIukd89GYqaqEqmxKlhvsOqnO9rejJhnpMIJAKJQCKQCCxdBJqCtGVJSVMW0/XRiMb9i8uzlnqF3KRHibxWJlRlsSUdfamRR51nLVJcbrRobkVZciQCiUAikAgkAv9lBEprTKnH6ov8X1tWFv7U5+KU7hZFqRt5KEqidCgCp2krdKLUqFQrpUR1ntLSS6qWYiJSqaRFKcWpkYfUKBq7lDBE6Xzz6WBVVypTeMQxzleylGavUhptX+6ZkqQqqGlHKWUMAbumc5QYtSfpYVppWk896trg8rm/VJVP9Zprm0vamVxp6WOGnG1FWaSN2aM0MUKL36WdafwhXU16Gi1drrkgOeleJCPrly+nvrn3pLMpDqOAjOppUsyknamg9niVVy79S6GXHIlAIpAIJAL9DoGnVTBTt0N3yCO7Q9a6aSFIJIOgnleV7USUcqSVD1UkhCkZQX20Iu6PVUTqPOT8y0qtR1rITF4z8lekRD41AlbW8+tVkRLzIjPXU3NcMw+1wNUgR/oEAUS+Q1V6VHEWtcAVKlFNTJcuxN9K1s6TM21exE/AQLYIk2CAdOWXS0Q3j1xvAoDSpgrFKKxCyCCsMOkfV1VWsz/10gklH6mEF/XJkTchxI91H1kVh7EGFWpITIgaDnCSK35iNVe/+5jmhhOBRCAR6N8I9Kw2OA1TERFaKhJRhYwWTNvUBEPTDMRLy+ST1g2LFECbVYYU+SgRqpY3wtWZSuET/m+aOpJURk2TbQSNHBE9IYBWrBgKjZRfWQEWZnjz7V+ROa0WOXr/DxXhq6rGrK1SGkK0playRtAInlXAuggNBAGSi3XVLTKRckeyvqCqC45kCSfMEz+r5tHnW7EUmjoBSHMQmFkzoUVhFf4HWjmyd22meATOB0/IQfiEor9VfvT+/ZnN3ScCiUAi0O8Q6BlZMxUjXZ23ECczsY5SdSMPryNVr3enkQd/Nw2WBqz0aGeNPASQ6XTFdOx/2ioidf26kYdGH8qSao2J+BB2d2uDj6o0fFq6gDftOJG7UqLI3yCIKGvakawJBKqVaQNKSNFzW+lTAsJJ1XzKryJx62dS977jmfDVF9cIBUkjcv+rk04QYWqnfcP33krj7ncf09xwIpAIJAL9G4GnkTVlFFd8sTtm8Bo7dbGVGj2jIk9mambezhp5ICN1uGnOtOidK4JGcJpjIOUPddJ1S1crpmomZhonLd7xtPWarNXifltlrkZ0Zy4BWdcBZtaDfJm3kT2Cphm7NuFDV7CarJVI1TjEWvixP18RK5N7d8harXIYsSy47glV3XJm8iTr/v3NzN0nAolAItCCQAkww7VaSnOTvqiy4H6vK7LWW1p9cITbOn5aaaFMwhpcMIXXZI1UmXcFa9E0BYXx8yJoWqZgMlqoAC/n1MT5iUp7Zl5mBmZKp40yUQv+8r/gLn5dYew/rAiW1q/Zh2NoulKy9qgIkFBBi+c/rgdidM3Tqxdcyx4RrrmZwYHEdH5OVaPc/+tW1gVBbPbHny3QTBqb9zUCObnyj2tkgvxp6ebn46c1WyNTOWHEOq2buZ/ZXJMQbTdp1gQbezVvjkQgEUgEEoF+h0ATZ7D4amqlq+THIxoPdUXW2kYiRj7rjoOWqY0lQmd+1iBDIwu/I2p+aX5X5mu5zSKc9ZHmA6fJMp/7na+bH1w3LYFqjhekpisXH64WnEzCD1Zk5no0Uz5063YMc7NANQFfgsbMwTTPN0x7R7D14DcWhV2buwWXIV9BaMjU3IQKpG3fTPtIn4bvWFHaTO9I1u8EGUFxhBH7oZ0jcURsXXzySNiPeQkvCJzVwBrM47y3tq37tCq4DX7m7NhspN99XHPDiUAikAgkAk8h0BfKja5ojTwIDkiZwIDoCT78770pCJOf2UQgEUgEEoF+jACy5of9bw6mX/5jKUwryqBt641Ny/5jpeGzJORIBBKBRCARSASWGAFkzVybIxFIBBKBvofAO+Oz8WTcGb8pwTY5EoF+i0BfMIP3W/Bz44lAIvAMCBwVX4i58bM4OuM48rPSvxHojKwFSYnG5nuthyIiFy4GKsFcfLITujhGFLjAL3nT9RAR/rKWv0V0qx7W0yGCTuUyAWeC0no7RKFL47KuHIlAIvDfQOCTMTxOLPUeciQCzyYCoq/xk2wfHNI66kwdmTxSeOvhHJ9N59RBweKTFORS6KurIUtJ+W2B2qpyyjiqh6BoQdaCjWVbCVYWnDy9M7KWV+xCLljX+1YkREEPx4vsNkR1+xvpqhgm3Ujes9fUBjf4aaU4SVuSn4z066FymJQp8xjKmh7bFu0tL7njHN63FvO5vohwP/Xwng2rbqY2txxpr9WjXmu9X+uzrtqP7O96zY61Fvt1LaA6tt53fV59vDn91Pvo+hblO4lAIpAIJAJ9CQGZQLJ/ZAoZ6m0oRKIQl+F95Kn/BQ5QkdLfAqMpiJ79Cmwd1UbcaoAgX4PiqXhXK0/hDDzoOOdK88W1Mp+8h3e8J735qmpdrmk9py3ODO4kuclqcNdkatK9qgYVX63Sl+QOI2s5xQqFKNmpIpihuAhJoSuylvJVSyA6jDgXKNLBFA1RgtO5KpUhcvOJrha0RdNXLIWwIPpaZbW1qprbUqsOqdZgj4QCqVISzIGvbCqJRX60muAkGKldrAkKuZB4lAJ17jcqSUsOtrQ0Upc8ckVhrNVrQFe0RWW2HIlAIpAIJALLBwJ4Tq0P3EaDVpKagnZTtXwFuHAPEsZ9qljiAPyiIqZgYoWupCt7Dy/qMaHGiHTgVsusmhy6aSFqP61Dpy0FvqQHS4+mfBIM1O5Q7fOIJSFr5KTwCQkE8flRy5uJG1nXJEbCsHgmbtqtUpuKqXSmWTOfq4hmAEywm7k0yPAebVWd7VdU5gbEDyC5yDbif0VEaNOuBQBFVZC+PGwlTv2N8BVy0UhDlTI50ohbow5kbR9uTk3myB3o8LE+JglFXWjVaplzFQBXSdZ/Ve/LnRYBniMRSAQSgURg+UCAouWHZRhnURIpbDVZf7viHwqkoltIndat37QfBI+kNWDCAVynyBaZU/DuaYEBr+A1xN9K1n5Xa0RFUOfhQRq1Nfib8njUkpA1+/wrK/Kl2ptchKZiJQhWJTBlRm1YERAL4vtmn0eSnZE1wnWsAQyaLr+AUms2Jp3rK1WBEtXHVPyiZfMLnFJp1bp20eRtCOF7XbMOGjdt3zl1bXESEg2e38ENIfWQooCqd7e1I1zdv0hYAEPWBBVmCpq3sqFKpdLqYeJ317JXUlCORCARSAQSgeULAc94HEXppITVZvDOyJpVl3WV4loXzMJllEC8gQdYpPGJYln1oCGr/ImTWsmaAICbKJYqWhraKxMcNJXSw+JHS0LWWk6SQJCTlpYmoPq3kjWSZA5m06cV605Fa/XTGVkjSeYCAzGrJob4kDVTtwpmgsZIKoiX+dqG/Y10HYusAaYIiYpktGxVw1QG4/jnN6g1YpJQvT5NM5gwkDH/uUABALIE0N5rsrYWeyZB8UPwVbAc8L9bD9O//5niNRnJkQgkAolAIrD8IKArJHenAGmWU8Ws6tEZWeMKfIaMkTLXrBbQte+bIqds9akVX7QioYmUMqKtZE04qPtlsBYzozOHU3RZhCmUk5eUrNnsabV8zaQLF0HWVHWkyWesbSRTAFMxYlwcWbf6rOsNqdeNIJnTleM0J62dRs1HzLzdStaC3/S0RtAABJJN0opJMciXP9pN+FoVQMAqQILRwpKA4Fp+CBhM9kqNImgtOu2LFk6SUqeVBl6TtfWwGrhpSdbLz5czV5oIJAKJQI0AfhHchasoiK1D0DJuqBtZcZXSunEe8zfixjmUN9bVugEH1yvLc+3mrefsjKwpvuKsWJNp65RIwgPLr9dYlYtPtqvRMcCMhsvEzFzNJEx7Zv5mMhYkpvUlszBpwub4dJmml5SsESVi1W5SgBnSNU9nZM0fwKct5N5emDCYEtT01qpSZB8Cp2GbE1D8DjRt5E4qop2zGgBbLfOtK8nG/klA6nYTPNxEGvwBSdb5LU8EEoFEYIVAgOuUqxXX8BmzFmtn7OczlbZNIcUVNF7ZSshVrBJlU0ZRHdDMmosfcBbNmSsYn+FGZm6jK7JG8tyzhAbxUqy9uM0PBfgLiyNrkWx+aMf14Bum+fLd1hf3HomClEFjpc4jytoULkqbP8BCWkuKcqKLzBb23nEo08k/zrRNq+ULt3hNP7xHYECuzBb2QEigKZNKXI8fnK3fOnXZIhWJ1CYAMJMLGGPqEIBmkJaQOC2az5o0w9zOVC4/vO4YplkIoYHGbS/+F/Rmz0if5p0jEUgEEoFEYPlAgL/YTz3qZk7cmwKqKYCe87KeWGEpfvVAvDRrpmq8YHD9CmKu+RGv4Bs8VnONEt+ss/UQJY6/1AehEOI+BF8PGvaf+lMFM+ZzZE2CafVJLB8fqVxlIpAIJAKJwLJCgGbNStwaINaTa4tn2rjSjnty/sJzGpdffjnz9go/zj333PWvvfba3Xbeeee/7L333h0r1Kzw+88NJgKJQCKQCHQPgfPOO2+dnXfeefy4ceOYx3s8brrpppGTJk0auscee/S6UVXjkksuUWgkRyKQCCQCiUAikAj0UQQal156qQ/yW+kAACAASURBVGCrHIlAIpAIJAKJQCLQRxFIsu6jNyaXlQgkAolAIpAI1Ah0Staf+tSn4q676iYiEdtuu2184AMfiHvuuSdOO+20eOKJkvZVxgYbbBA777xz/O1vf4v7728vRjZo0KB4xSteEf/zP+qKRDz00ENx9NFHx6hRo+K441QSjbjwwgvjiiuuiIMOOijWW2+9uOCCC+L3v/99nHKK7LAciUAikAgkAolAIrBYsv7gBz9YCHillVaKJ598shDxnnvuGRtuuGGcf/75scUWW8TAge1NqEaPHl3I2THrrLNODBs2rJxz0UUXxSGHHBIveclL4vLLL48//OEPcc011xSSHjx4cPzud7+Lb33rW3HUUUfFrrvuGr/5zW/i7LPPjp/9TEpZjkQgEUgEEoFEIBF4RrL+3//930K8EydOjDPPPDO22WabQsY33XRTvPGNbywEbQwdOjT+85//FLKmTSPvSZMmxRe/+MU49NBDY/vtty+/08AvvfTSeNnLXhYHHnhgIWvaNK2a1o7Qk6zzg5kIJAKJQCKQCDwdgU7N4DTr1VZbrWjPs2fPLuSLoJH3z3/+8xg7dmw0Gu0p2tttt10h4p/+9KeFwGnjznn88cfjC1+QqhZx0kknxUc+8pG4/fbbi4b9zW9+s5D1+PHj44EHHiia9fTp0+NXv/pVatb5KU0EEoFEIBFIBDog0CVZ81Mj3jlz5sTdd99dTOC04CuvvDI23njjhWbwTTfdNEaOHBm//vWvY/XVV4+VV145Zs2aFTfccEPst99+sWDBgmL69vu8efPi5JNPLn7rf//734XUnUNzdz3aeZrB8zOaCCQCiUAikAgsikCXZP21r30thg8fXgiWFsxMTYv29/7771/8zvW48cYb49prr4199923aN205BNPPDEGDBhQtPHLLrusaOo0b5r0W97ylhg3blwh69e85jUl+Iwp3ZxJ1vkRTQQSgUQgEUgEuknWr371q2PIkCFFS77qqqtKJPdWW21VfNb80HWAGa2a9v33v/89nvvc58aIESNixowZRdPefPPNY9q0aUVrft7zdCGL4qeePHly7LTTToWs3/zmN5fAs09/+tOx5pprJlnnJzQRSAQSgUQgEeiuGfy+++4rhzabzYVBYEiYGXvqVG2r28dznvOc2GWXXYrmTWvmy6ZBI3RathQw/mqmc8MxiHn99dcvxyDr+fPnl9cefvjhJOv8iCYCiUAikAgkAt0h60QpEUgEEoFEIBFIBPoOAlnBrO/ci1xJIpAIJAKJQCLQKQKNW265JWuD54cjEeinCIwfP/5f/XTrue1EYLlCoNHklM6RCCQC/RKBv/zlL3v2y43nphOB5QyBJOvl7IblchOBpYlAo65utDQnzbkSgURgqSPQKVn/9re/jQkTJpSLybVWJ1xRlM7GHXfcUdK76tSs3q5Q048//vGPJY3rRS96UYwZM6a3U3br/L/+9a+xySablOv2dCgAAw/R7dLcciQCfR2BJOu+fodyfcsGgeYqbf2ldoloXNj59ZrrR8RaEY2/P/V+84CImBzROKfltddUx53e9bqbipS8NqLxm5bz9omIiyIaM9tfa0qf2iMi/hLR+I9XOiXr3XffPfzIs5ZOhbiVCFXBrOP48Y9/XN7/xCc+0WtMlSI94ogj4nWve125rjQvXb7UJH+2h8Iv8sGllPV0yDc/66yzSt75wQcf3NNp8rxEYJkhkGS9zKDOC/VpBJrvjojXRzT2e/oym8Mi4lB9qyIan6nI9PqI+G1EDGl7b1JE44SI5tciAuk/FBGbRDTe2QXxXxARoyIaL6rm2rTt+J9GxGsiGo9HNLeNCO0n/6SxZVsLjuMiGrd3StY77rhj6ZqlEMqDDz4Yp59+eumehcB11KI5KiuqiYf3HnnkkdK0w1hllVVKbrYqZqqdqWJGO5d7rbWm/53vXD/1UCBls802i3PPPTde8IIXlJePOeaYQtTvfe97i/aOBJ1LiHB9Frz6Oqqfmc+15YM7jlbuHGs26vNowHLFnV+/5hzlVb02c+bMsvbWOV1/7ty55X2FXxSFcZx1G/Zo/OhHPyqv1Xj06c9nLq7fI5Bk3e8/AglANK+MiK0j4oqIxmsXBaQ5ICKujogtIuLUiMYnIprv98iPaHwnorluRLytImi/axv5WBvdfCUizoxo3NxhvpdHBM12jYjGdhFNhH5URcq00iltPx+LCIGf57f9/6aIQGAXdknWNETVyZC1Bhuvfe1rC1GdcMIJpUmHCmcf+tCHSg9qBIv0NOY444wzCll5DwEiNV23dORCsG9605tKoRTaM23cecZ3vvOdhd266s3pj/3+97+/CA5f/epX45xzzikkqpiKrmCI+ctf/nJpELLlllvGO9/5zkKwhx9+eFmDymgsAgQK12FW/+xnP1uqrZnPsXvttVd8/OMfjw9/+MNFKEDISp6qXa4C23ve855ynFaeOpAh+k9+8pOlEMyxxx5b5jLe/va3x8c+9rEk6/zqL1cIJFkvV7crF/usINA8sM3kfFmb5vzNTshaxyqEOavdLI2s69HkG35XRAyLaHyu/dXm6hHxunYCbyDmltGk0dGgvxoRJ1dkTTNFxj+MiP0iGuOreWjzO0cEjf/4iMatXZL1y1/+8qKpPvroo4VE3/3ud5cSorpvMYcff/zxRdNGxv/6178KmZ166qmFsJHilClTYp999onvf//7heCQ9xprrBHqiPtbl653vOMdC327nZG1RWsUwg+s1jhtGMHr5mUdXlMBbeutty5lTGnTWnASHpAyy4DjmaSRPHKl8RIYfvCDHxSTNyImRBAokLVjaPTmRNpM/Lvttluolc4kz4pAGPjc5z4X//znP+MNb3hDqPZ2wAEHxM0335xk/ax8mXLSZwuBJOtnC9mcd/lCoLlJ52S9kJj5lDuS9f4RsXdEPNyuSSPa5svobhHBZ3xwROPuFnI/qK0J5biI+HZEXN5O1gvnv6IDWTsfUe/apoV/l5bdJVkfeeSRxbRLQ9VBizZN00VwNG7mbT5e5Oy9z3zmM4XYv/3tbxdtWO9qfmdEhtBpwFppms88fN3Ifo89+NA716xpsnvvvXfpxkVDRqxIn9AggEsTEEKEwUyt0cjaa6+9kKxXXXXVOP/88wupGvzSSFcA27333lvM469//euLlm/9yFqTEYRsIN/HHnusmL1ZGr7yla8UQeOVr3xlnHfeeUVAMI9BU1fzPM3gy9dXtL+vNsm6v38Ccv+VJtsDsnZmUwT0WyPi1ojG5S3kK/hsfkTjjGr+Ldu8xF+viHdOmxn9hIr82yO5o9mBrBeS+O4VYX/rGX3WTmHapmUyNSM2HbTuvPPOQtw05Zqs1QdHjhtttFF5f8899yxEr8XmM5E1U/aBBx5YruX8+roXX3xxIcpWsqZR03aZvX/zm/aAuppgCRi1Zs1/zlyvP7fuX7T3WqjYYost4vrrry8/iJ85uyNZu7a1b7PNNk8ja8IMFwDiZoF461vfWrTwJOv88i9PCCRZL093K9f67CGwJJp1k3l7SETjDxFNgVe0X2TPV01jnhjRfH5bANoLWsh6l8o8PjciBlWm9X0jGrctStbxRHXc/W0m+Wsimmu3a9xxepdkTWNlHqZ96mHNR4t4acZIGCkhP2TN/M20/Mtf/rL4f/mkkS+SQ4Y002ciawv++te/Hn/605/KXLR0GjWTt9Qxpml9sWnatPbPf/7zZV2IWctOa6NZu2ZN1iwAiB+x3nPPPUXgsG6+b93Adthhh9LaU/Cc1C1k/Y9//KN0FnvhC19Yrs8/bu8dNevDDjssfv7znxfhxTrMbc4k62fv65QzL30EkqyXPqY54/KIQEeybu5VBZxNq8i0xQzeXIOhNiJOq8zazNn80O+tAsSYW0VcSwliImf6FjA2KiIGtgenxdntPumFqVqVZh00bYWK+MalhFnHJa7VKVmfdNJJRUusI5+RGRIUfPXDH/6wRHUjM0FjyBhhM0MzO++3337Ft4zI+ai1zTR23XXXOO644wrpMhcjSR27ai3aMSK3b7311pDnzZzN/yy/m8n9G9/4Rul5rQ82YcF8TNJXXHFF6fjluLe97W2F5G+55ZZ46UtfWoQNpmqBZogZmVq3dTFpEyL41wkDTOSOcV1aNq1a3jXfOFP/ddddV4LRXFPAmmsxpxNM/I64CRBM7vzj1pcjEejrCCRZ9/U7lOtbNgg0Eeo+EY0fVeTMZH1iRAPZMlOLBt84onFe9ffothzrw9rTtoKpe3obYa9c+atFhX8rIrSnRASbRzROfWofzZUqf7ZjqtFE7GdFNKZHNGneO7RFob+6St+6NqIxe7mpYNZqBl82Ny+vkgis+AgkWa/49zh32BMEmgLHmLSf6gfdk2miaOzStGjOvRrLDVn/4he/KDnaNN0ciUAisHQQSLJeOjjmLCsaAqVi2aNtKVmCwXoxmkzfK0c0Hu3FJOXU5Yase7vRPD8RSASejkCSdX4qEoHlA4Ek6+XjPuUqE4FnBYEk62cF1pw0EVjqCCRZL3VIc8JEYPlBIMl6+blXudL+jUCvyFrBEFHal1wisrx9SL+SA93VkOok8rq3Q2EVUdmivUePHl1KgMp57mqI2ha9rWyqwiqahuRIBPo7AknW/f0TkPvvGQJNVcrU8BYt/tEqPUu6VXv6U8S8iDj2qehxLzWlfzlGbrYmIL9sKzV6eFsaWEsls/h+RGj9uG/Luhx7Yq/IWlcshCnlCUGr+KUimMpjXQ0pVnXVr56BFKVeuZrdSo1Km1IQRR636mOu39lQilTqmWYdmn8omJIjEejvCCRZ9/dPQO5/yRFoquf9qSqPWlnQN0fEl6rULXnUhhSvj0Y0rm3/s7lZRdTHVnXG5Wj7oelK1TLquuFKbkrvMpC7Fpk/6zVZKwLy4he/uJQNlV+MBDXw8PvVV19d8pXlJ+t3rdKXqmdKdSpsIk9bLrPj/C3aW96zuWjfcrcR+7rrrlvqiNfj5JNPLqVHFUORS20oYCLfW7UyhVzkijuf1n3QQQeVWuUKpyhyooiLRiA5EoH+jkCSdX//BOT+lxyB0sJST+ob23KsNfPQuOPnEY0HK2J+VXtd79YWmU1tMMe21RJHxLRurS+3faqndVM+9iEdzpH2pZ74aRGNO3pN1ohTYw9tLZUY1RCDyVlFMKVAkbSynAqcHHLIIaW5BkJF6IquSMU6+uijS9cqhKogyXe/+92iKd92222lQhjT+mWXXbawn/ZHPvKRUsnsVa+CSZS+14aKZchZMw5rqbV95VHNo8oYjVyTEtp5jkSgvyOQZN3fPwG5/54j0HxNZQK/JSI+q3BJRHNEVdzkDV3PW0qUnthuBldPvEnjVITlcxEN5UZp4oSB97VVRbu3re+1vta9S91Ckl/60pcKWa65JjN7FO1YxyuVzpCv3tiqiqmIpoLZxhtvXLRl59QNObSvpJHTjpG1Bh1KePJB+/2UU04pVcSUDTVayVqbTGtQNU2nrPe9733lXFq869PaVRXTFSzJuucfyzxzxUQgyXrFvK+5q2WBQHObiNgxInZq76TVuCWiSYN8yVMtMztbR5Mm/sqIxocrYlY3XFlRrTBVQkPWNG/m9csiGqUTVa8161YzuAk/+tGPxmabbVY6a+m4pUmGQcOmDSsviqz5jdXw1mCDJj5z5sxiOtdHmu95cWRN665LgRIOaPFXXXVVaSiiq5Y1ubYypYQEWnSS9bL48OY1ljcEkqyXtzuW6/3vI9Bcp73Gd+P+iFI6FGH7m5Z8UmW2ZiLvZDTf2da7WsGVH0Y0NP5AzHph/6ON5C+NaMyvXtMs5HkRAs4a+l0vfbLW13mttdYqJmvaMJO32t00XyZo/mf1vEWSn3322bH66qsXstZn2jFHHHFEOWdxZE37/ta3vlW0aH5vNb+ZvtUWR9Ze+9SnPhWbb755OU7nrCTr//5HPFfQ9xBIsu579yRX1NcRaKrb/fqIxucjmqu3NX38QET8pSJrAWP81Z34WZvM2szk/9emVVetMQtZq0f+g4jGlU/tvESbqyn+xfq1XmvWArWQJ3+xoenHJz7xiZg0aVIxW+u+5T1+55122qn8ztdM29X3Wk9s5EwL3nTTTUsjDY01FkfWSJkPm09clyznmvvTn/50EQZcn4DAJ77PPvuUZiNJ1n39C5Dr+28gkGT930A9r7l8I9Ac1tak4+PthB0z2sl3YROOD7VHdTcmVxqyDlp6WWuF+c0qbWtKROmudVxE47KI5v4RcWVE4+4WsiYQrBXR+P1SIWsdqLTMlBJVD/5nP94Tjc20jUyZu/1PC/a/9/mVBw4cWILN/M2k7W/vS7Xytx/kzDdt3np0vLaULPMZ1lSf4zVroL3XPmuEruNWjkSgvyOQZN3fPwG5/54hUMzfCKfZnorVqEiwBIbNY7SuyHrrNq1ZF66L23tgx4Dqet6f2aadz6u6bC2IaCxoIWvHNZ4yi/fSDN6zTS77s/jBDz/88JKXrU93jkQgEWhHIMk6PwmJwLOJQHPjiFg9ovG33l6FGfyvvZ2kr58vBYzZXGT5BhsIssuRCCQCFVnvnkgkAolA30eg0feXmCtMBBKBRCARSAT6NwJJ1v37/ufuE4FEIBFIBJYDBHpL1sqnvadKCq+3+9W28mvXLWbvJ0eEiLnejrUi4o1tjntmvGlt5duEv7eEvvd2+i7PV8f1pe15dfHHLo56cUSsFhHn9GAVa1c1Z5WnM2ZWe/tLD+bqySljqvvZ1d56MmeekwgkAonAcoxAc/uI2CqicWb7JppbtP2rStfstkYcv4to/OqpzZX3VCMT5d3JaP44ooE363mkdPHPntBeAKVUNFM4Zb+IuKb9+d+Y2FuyVsT84La8MiHnCpYrVi4vzGK7GvdW9VR7c+OUSxMGf3V7flusGhFvq7qY/Lk3E3fjXJgRUvz/eBfHu0nPqYq7d2PKRQ7ZPCI+GRHnVh1dhK2/tq2by08i4l9LOlkPjickHNFWPP5dPTg3T0kEEoFEYAVCoOk5r7qYZ/L1EQ2NNZAs3jms6pClccU3IhqVklriwLaPaEjxahlNKVyHtCu4jZERTbyFtKV53aA4Z1uhlfdHNEWQu963KoX0rIjG7UuDrEkFl7eXRSth6cql1YvUncRGSR13VKtG1ntEhAotiPW+tvctTvuwOe1VXIpm/opqPsQvR+3Cll3/T9Xh5Mdt+W5TK+KU8/aiquWYCDytykhDCFV3E0MIPeIbX5Gh0HtasJw2PTPNRZoRfi96zw2hIb86IggmBASS1POrtZUycC1DxRl7FoJfkzV8WAHk4zlfuy+F4M0hOV2NWPuuB7J2Q9WKhZU1uqE0+p+3FYLfu5pfhxZ4q55D07+owlKJOte4ua1cnZq1cCi1Zau2a9qtmQvmtGgfGELWI21rhufX2vauZN5HKgFMjVvrV4D9rOpYx0tdILR4zd5yJAKJQCKwgiHQZEHFUay2D7aTdRP/iPA+NqLpGbxGe1pW496I5gHV85Jm3ZGs8Z3n8oEVWTvPc/jWiMYjVSUzRVU0+vh4W/OOd0Q031R16frj0iDrAyupALm58C+qhzgS8d6/K+mA+eDUisyZhxEGiUJC+XcqzXFUVWLtLe0J46ETiebXpBlkydxtOF4LslYCV8INqZFqmBEQNMkEYT/aLvkUAkK249pNGkVA0JNU5xTr+HQlLMiZI2TQ1t0Ymrw2ZQQI57ghCN066iEnjEatbBzCpAnrFUqIkGO3UbV+a7I3BK1oO2GEMNBK1mrGfrf6kNiLajY0bD9y9dw3hErIsD6J9453Hu3bdWnGR1WC0Weqe+PahKTRbRdjwkHUPhiEDhYSNWr1V1Wg/rMtAtQ91T0gGRIMXIvm/8L2aj1FKMiRCCQCicAKikDpRb1HRdaelZ6RnsN4hOKkRSYFBv/hvf88naxraJrT2sl64d84QMtNitXLKkXvy+0kXjj16IjGDUuDrE1Km6wqtpQLHFMtWJ1TGjeiddHPtxHaXRU5Ii8+Z5LGrDaiRQjIAHFdURE1jfD8StNU1q29k0f3yJoGyjeuzZjm4PdXJI3kjS+0gUEoQLwkJ1q069MgEb910JCB+lBFuI6b1AVZI0iaJjKlGTvPnF5HiMzLbgiTiWvaG2mNANJy45SYc3NIcQVT8yFsuNLIadcGMmUFQMq0b1qxJuaaoRMudqssCXdWworr07hZFQg5iByeJEefA3Ob64OVMEFAoP1bn/PcY8LT2W2++p0rwcZaCSyEmByJQCKQCKygCDyNrHeNaLwrosnqqJoZrZny4jmt6tiUJSBr/mrNQMyD9D1z31pZNillFNDTlgZZt5rB3SjaM18y4vOAR8LGVW0kfUbl36bJIiAmVtqlwuhM1AgcKZ/+DGRtQze1EcxvKiI0P7JB/jRa89RkbT6aJwImHd1erYdmq6l1K1m/sjrX+qyHaRlpOm94RYTM1rTTjpp1Tdamr33W3ANM88iOwOKmdIesFXZ3gxR6J8ggdn1NrZVwUw+WgpqsWS6sC+6uA1PF5MUSCFqjhf+gvTB8KDYPf/cEqcPGfmncrWQteI9lwnzm8CFKsl5BH0e5rUQgEegKgaeR9YiIxglVK0tKkucrZQa/4AyB1Nu09aemLHUYtWZdAsk8cydHNGZGNCmWSLrqld34dSUM4LXTnw2yRgRqn9Lw2OwRhAc+siNx0FxJEez17PGOZQZwnO4igpuYFWy8K82az1v3EhHgCIf5nKkXsdEYmbARG3M0skSQSAuBWR9zBa2babwmawDTiF2b6d57fOeEAmZ02rFz+XSZ0TuSNXJV0J3mSphwDs2TD8IaER8S7w5Zt/qs6xtNiyb8fLsyodPSaeA1WdOWWQuYp1kzmKoJSsz7TNU0dJo0Hz4pEF7896wfiJ75m8BTkzVTD2Hm+kooggctPMk6n2iJQCLQzxBYhKw9h99VmcTxGPcjksYrlEPDs3bHiEarclW9tZCsncucLnDthoim5zSlSeyUkqXfawtk43bknvzG0iBr0d9s7XVkNG0QUZAaRLTRKhEbjRT5ImcEYlFIg/bHlI7caKfW5PXFkTUhgC+YNENjRaRIVSAbSQZZ8z8rlo6kfln5ZRGbtZJmhMQj3pqsrQMZC5ayF5o3szdtkimCH5sAIvDL/B3JWqg9DZ7g4Ka5eYIPEKBz3TSae0/JmnZL6mKatn7uBHusydrev1fFAlg/PA3CC4LnWiCI0NqZsbkAmF2Y+0Xzm48QRKBgHZG6xXXByiD4jADDP5Nk3c8eU7ndRCARaCVraDTFR7HeUmAEAh/boZPWjHYzeNOzduOIhmdvR7LGTebAZVyZ+EpckddZTXEJF6nn94W9JWuERVs1aT2QNaJAWN5D1oK6EAIC1LCbBux9vmB5xMzW/kaMoskdRxP3NymDL9i1agJyLRsimYhoRtbmqv3myJTWXmuhSNec5qEVC26jddLkBVkhU7+L4CZkIGy+afh4jwnY+mjN1uAc77W0OSvr4b8AunVbE62V/9gNpblbq7VYh2NcEx6t0pd5rLEWGGpczYGk7RkWfPAEH68RCrgTEKsgNHutLRuI1n2Ao2t63/qthxRoPmv1t+ualwBkDvNaMwzqdbsmYcm81mrulm4x+bVOBBKBRGBFQ6CJx5i+PVeRNX6i+IlrGv9Ub+qFhMwEfnNEkxa+QUSDy7Ym6+q9hfN4huKdx9vnL81Aal7FlfdFNGb1lqz76h1B1rXPuq+uMdeVCCQCiUAisEIj0BTYq9Vlr4tarahkTUOmrUuZypEIJAKJQCKQCCzXCKyoZL1c35RcfCKQCCQCiUAi0IpAknV+HhKBRCARSAQSgT6OQG/JWjCV0pN1uLrtMj1zunc1pDD1toe2oCr5xJz8hkAt6VFLMgRsqbImJ7y7wz4FYUl8782wbtHwgrkE2PV0qHZjjk5y+co9EfjX2Xut1xPYwG0gGlwgYMch7U6FMoEOnQ0BFNK7ejIE+pn/7z05Oc9JBBKBRGDZINBUdnpMWwnQumy2IDPFoATiKhdaZUOVhh8CeG9vq/Pt2dxhNJW3FkB2WxVMJoAXh9aFse6IaAjmrUapE/5ARGNKb8lapLN8XBsRKV2n+aiu1dVQaETxjt4MSejygaV6IRhRyaKdv7IEkwJM2pZ0p+4O65bepBJbbwZ/ujQsdbVFYfdkiOJ2vhQr6WQdhzQxN7qz91qP9WHxAZIPXpdzbX1f7p964qLAOw4Ri1LDlDztySDsSRWra7f3ZI48JxFIBBKBZxGBpueUuh7jIhq6SiJqabMUHYoXLlG1U4EpqbrNKvX4oLbuWnVRMC97TlLSKIoUJLUu5FE7T3aN8aeIRqV4NnGNYz4d0bixt2QtxUcdVJqV0pkWr5CI1KSuxtLoumVzCp4gWoSNcJTHtMm6acUz3Tx7d54Ure4OFddEmSP53gxFYBRQkVrW07Snl1TCCYlu304Wo+oNy4Gbvbjhg+MDJ2WuM4sIjAhC0tA6jt6WG+3JPegN7nluIpAIJAJLgEBp1KGGhbofP6kKoag3oeiJwlpSulg4pfF63lKeWF7lTk+NaFTloZsUNDUuTqiUIjyiQBjFk5JUl5GeHtGYEdHEoapWKpX9+ojG1UuDrDuWG5WjLA/XJlTZ0oRDIQ3/Ixb5wL+utGtVsxQsOaUtsfy9lUlBqVHHKqIiobzuuoWg6+F3BEXKARKzOKGBIMCsLQEdcCqJ0bYVLDm2koDkDJNmmM5V+pKPrbCI0qAKh5gDsIhZ6VJDkRfVwhAkkElRSqe6hvxuN0YDDdonoYUpRDUxxUXqgRAVYXGs9SFJZE1Co70yh6uzrciMojEEH5q8/XRmiYCTJiT2IvdPkRfaumu4+bR/62NSUYhFrjiJzwdLgRO53T5shB1rcF2CAy1aERgfKtipzU6wIPnR5K1f0RoFZGjV6uHCDkbqkztPQRh4sbwwr9PwSgUOkAAAIABJREFUfSgl/Ctko/uYc1lEdDtrvbdL8EXKQxOBRCAReDYRKGStQAliVQ9c1y3PQy5GbS0RN4Ku+zF4rkrX8ky8JqJRKTlNFSgdy+WHH5zjmcoCquCVZ7M2m3jJn57r+IaQ8IWlRdY0N0SE5PiRkQJCYDbwO0JCKny9+n8iNwtkxlVFiz8UqTCHam2JwNVVJQQoQOIBjySYSusuWx7uiEmJUpox/yxC0qELySIc5UURmvaaNH+at4pd5mV61h2FJo70VaNB3AAGoGR31zq0EjCUQCVQMPMjKz5310SMCM8NoeUTRpSPo6HyZyjjWZtBgO4mO958yqDaJyEFOSIze3AOoncNhGj/bmzdgMSdRHJ1ERQYKtgCIyVBnavIib0RCuDNr0yqc30404h9eNwvAon3lBb1gVQH3f8sFyRKc76/qh/uPlqvQi4EAoIPAcP6nWdPhCzz2YdOZQQqH2ofen4ZODlWWVT7YAlB+DkSgUQgEeijCDytNrhnHBcjF7CqkhRQCiMyxoUUzv0iGrowIl+WTgoMRYzr1t8UG6VExQPhDnzjWauaJp7yHKYcnrK0yBoBuhhtzUB+tDTaKrt8HYyFQGhqddct5lXEShIhTZBMEJxi5oh0ceVGkTVN2UAYzLRIw4aRvb/r6mK0XeDVnaKU10S41t0VWfPFWgcN24+boF43AQN4ruF1pIWgSFlAdh1CicYYTOU0UNq6QVjQ75o/vzaD07xJVCQrkpQ57V1rzrpZCdIkibWas2Hsw8DPzAcCP5o+Mqb1u8m1GRxZs6AQmpAi8nQtdcFp7ASGmqwFRPC/CJAwF0FH3Vt7c79cA7nSwFXk8VpHsjaXe0mwIRn6DJiPhg53WjdBxN+EvCTrPvp4ymUlAolAjUCXjTxYQD3nPFs9y8+IaDwQ0fT3lhENz8yarD33WRVZnwVaC1jrUNmsKHustPjTs5RCSFG8+Nkwg9O+kBoSFe3LLFx1FikPaA96D3IPcNodrZR0YaM0WwTeHbJuNYPXiCJPAW8EAISFOJmBXb87ZE0DFD1tfbRS5yJgpnKmYvtyXVou4qGxk6yQ7JKQNUGE5MQSwEJAsCBNqbzWHbL+WXUc7GirzC7Wao81WavLbv9Li6yVciWAuE8C0qxX5D/BrFWz1qsb0RN2Lqjes0aCGsEGkds/zdv+k6zziZgIJAJ9HIFFyBofrBfR+EZEk8uX8iOi2zi7ImvPuk1byJq1mfWUu5DLU/AYJc1z9J6IxqSIpuA0ShTNm3WXZRkfskb+YGmQNXu+SHCNNAx+aiZZmjQpwQPZIhAh3zXt1zGIpPZpImsPbxtGBD0la3OSRlxbeTdaKT/qM5E107Sa5rRKvl41vgXKeR1x2yMCQtbA4x9mShbZTkKi3T4TWfPVMoOQkpj9+S90IWNWRmTIrd774jRrWr9uY7C1T5GK1mbtNHAEKZ2gNmcvLbJmxiYIwNMHjSDG30xT596AjQ8oszmrAEEGpgQQ+DO3Wx9LAysF076giiTrPv6YyuUlAonAImSNt1hIPf+4Qz2LPde5Gyk1nnsC0PwgY/Fb3LXM3HiFkuWZzY3L2soy7Ti8yB1JefM8Nbg1Efx5vSVrEWs0Q4RGtTdclIZsbqTDJOw9D2YmUETzz4qsmaG9xsyMeGzSsV5D3OZC8nzcNsyHangP+REEOqYb8R/w49aRzXy+TLHIkEbqfWTpd9dHMEhE204+VsFo0sKYf12Tadj+kA1zt+taPzMF/zYy1BzDvpiE7YXQgNBo+HX/bP5ZEhlpyjlIljmYQEDY8SMiWx6fNZ1TXZu2bP18HYa1VH6MhXvkPkDWPhCkPGTN3cBEUzckQY6kNX5xZOqDxRLBN08AcX+YxMUa2A9JUOAarZlkRxrk7/ZBtVYfVMFpBBD7dK9o+NZNcLFPfnWxAwQTVhUfaqZz1gv3UpCdD6efHIlAIpAI9FEEmrTirSIaFFEGRnxBEcEznvEUL4pU/YzzLBdnJS7oue3nNREzzRkX4ADPXIoh1yxL878iGjXHVTg08YN0rjt7S9a0LQ92F68HqYCp1EAWdRcopGpjiIyaj1zqICUL9eBGCI4heXgf6fgxj2tVkXLlPddE7J2lG9HkHENicQ3H+huAgrH8zXQtIpk5m5ZoneZH0EiIeYNP1TXqtVmD860T6Vina3jf3IQX+/c3MrZ27oB6WIP5nQP7eh6/e818fpxrLQQYa7W+eu9+tzZ++XrAxzAfLGHid8fW+Pjb9e2J9Gcf9V7MZ37rZ/mwHnNai/9hWK+LSdtc9ms4xzXgVGPsGHtwjnPrOVzb764PF9dxr5B6jkQgEUgE+igCzep52aife2iOC9SzT7pVVVCqWXOP12ZGNCkq60Q0qpTikpKFR6bppNW+2Wb9vJwY0ejAZ6Xb18yIxtzeknUfBfYZl0XD5fhH1EzZORKBRCARSAQSgaWMQJNyqrWm2Kdejf5K1r0CLU9OBBKBRCARSASWJQJJ1ssS7bxWIpAIJAKJQCLQAwR6S9bs+EqO8t/WQ7Tb4hp5cLLXkeM9WHI5hX9ZoBW/qMH2Lzetq2F9/KU9rcPdOq8As3q4rpSpzmpqO4ZfXNBc7W/u6X7zvEQgEUgEEoFljkBTgHRroyrxNRprzIlo4gJxRfdGNCZHNPEMPsSLhtfreh/VS00BzgMjGniyw5C61bghoin2R4Au/7dhjvt7S9Y2IfdWRJuoYxXLkKYCHF0NlV7kV/dm2LCIY85+gUoc/Rz4Kpd1NiStK3kp2rm3Q6S7YiSGfcsjF8FXR8O3zi+ATRR3XTCmt9fO8xOBRCARSASWGQJN0d11hUVkLANI5o9IcAojYvbsxy2ykGTcUM4orL9rJ996NOvCWt67ZdHI71KO9MMRjT0jSh1xqWEixg0ZNX/sLVmTIqQ5ISNl1USuSadCYl2NpdXIoy7NSdJBxILGVAnrbEhNqoui9PY2q4hW3zzpT9LACCctbc0WXkJ6mJJ0Ur1yJAKJQCKQCCxXCDQppLXlGL8gZrUsFIOSciqdlzKoXLWuWpQ3JUdlRD2mtWX7dpvScaU5qycichyxnxrReDCiiUflZL8rojGk0tj9rUqlYY7HlgZZd9XIg6la4jfN2+YU1KB9S4uSf6aKVd0oQt6v8pi0ZI09lBIlWSBD9cLlDNtcPTo28lCg5PgqR1putyImAJb/CyBkLbnc9ZktED2t/PtVfrU1AUdFLpqz84Cripla162DcFDfPGH5ipqYBw6uwzQuJxtJ12TNjGFfCoaogMYVIFcZNvamJKsbQjqrm4csVx/pXGwikAgkAisuAk0as3ofLLh1ISwErbaEIlnSWdW7kJo6K6LRwYpb0rOk4eIg/IWDDq3M6Wp64D4FpqR2uQ5+pMVfFNEotTqWBlkrwylPl8bMPK1ohsIcyFWSuNqmqoLJ/1WKVKEN1bUcR/VHVApweI0U41iaqvZg8nFr0lP0XFUyw2ZJHTYBJNqtQhsad6jbrYgHAFVMUxQFueps5RwEaU6kKRkdaEiWj4B5gxmftcC6lC5VZaaub+7arlf3zSZRaUSC4OGgEpub6hrmshdmf8IJE4j92TfBgUBBSrNmhVf4RphHFufvX3G/C7mzRCARSAT6LAJNhaheWnXdwgsUSnW+PdMVPvn/9u4E7NZ9rhv47za8SpFoIkJJhEqTlF5NqIRMxRGvyszbIFPKGBlDxpw4yTGeq84p8zwcMiTDMYsihJDyigxxv89nrf//7Hsva639THvv53n2939dz7WfZ6113/f//q611/c3fn++7/EJiVAaGOSer3J4GNzNjWY8SI/+RdVwm6oR71CAxAOcRX9zbHGniDWRLs7gKbtB1sjReah/WWL5VLxYC9NBHoRCeK99kIf+M2QtfN5VwBD0Zgd5mPMpH8BDZrUIR/xRazgXjmcssIAoa5G+XNQGdzwS55V7rd/tj7UkjM+4kBcX3kb6fSFYXr/FCuJJk+AkgOJvHrb7dgwjQC83CVRvLKvLdezFGyvXLrRCL12+PysIBIEgEAT2FAIjBwtfnDGfojUia73TD2na4AYi/edGvpnT1tZIOvo7D2mDT29oVBiNgKlAGu6B4ElsczhpjjexlBm5iywzFE7eDbJeDIP3QR59yAQPVyU2Qra5PshDmByZie3zxOlrm0DCy96qNnifZ+2aiFpOWe6c4bCKrF2DdysEDiwe8WbIehoGhyb5uZc3eVH7ILLC8+9k7fW00emUqx6EF0lRFX9IPWS9p/5jZjNBIAgEgcPIVcHXnaoG0VGURZL5W6uGh1XNlM04X5w7XU4fmZPtiISvNBnkQesbD3L+RE85pfiPIUDRDE/wxjlxwt8Uzj5eNcuZ445d8azdgA2oWLN42shLEh1JqdCWoxXqNcMYMSKsPoZSO5XXCV2zInjbmyFrYW2EKFQOKDcuLK5CT5JfDtjeVpE1j15eQPiCB26PmyFrIQ4GhcVTFlp3PSFxuXdvgtBFJ2shd967a8mFe+MZEt4Ub2jIOt8MQSAIBIE9i8DMu737xjQt6U1kLWWJW8xBQMI4y4wF+uGcU3yIC4S7cRKSFkWVXsVtPGccgTfIO+MvS40UzXFcYf6F8zs35+4pO/WsbcBwB15x16pGkoqpWAvC2jbqd4VTCB1hq5YTDlYlLR8s3Ox4N6HsXXhb8ZbXu3lhgD65yU15DllLyisYY6kIIehdI5QOQPtA5Hqghd4Ro7wA71bxmPy3KSi9T5qHrwVLbhyBCq1L9CsEM3CjL9EBe7J48sBG/ATXjeW0f6FyVhbQAW5vQvQME0VzogyKzmCggI30qdx5VhAIAkEgCOwpBGb90z9ZNXCy2ppN4TIASnqXAyrCKqLLyzaTgc73o9pca+HwZ1SNPGQ8hHfxjtYuBWf9nM+oGm5UNeKv/9NqwXDJqVXDR3dK1jbFTRfS7gsx9UEe8sguLK9MHAS5sVL6cAdEZzO9X00owGuQMK8V8flB1EARsrY857y9+Vy+uGuv2o/Xu4Zz2yMvX54AQTIe7BcJ84Jdi6EAC/8yPITqXU9InTEwFT1R/deX67ovRWfui1HiHB53nOu4J0YI8rcve/c8Q8KeHC8c7ppZQSAIBIEgsKcQGNtgpmFB3GrEBb7nP17VB3yM+OO8VQNvGBWK2MpDc/L8LbJ6jqqh13hN7pQHP3As+3APtVMfqxpmjvBOyXpPQZrNBIEgEASCQBDYOwjMcs7nX07OW9tlyHpreOXVQSAIBIEgEASOOQIh62MOeS4YBIJAEAgCQWBrCISst4ZXXh0EgkAQCAJB4JgjsIqsSXT2SSOKoVRlr9K3pt6iaKq3bu3kJvQ996WoSzm8nrOsIBAEgkAQCALHGIERR5KwJuJlKQx7dSso1vKrQPlNc7GUvkYCV9epGh63fLPjrasGoigKybyWgIrOqudUDe9vvdvawChzqhZ/vqrxVWStNUkbkypmPWCUuShwLalgm0lrutADdwFF1dpanCzDOd41FzufVZNnBYEgEASCQBA4hgjMKsFpdZCMtnQ7aeU1yEOrri4fgzgePKnk9tqbVA1kuCdrNrDDFK+HVg3nq5rphWvn0g2l00mHk2N1FRFIITeqPYyq5qnryJqEml5lbUUawJWeO8jF9J1p4LY6WWvwVsauh9oN6ifWGqVFCvlrVdK/TEtb+bqeaEIp06VsXQuURX2MMDodbv3Orqftyn6cE5n7lx45sZE+I1uvW1dM0yqlZ9trlNlrFXvdpCf8GL7puVQQCAJBIAjsLwRGxHla1WCqY1sjLQ/qZPdscqMUOCmOnVk1G6lJF+TmS8ia8BfOPamRNU7Cic+rGt5QNSJm/OWaY9Xw2CY3qjf7RZshay+khX1KEyOhPCY0bsOUyCiuEBchs4lcaajqbSZG/rx2ccM0ekgbqes95kV3je2OwpSsTbMiXmIMGQuDd6+HTUjitU38nNcvJPFTTUHMfhgZPHE92K7z4nYdM6iFLQzXcHxWEAgCQSAIBIE1CIyGLlGnpFrG8RP5JSfdtMEdOpvIdZFG1oRTDHV64xKyxl+i1e9vZH2FNm3y9KrhrW00JmVLTian1b9ez8t+5zqypvTVF4UtP2Q2WQcmZ/ndCYmY9DA4gkXuNkyIRJ5bPP4aG2T7qKbaYkyYG6fQIpzAWz/bZFlAjUGA8Ims2Ov0ONNLePzvbxrfgJDn7uc0LcveqJZZcgrIX9iBFBwizwoCQSAIBIEgsAKBUYT3XxuZ8oKpUuKZT80HeUzJejZ1ETeSFDXYYyEMfjbN8cKFwYW9jZF+fdXwwqrRbAycyQl1/vtVjYZAcVT/cDOeNRUuHivy5ra7gHA3dTB56q576ndEfM824pKH60ZZJTzZLu25jqynnrXEu3PyhEmzbZWsFcn9TMst+Nf0K2AKvzMqQtb5DxoEgkAQCAJrEBjx2/9UDV+oGg1fEvL208h6ltOWZpX2VRT2ghYJlpY17KPLcE990k7WjkX+PHEpY1FkmuCuc1bVcHorNuPYrtQGl2PuOWshbewvb6zgS+7YzGfkTSpT6NsMzvs1cua92iCv25AMz4nDm/+JdDdL1irMDQGhuU26zY25po0bkrHoWZteQg7O3oXaDRQRsrdnkm8q84QrhMzvErLO/9AgEASCQBBYj8DMsz73XBd8NHBKhbZI73e0nDWn0qRJqVpkrVjMwp/XrBqkhxfWOPWs24Cn4b1VI+e0T+X676rhyVUjvuJkPmIz1eBeg/QQpvJ15GtjNoOAhb0l31/UvOgnt9cJkys2Q5QGbXDnj0TW02pwRoKYvuNO35hc9Yy2D8VpQuqLZC1HTVBd4ZlCMjep7UtBGcB5987HWGAAxLPO/9MgEASCQBBY51kbGqWlmNNHq1veWriac9qrwYWt77cwlONz8zD4LJ/Nw+ZAtnU2WasGV6CtSlyxda8G1w7mcUXZR6wGX+yztlGb1HstBy00YPCECnF91k6ILHm2vF6ELt8sVO51kuTK34WfH9vK3Y2NFN83gaqvxT7rN7epXEIMroHsEbHj+k3IHzAIkLA9IGQFZkhbSAKgyNpejCtjfMhfy6lnBYEgEASCQBBYgcCszxrn4RjO35ltzjQve0WftVONt533WY8850tXDaLMnaynfdZ9fLL89rb6rPfjW2fCl3mhkvE8dEVtfe70fryf7DkIBIEgEAT2NQKjHPSFq4ZpIfW27uggyY3qTZOkl0MXrjA/W0QgKwgEgSAQBILAcUBgVpR2rqrBGOUdrYNE1jsCIgcHgSCwBxG4z6zW5Ip1r9ns96wgcMIiELI+Yd/63HgQ2AcI3HvWs/qbde9IDu+DdytbPIoIrCJr4iPdktVTTdZzlT63XLG2KoLjO136uPsSNtAaRi3taC/VfARUyKtuZrnf87d+cwVui0slO1wUte0k/CGs7/yq3HdzaXNTqGeP8N2J9rrqfEWEWUEgCASBA4jAqHBZS5bv80/Me66tWfHZxauGD1SNWo0VYCt0nj05569pn/Xo+5aAmJRt49Xhv6pG38f45J+qBjzkcJXi0rkf6+dYRdZao5SNO1DMXUX101ZoaivksonTduFd0letAtxyTtXmr2yTTXbh9CtPQT5OJXu/9pGu5Y1RDYjc37nkxd40fenORwt9O8ub9Zime96UcrZzmq86htLbSa39TUU9Afmd5PbvuPFBe9iu7CwnCQJBIAjsKQRmhOw7zvcxIqaQ+dImkkJL5C5Vw62rRmSu60j7leV79plVA7nrtkbnISGqlZkTRp3TebVBMwjeVTU8s2o0e+P67RwMhFM3rvHRdX3WhEN4XHrAFG2ZBkL9a3Ht5tStD2+0eF23XUD7F1F0CmZatY7mYsHobVNFvpnFc9ZzzitdFlEQmYCLN4p2+XYWY8CkMxGOH9vOCVYco//8Fq2NjpWnrW4nPef2qa0vKwgEgSBwwBAYyVPrKiJbrecakT59gwuv3X4uUTVcvnnCOIsjZ2lh/vmqgSZJWyPHk/AJnsE3fpAyftPafNP2nU81lL7In2wMqLre3Diol29GbpSFgHhciBzofZo4CfI2RtNzvEiqZS5ukIeeMU3jwtpC6A9uHiJPmRcndOqG3dB0TeVGPX7bdvM8N94vUXU3r1dbz/RftmZyhOHcdMv1apt6Yr8PalO7NKa7YfsVwn5489xZSQaOGA6CsAwbYf2IFiBiGufu8zoNSFbQvZuCm9e4tzMnN4AEvbYbNchaKNsbDuv+Zuk3J1GH1Hnnv7HkE/577dzIlQoOL/2WDVMWHby9mQ9tZMkLZ639SnuDjTP1AdNsT0Ndv58PivcCSTME9A0ykIRhfFBYjvDQh04Hlwdu0VmHHZydQ2jfcJaXt4hLf90B+4+a2wkCQeDERmDUB/1pnm3znn0fGwrlu57gltGYND0ma/R9eMGq4dETovZd7/v7A/Nw+vD0qhEp88TxiO9g3EKwC1/dsWo4qWrEpwRV3riOrP+6fSm7iIMRpokgSJGQCaJAtohZczgCJLtm3iePnBVivCXLQUhdGB0hIhNEqNEcwSCLvhbJGumyajSUIy8341omfbkecuV5G+bhpk5tRP2apqhmQgphFHsCLpF0ZIqwhH8ZDXK3PHj5ca9jZCBTRgovH8kjOtdCfCwd+0GwRFq6weFciB3YyPlazZgQGqH9Kk/hOQYFxTf94IwOk8cMSaEAN10+CDRoicvAkpFk3wRpSKe6b1634+me24s3H+E+p2nVwtrEFgYIowLpw5TojcftQ/6FCh1ChgnDy/vA6Hlke8+896IrjA/YsB6FfeDJMIFVVhAIAkHgACMw4gPeMydRKJvT8qYlZC01esVDuW2QjDxxTiGuks8my33L+QzsEa/inc9WDVetGnEufiMGxgs3bnPt1C1fzEKkEt+IxsxoxCN/zYND9Eh7OnWL54UIuPCOoZXKq5NM5xUfSW50FVkjUQTIM7V4uLzGZzcNcqRlb8LTCI48KWJyXSBY8shnNJlSv8uxk0sFOulSZI2E7RvhGS5udjbgWVP25pyOk09fJGtGgB+P9zC417OKnNP5NMjz5llThN6dy769iTTP+6KBLk8thI6c4cpoESlgiJC7Q5684Zs1jO3ZwBIkLOrgHn+tXQPxMr54zD0MbrAKS8/7h7RJw9oTwwEm9txzJ65rz4yuNzZMfT4cy9gKWR/gr6jcWhAIArMJWb7bDdiQa8a58swLZD0S5jrfoYlcy5CbDf9ofDX4Lm9rxFtmW3AKhdfvXzXiJpHQTU3dciLeFNceoQljC90qPEMmwrl9RCYS40X64r9Dex0X32u3Q9bICGGyLvq4TIQsT8xj5n0KCbt53jYN80Wy5nFbIgC8ZAROGN3jjA7eOjJ0b3o67Z9FI0zP2EDwkvzC8AjSvd+qec5Tz3pK1vbEkzfwhPC7AgLGhetuhqx5y6wv+4MdsXgfEBGAzZI1g0au2/u1jqwZIYheuEcUBPkiZ/ggfJhJR4gEGMjCW/deIH7vKWMkZJ1vsyAQBA4oArNqbc6iyuxJ6nYpWZ88/14c8Mlkzaq7fc/iLt/tvm9xJ4fOYA9TvXCUKOh06pZjOGRrp275gkYWyFHoF2nyrJANAkAcQqsuyBMUmr1JC6V27xTRCdEqUtsMWbMoEKKFKFgpLAt6384tLKuajnEgLI2sje8UVufRe0y4oXvWwrTGjokAIHMep/3K57qWvDPQkC5wEZUcPC9Y6B9IvRrdPTM8Ht8IHKBTsnZ+c7KlAuAhDI78VVzzkr1ZSPNIZC2ULVTO6+fVs954vvBnDK0ja6TunhV8yZUzGBhNi2RtjwoIvTcMIee1L+kLoXZ4MkqQtvOIOCjCY0TIUwv/eF/krQ1YCVkf0K+p3FYQOLERmHnUHBffiRw4nKh960srPGvcc4eqoRVFz0ha5Nf3KI4y6Mq5fCdzhERbcYuoJs7wHSxqjeeci7PHUXr8qpz1Ka1CjRfqNQrHeLKGdgjHIilf0EiNVyqMy0OTt5Wnls9E8EjS8UjeFz6XX64aAMheBdy0wtzmkYbVvUkepZtDDIis5QlmIWTHs3RYKq6jaIo3TodVOIEni7DkpS3jPe0b8SNsYVzkY98sHuF2IXx5BedzLYSJKJGVtACSRmJyv/qfFRv0pdhLCxjchJLtT7ijW1PeaAUG+rpd3/3aI89bft2SE+Hh+mAoALN4+IwY5/amMpK8ic7NQIA1Uve4KIjfETDvl+XGKoSJe2GEKCKDH0sOWSuQkO6Ah3v2XjsPwnYfQuf2KGxuPjmcRBvgKe/OQMoKAkEgCBwwBEY8xbnpU7N8h76wavh0m2/9pKoBn7Q1+t48/VB/9chZu+RGXvuvqkY1S5xQS9Haw6pG36uiwTgWvylK8z3MyfJdjAfVe71qFVkjZV/klpPwQnt7T38OESMTLUxymwjCFzgyQmimlLiY41yHV+oxOU+vdRzymoqK8Ej7YmEwCrqoCOsEqfjbfhzHQBDqRcD24xrIzjX70G836wex9mI23rU92r/jpq1bjA/RBASv+MoPDBC2kATPtbdueW7a9tTHeiJAgNuD/DUsEbY9izp4nfvwGFJF3gwEy316Q3n6fTIY64x15ZzOwfhBrh5znNfD2DFy3ArGHKvOANaet09kb/X+aq9hgPhRuQ+Tfn8wc5zRqIwvRoLCMsVu8PDe2AcsGSVZQSAIBIEDhsCs2KsTrHvzPfqhquGLTRTlclWDdGdbo+9yRNzFTaRUCae03PTo+/KcVcPESR1xi+9y+XDfrfxP5+FE+o79oOvtd7nRxYK0A/ZBye0EgSAQBILA/kVglu++wOH91tu7m/1O1grKpvOwt4dCjgoCQSAIBIEgsOsIjCKp56gapEZ3tPY7We/o5nNwEAgCQSAIBIH9gMAqspaDlle1FBjJH/f86eJ9ybGyHuSrd7rE7QlzHGlJxCs628yQjy7/tmyghnuUT+757SNdN88HgSAQBIJAEJBX1pXU+LHfi6k+AAAgAElEQVQP9+jAeG7ohc0LaM30xoXGW73T2RXj/141OJ9zq49Sl4TjtHZ9ZRVZaxvqFc0qrZWWU8VaRsgq2ZzUEI6dLhXfvS963blU6GnDkrNetxgRvRVMW9fiUpWuunk3hpDs9N5zfBAIAkEgCOwLBEZKj1TIkCsuenbV0Phx1MZ7+6pB6++SNRKvunrVcLeqUWEvBTMFZa/cUDB7eZMh9ZiCaoVqBK3etU5uFGGrHtYjTW5TW5SK4MW1m4M8Nlswpjea1XIkLxxZU1BjcJA2XVyqrFXcpZp5X/wHySaDQBAIAscbgVHHkLZl2iKi0Npvn1g1vK2Nu9TOaohH76iabHhUZ0WbQtcOwqdnohsHByH/57euIz3ZHGDOpE6mk7c6yMMQDeSnlB3bk5xE1vS6tWwpO9eDLDSu6VsblfYkPdZ6cxGm2ccMAP3Ti3rYy8ha3zRjgaevj5gXrK+b4eCGec7K611fw/l0QteUrPXJUd9iwWjZorWt5YuXLmrAkvEmaHXyJuiD1gNHuQypA879EjjRdye8TtGLNeVYb4JUgWMnk1aO9wcr1w8CQSAIBIHdQ2DUvnzuquGsiRf88arhzKoR70mv3n8FWeMdTnCXmKapoS/7rY3o8SlO4WBSAsVx0rRvWkfW5DHleRErBTEkxIJAugjYSQl3CCULhRuioSEcoSItFgHBcy6/Y5CsnrFbtxw3j1YDOKuhr0Wy1kNtYIVBEiwY1yE8YqgHgkW8iPOeTTWMbrlr9tXJuvch61HWR8yacU6gOD8AuzqXsAOLRwN7J2UCKwRIhOh/p03j0tNsP8RR/M740C8nrGF/WUEgCASBIHCgERg5fARMOKQ8ZIqZJhO+/avJehbyphCJW8y1MA9iStYmHZKqpvuBH6ln4lzzGp61jqwpXyFdsmcsBdKeNKGJZCBdBEiQA7k5ubA5Nx55+Z1etxuxMa9BiMhUftvrbZSC13Te8yJZ814Vkwl5A4GoCgOBilona94vlTIqWjxwMpqLZG0vvG5g2h/5TkYCpbZO1vbDQLEHz3W5TgIsVNIogFEKI1EKyHc08RFasM6r2EAUwN5EGrKCQBAIAkHgwCIwKxRDtniJkqSoMkVLoez/WkLWorOcQpzCqZXbxldInEQ0pUiOoci0yC65UecmFrZSbtQBSJDcpNUHeaheE27moQpLI/TpIA+kaNMIWExf8l1xmn83ow2+SNZ0U5E0uUwjOf3NQydZ2sna7zxluqpulgoXWUzzlxGwsD2VMPfCM0a6/mZwCMt3sjahinWkWEDYgWrXdLKWMDotbaF+kqimeTFCvGHeJJjwru2BNZQVBIJAEAgCBxKBWf805/UaVcMdqkaRZAOeRFnxh9kJP1Y1IGFRbY4eWVL8YnEY8Qnn13lEr6l7UpfEo2+rGk6vmk3oMv/iqes8ay65i3qxZDevmSdNNk3eWa5YbhZZI1EFaKrf5HyVmyMy2tHOoyBsM2TNEJAHtpAiAHiyiF/+mxVyJLKehqB7GFxOu2uKk3mjw22P2yFr0QYRAQM96Iqb2uU+nRdRC52HrA/kf9DcVBAIAkFgFPHlUZu02CPH6ppwl/ZjyzxqNVA4kwMpEq3+SQ6a5ywdbEwxrjCcSYGZfDcOFIFWA/XcFs11zoetImthX4yPMF1IVRuS5o4jbSFgwyV4qjbEA6VDjbiRshCywi3qYn1YhAo5JOc1wuCsCpaEYRN98eht0KI9LRxtNCePW85ajplnbIgFohSitychdkQprMDL7QtZMxbokAOok7b7QtYE0nnlSJtnLuwArB5ZYA0pWNP25bVyEzxo9814AG6fN+pxb4h9umZWEAgCQSAIHDgERpyjzVjBsWUmxXOrBpzV1vjmquGKVeOCNrinZ6MwT92oHr9+1Sh1isTb0Kbh3lWzinFkLiKtmE0K9/mryBrpyS1b8rFcdxuyFH2xIsTUWQ1OjKSQIU/cVBIN3fK2xFSEBZCmOL3HELbXGhQhrD4dhNF7ol1HmFoIHbm7OcfzannICFEemyGBsHn4csYeZ2T05f76+EYRAkaEdi/34h4M9lAUJlLAgGBcMAgUjgnl26P7dw8MBNaPKj3hDPcm1C6krh/OHhkS3pypAXLgPqq5oSAQBILAiYvArKgMl3ThMFzw7kMiJzNC/tmq4aVVM2I3dWs6BxsX/UjV8LqqEWeJTOMjfdZN6GumKS40jquc+wuRG936J44VJMegmnyFQs3WT5ojgkAQCAJB4KAhMPOSv/HwyVzbu0dkrXgsa/MIsHi0jIkgZAWBIBAEgkAQWIHA+c5ddZ5zVn1ShHZHC1lzv7OCQBAIAkEgCASBPYrAsjB4G+k1a0nqS6K7DdNeeif9tfK5y5YYvXNMn3cdj09XG7y99BxebzWh8z2KaLYVBIJAEAgC+w0BHIaPlo2y9Jz8NP7q7bpT7uqP+9frvH4Vl3Xec54pl/XH+3Ff9bplZK1ASquWwqm+CKJMlcGmb4RiMYlwxVlTqc/pa27T5DpbxdvsKf3Ri1XTKrlVYy9blNDcIFWXrCAQBIJAEAgCu4UADtMqTFVzuhRa40TyoPjtjFbMTIQL91kep/et+FlPtMJkSmUKsKdL/pp+iRYvleTEU/o0S91IlDO1c0mz6m7yWtodXvv5ZWStEpyUqKpvyipk0VQ5a28SMlc1zXqQs1WNjXS1ONH51uKkKlpel4XQG8TdIPERLV99aZlC4r16+1JNxpQCmGpy52B5IHjWDplPSwW263u836jydkult2tSPfPjeZXqCsFIpGYFgSAQBIJAEJgigNOe2dpyFQ9Pl7ZkGiK4jfQ2cSwtx+ZB4DrdRBZ+60OtereR9qvezoX0qV26Fp4iuoX/dA7RIVEtrquITsmdWkvx25uc9x0Jca2rBr9zO4j2t8XTVoyG/ZGpvmlKXl6nQdwGCYLoi6YWhmw9r0dsFVlrLldVbelZRsiI1zX0n/GkkbOhIcROlMEjcNcnRuJmqJvR7VY+r+3KvlybrKiyeEYAC+aR+XwGgSAQBIJAEFhAgHIlkqavsUjWeENL8WVbJJikNa9ZK7FQOPET7cM0Ouh94DAaIGSxETxdb0vb8hMar725tf+6nvZhWuK4rbcpE1vhCItoI3j8+YStkDVL4q7Ng+ZhI2jkrL+ZZ83a0JtM0eUBbYCH3mQe9J+v8KzJgSJcC0kTP0Hej2qP84x57sIQLBfEDAAhAt4+aVPXEm5gwQirAwfJAxlJ88KRtz1mBYEgEASCQBCYIkDRksynnPMiWRMBo1ZpAhaHlcQ2xUrOIUGwpzSHleqYELqQNYEwziQO6mSNLxE57XDeNUfW8CspZyneTzaxLRFhSy83+VKOKN59xVbIGlkKkSNf4ifyyywE7G8j3Hj5ZhaEcIFwthCBGLyLLQuDi+/30LhQAI9ZbpzYOcUweXC/UyDzr0Z0IQESpEicDKmbu257Dc/fY45D5AwMU0yojIWs8x80CASBIBAEFhHgfPbZ1MvIGrdJ8+KSFzT1MmMucc3l2gwKRE9u2ywKnjZRL+HzKVkzCpC08Dmi58QS4OKFkxQ1frmTtRy6EDwe5XmfthWyNrjCxnjOEuomiJAGnZI1EHi+QgNy0TZHmtPPMrJmqfSEvlg9JTGWCcIHCvKnpSrUjvBZJKwTwiRCBQyGPj5TzsG8at6048iZyhnIAyDukHX+kwaBIBAEgsAyBHjI0qaLZI1AFZPxvEV0yWyb1ih8Ld0rv4x0LQVnctPC4+ZYULyckjVe5EVT7bx7y0eLFvPSHeNYXEkxFKHz4jnCZLIfuhWy5tY7sZw0K0CMnpdrPrR8smo4+W0xdtYBi0Fsf7NkLWZPfxzZywuYtuVmJeI9bmY10CTljcR0Lf8qNHMdHjnyRvbIWs6aYRGyzn/OIBAEgkAQWIfAIlmrp5KGxS14j/Mnp4y0PSbsTRrU38LeIr3C3khYGhZn4SdOpDYsY5V50LxkoXC1XFK5vQUM/zEU1GsJjZMgVcfFAcWn91hH1tx5IW/uuKUcXX6YW+4CLoyshaZ50MreHcOL5XU7Tr74/m1kpU328WDOJ1/tselC/PLOrmtoBm9bJbeZnoiXdyy07vpGWgopEFQXnmDpMBDM0gakogChc+F1Vo6QQlYQCAJBIAgEgUUEdDuJ9OIVC4dxNBWSGXOpNgs5q6f6s+YNq5My0KnzowIzOWb8ZDqk40WAeeNC5qLDuA2vIXiOZ2/vcl3H4zIOqv04Tjido3rGOrLG7H6eNbkrfWKKvVgdE2HyGTEjRXF9rVK82fe2ym1ki9AVksl192VTNjNd/ZxAcx0AtUHes3MIMwiLu76CNudzD2aDCs27FqtGPoFxYWylcwnfG0OWFQSCQBAIAkFgEQG9z0hUkbTFCeRBq3+S01b/hF/UaQl/W0LUOpX6UhTWK7o7lwmd40YEb+mndh38NdUU4Xk7VuW3JfStRkxr16z9K4M88qENAkEgCASBIHA4AiK/HNXpVMjtYKTLiZPbx2lu5xyzY5A1Nz0rCASBIBAEgkAQmCMgIqvwa53M9mawEg2WDnauHS1kzd3OCgJBIAgEgSAQBPYoAgmD79E3JtsKAkEgCASBINARWEXWirgWJ2IpY1eCTgatLyEC4uV9KolqOWXm0/P21zifwrC+6H2b8dknj3jedZ1jx7M/8xYHgSAQBIJAENgFBISyFYWZd4GbCKD42+N+x1n40WOEvTr/4cbp9C3c6RjPd57DqY7zHC5UHO15r/OY83rtuIqsaZaqbJuOtNRmpf9ZU7cNONbQDJKjLmJCCF1uQucauqmOqdamk6r3zGAQfWg2g5j1UCtJ166FuLVdqYTTl0bMJCsIBIEgEASCwPFEgBqZNir8pFKcOJh2Kzog2rC0VvXZF7hQyzE+RLDEvLRwWchXK5d2Z/yp7djxqsD1U+vTdi76IArS6JrgTNXm9zB7Yx1Z6yczGKMvrVf6wJCrzbo4eTV9aDROO1m7gPYtN0WoxNQu5e4kQfVJey0yJxnKqqBsRhOcKoweapaJpnC90llBIAgEgSAQBI4XAoRNECflTM4qTiSRzfF8aHNIiXXR97hJa0fuwlxamXt7Fl40MET/9lubJonBHtqXkTMRFWM4VaBrOzbx8szmuGohe+Y6sub18oIt/76vqZPZgB5qIW0jwfSAPWdC1hTFeOX6mlkRpmZZSuGJm1A7s0iKElNB6javTxr5u+HZlJHj9e7kukEgCASBIBAEGin3qVu8XlLXHFa907gL13E4RZQ5mTS/OZ+cWwJhos8WrY9fbP3WPGvOMEeXAhppbQ4tTkXuXbbUv4wAAmQnryNrL+xl63S+sTu33mbE4nnFcsx0UV+7DbJG3BrPaXsLt9NN1RQuJECj1fCNrCAQBIJAEAgCxwsBHjEy5fmK/HJOkXMfkcm71kv9xA1RMBO6RIRN0CK7TaZ0KirW74GnjvgJpZAxFYnGxZ9qYXTOMI8b57qmiPRZ68hannnqWQt9I2aKYshb7xgtU5qmQt30wuWsN+tZT8naZC4qMW7YJimgeYy1kRUEgkAQCAJB4HgggCOpl1HJVPBF0cyELmSNDymUyUXLZ0vvElFRFCbd+9LJII++d7VfItJy2zgVITv2eU1+27RJJK7P+1JN/vRjJnitI2s56C6r1i+k+MvFOolKuhsDJgnuRrZC1n1Op7y2kLtwgqQ8j90NA2AqaXo83qhcMwgEgSAQBE5cBPAg79YMax4uWVLeNK9ZGheRC4HzwM3BUHjm7z6so0/dgqA0L76U6pXXvmwLh3uNHx67xfFF/AqtXYfz+sB1ZI3tWQh9mYZFeFyCXRweObMquP3IWkL8SGSt+s2kEaPAVL+pFJest0mC6MLuSJu1QddbaHynCjIn7scsdx4EgkAQCAI7QcAkx5u36DHnFGmr5DalS60VjW+eLwdWNJjImOcNjlKXJcWL0wyaknv+TCsc0yml2EweWz3XK5sXLUTOSfav8wix4+K7rCJr3i7Wny6uv2EaLI2+bJKVQUqNxaGYTLxeDF5ImxUhFGAJmStB5zlb72rHAsLxNtdbxVgTkvq8eDOus4JAEAgCQSAIHGsE8JWQNu5TXK3GCmkLY6vZsnAUB1NEWNGZ1wpl63DCe2qxXtfanI12tvCkY0yiNB2SZ266162aV80LR/icWxy7snXrWAOS6wWBIBAEgkAQOGgIqMEy8vL0nd5Y5EZ3imCODwJBIAgEgSCwHAHpXTload0drZD1juDLwUEgCASBIBAEjj4CIeujj3GuEASCQBAIAkFgRwiErHcEXw4OAkEgCASBIHD0EVhG1nq6NGZr0VKhpvxcxbZG7sWl/UrJOc1TIiqfaKXpBnPcpVXEbfcuXJt+OBF1lXNZQSAIBIEgEAT2GgIXbrKgJk6S2NbObFjV7TdEVG7ZKsfx5HQRPVEFfqWmKXK7DbGxk5qyGblSPdZ6sbVvzdYystb4rdT8rq0f2glIjypFX0XWytJdTCO3PrQLNrLWvqXvzAQuS5m6PjPl6zar39pjhndIxOs982MMGf1UE0+0hzmfc/vxWvqppNmygkAQCAJBIAgcLwTojVxrQ4HzT5pmeCfr72oTt4y/1OY1JWu8aygISVKaJQTAaJT8fVMAJVGKrB/S/l5L1vrI9Hvpl6YupreMzNoysiaW8vFmQZgWoj+b+AnP2qhNgidu6Hta3zRVMhrjV22P6682teRXWrO4MWG0WJG0HjUg6Ls2tYskKSvGOfW+ZQWBIBAEgkAQOB4IIF2tWfjs21pkGVkTEzOISt+15xfJmmOKiPVpc0A7WevXJhKm35rImGEfZ69lnjWyNRZMuTl5UYLj3PllSxhcCJwnjNSv3uZUEzPpZH2FpntKms3v5Nk8byzYvTbC3N/czmFCiZtzs4yDRbL2WmEDqmkskEcfj3cn1wwCQSAIBIEg0ELdBEuQs9QvhxR/3bgpdBqjydlcJGuTtJC76V0cUWTNYaUFLgUt7YwvCYetJWtPOoiq2AOat4vA6Z2SR5suZI39CZKzBn69kelZjazJq9FBpa3qnDZkohZLhPuPcIUQCKIjb6Fx07Z45ItkTSHNTbgxEqQh6/x/CQJBIAgEgeOFAJlQDqQQtlGXlMukgc2+pvWt7svv+O60tsnrtNdT95QO5rxKIRupKTIt5czxfXIjfxFkQ0OW5qynN84tZyUoHtPUTQ9V8ruvTtbPbSQtB23TCs141v/ewumKxL6zyavJP9uc+djkSadkzZsXHjAfe5GsheSFzEPWx+ujmesGgSAQBIJAR8CIZylfaWDFZfLTZzROU3sl/cs55UnjLguXkiT9SJtfLRROVpRHbeFNtVrO+SNN+czsjbVkba40YmUhCIvzZh30tiVkzUrg9Zr1qWocSbvoV5pnLYzupgwCsfkpWfPajd1E3sIJ/lbcFrLOf4ogEASCQBDYqwj0gmf7w5fy03gP0UoxX64VkRnwoUKcM8qDVilumWWNqKfjoEWcdUIhakM8OMez+qx1fdbmUivmUlrOoyZKLmnOa+7ryhtx9V9trr7ctSla3fu+z8YFedxi79dveWni5EIFNih0rurNxsX9hcuF2k0xUSHu5uTAhRiEz1WUEz5X+MZwUGmeFQSCQBAIAkHgeCPAIUXWQti9GBvZ6qKS2kXUuO/xG2Hxz7bNColLHfO237nRKfV7jdue0RzWyzTOw6tryRqxiptz0zE9b1leereXqjcePMPBDSlZd4OIPisIBIEgEASCwImAgJZp0WjRa61fyPq1vU15LyiYqYpTyMYq4THbnBj/slaxE+ENyz0GgSAQBIJAEDgMAWStp/p4L1VxrAjl78Ljku9ZQSAIBIEgcFAQuGR9c120LlWfqo/Ue+qD9T81HpRbOxb3gazJi2YFgSAQBIJAEDh6CFy7rlHfXNep99Xj6pWzQquQ9RbQ3gth8C1sNy8NAkEgCASBfYnAfeqGNdSF6sv1tLrPTFY6awsIrCJrbVhyydN1ZpMfFa7uS8W2JnD635dovdjas8618JoXLVSRb2GLeWkQCAJBIAjsewQeP+s7VkIs3blfvOqrNe2QDr9OpZe2GRaqvA2Z0iWFA72WIqelUIxs9lvb39TNfq5JZnuI6Bhe/Mcmq03d04yNV7SebZ1Qiq8tImMvXkXWFMTol04BVQSmVcsFge1Yz5NUe3V7XJuVC+o/009tQy7upt697z9suYEgEASCQBA4kRBQ7Ew75BytM0q7MdUyyp0/3jhQyzGJbJLY2rUYJURStChrZbbIdmtjplJmGBVu1JutApzCmXYuomImTfpdobXXfLE5xH+wjqyR8qcX3hVa4XS939w2Q/dUn7Smba9H1vqzL7rRI/2appNKpSwrCASBIBAEgsB+RYDzimx51jxduiLmVJgOSS77Hk2a2/3daEOFjFCY8dLvXXLD2pMJjRlIxRDg4Oq/1rKsbcvsC966czAEXPNz68ia6Mh/twsZsOEE5NUUBtAqZR0QKyFi8rKQ9X79DGbfQSAIBIEgsAYBaV1TH3nKxL6u2JxWsyyki3nIpk9KFdMK4X0biUnsZHGRzRZtRsZ+eNaUP3nT+JU4Cl6+U3vctUmVnrGOrImQ63u2SJ4ZnOHihnJwz4UFXNhwD5bBD8ezzgc+CASBIBAEDhgCUro8Z86rsDjBMBHmZWRNlQy5Cnsv0wr5taZOJhJNWtSS5/7djfz29ZrH7bwGW0kdU+w0NvrO68iatfCZdjKa3cLbJEfNoza6C1nr0T6pDeRwgYTBD9inNLcTBIJAEDjBETCEStib3DVlTXMuVpH1XzbeNBZz2eJxy0er4+pETWZUrppU6fOq6gdakfbr28wNEyvvv5OctST6TdsULAM+/B2yPsE/1bn9IBAEgsABQ0AHFEfVSEw5aNMm1WL9bCsAkzIWdRYGlxIW3u5TtBahIPjFM39Je0J4nWOs/kv1uLD3/Vvdl9nYitnUhf3eOrK2wWk1+H3bJBDufQ+PI2ii4wrMeNkh6wP2Kc3tBIEgEAROcARwodHNQtxaspCnUZjIGkdq5RLCxovI2nAOeWhLXZex0SrFLWR9sfZalePy1Ljz8+3cwu3OgVcVtRm76TqvWkXW4uqLfdbas8TW9Yv19eF2UtXf+qxViUuUn6+Fx00L0UeWFQSCQBAIAkFgPyJg0NRVG0FP968IzIArIfK+TKEUyu4pZBXjyF6ltyWE/rj2u0mSiBh59yVMrnXaMRxj51J0tnbq1n4ENXsOAkEgCASBILBXEDCXWs5b2/OOVuRGdwRfDg4CQSAIBIEgsBIB4ijanHngO1oh6x3Bl4ODQBAIAkEgCBx9BELWRx/jXCEIBIEgEASCwI4QWEXW128N3cROFJpddiPBrlhscV24VcjpB1NcZpFRUyGnl2yWGN/mcm7i6ITQu5LaNk+Vw4JAEAgCQSAI7DoC5mBo5VK1TRp0Gu6mZjar5G46Jf3iqslJkRIVU7itQhzH/kRr+/q69rfH/czWMrJWak5WjcKKeDuxcn8j4cV1lVZmroLtd6rqHU1P3KAPTd80U7e7lK1/dyN9FeZZQSAIBIEgEAT2CgJ6ohEx+VHroU04xfhPbc1UPxWY/XZ7Xd/3L1TV6U1YjBOsqtxALMfQLDmt8S1ZUr3bK8lavxi90rs2nVMnUkquhHxxsSgQNQ9cSTrlFW1fP7ohPH6XVtJ+zfb41zapNjKmrAql6TxnZe+sEa//h40bo0P+sVb6ztpw/u9rTeIS9WTY9LgRN88KAkEgCASBIHA8EECuuBF3acPi0JINNejDMA/O6gc2xmhSM8NjfeFLxz2m9Vk/vR1r/galUK81apqTfPZa5ln/fGvkvmFr5kbWv7UCCWSNxDWDOzEi1XPtQm7gfRvh9Fu2YR+UWoTF3YzGb43gNMf1nLkpTeGfav9SgEHYiJ6yi724YRNO9Lw9qFktx+MNyjWDQBAIAkEgCHQEEDXvmVOJ96RtyY4+v6l8LpI1+W7OLVW0P2gpZ+ROA1xY3PF0xSmarSVrueLbN3EToieXa+O7nACBTheyNteTt+zCQuhk1oz7smmbvVITLP+VjbGZBmpTc6GGZk6n11yrkTVt1E+085BvWyRrpH+TDV1yTedeJ8SQFQSCQBAIAkHgeCHAu8Z7D2ihbuFsKWCOqHD2U5d41svImiOKT4mn3K/NuPYYDp7VbB2pGpzXLExtMyTV6KGauNVXJ+u3NMJWmCbXbJoIIhaPv3kLbQuRI1oTTHjXLAcedCdrXrnE+u3ajS6SNaOBEcGC4cmHrI/XxzPXDQJBIAgEgT7MCqlS7aQd/s8boWzzqp/dIsH4jfc8rd9aRtZPanBSLePYyoVfYUPdjOMqrL6WrMmKIlMeLTFxm+A1T4dpd7KWFBc+VwgmdP3JRtb+NlzbDFAqLjxuYWyELESO/DtZ2+TXtAHfNMYXyVrlnNFjIev8JwkCQSAIBIHjjQCvWgU4XkPOeIu8NscTl12gRZbpgtMA7+vtbeY1L5rmuAh0J2ua4M+pqvO3ui6kbdLlWrLG6A5SyMVLlihHym9b8Kzlnz0vtI2kzd/sBWOS5bxoF+SdsxTcwJSsbUphmRtncTAKePMh6+P9Ucz1g0AQCAJBYBUCPGv8J/+sMFrdlQlaCFvU2qAOBK7mSzszh/UpLcKMpPGk1ixhc+3Pqsr/qDmkurH8zRgwKGstWSv2kjh3QWyvYk1c3tSRvgzv+MFWnX3jVmYuxm4up+T4G9ucTnnr7qUb/+Vv52dhWD9cVb+88SOcrl2L161ajncv4X75FiI3jeTK7cZV1GUFgSAQBIJAEDheCHxD0xrhSeM8/Nc5kkaJ4mhetxSvQVivaRs1wesirUBbftsxnF4kr+haYbfW6F5dfsSc9bEA4GqtGZyH7ccGbZRXnxUEgkAQCAJB4IRH4EgFZscKIOQs1y1RzwpRYZ4VBIJAEAgCQSAINJdbGDsrCASBIEd7HeMAACAASURBVLD3ELhyXabOU+etV9Sb9t7msqMgcOwQ4FnTI80KAkEgCOw9BH6tTq6P1dPrJUtnE+y9/WZHQeAoIbBXwuBH6fZy2iAQBPY1Avetq9ZXNipi713mDWQFgRMWgVVkrfqbCMl0UWbZyWCOv2mVcfLSu7k0kCuf70vL1x0XWsym11Nar3ldKT2R9Z0uFfJ6xPv6dKvmo1yTFQSCQBAIAvsXARxJZ0S3kzYr3UyGa+hg0mKsq+mBrVf6p1oblj5rapsmRk7X3Tc6oG7Q2pSpcDoXiVHn1/kk1YObaIp4TPsWztVG/dlVZK1tysQPfWN9vWRBjHyr8BshRmJ0txe1GMB0oXQTTYBKOQ2Qi0v7l/42A0f0de90Ad/gk99r/XUk5lwjrWU7RTbHB4EgEASOLwL4hPOqLYv6Jk65c1Pn1HL1/g2xsEs3mWxOonbki7WWZm1d04VTTeqi7PmZ1luNh6SiX9zma9ArQeCcyr9tjiDxlFPWkbXpW0Z9WeQ9eaJ/2LxjozNZAb/YFMqIkBM70RNNEtQgD564hm5/65t2E4rZaI/bBHJFtAZ1sEx+bONCFMqsdzerhOrLz7TXazr/eFNDUzHel3NcsvWAe+xhTSXNHkz/ov5C2KWf2/PGkwGOAAvlGBPAkCygPrjx+M0amdMxNxmFNqvGd2+UMWizJvWFxQBwXwaaeEO8CXrk9Ko7Xr86NTfXIj8HF21rFNwyr/v4/ofM1YNAEAgCyxCgvmlKJB4ym9rvpj8S9kLGtEZEV7UaE0nRR403yWlzImfqYxujM829RsjEv3jmyF8UWFTYa6h50ifRb02yW1/2SU1ABXc8cB1ZkxXtIesPtbAyckGsmruFtSmssDxYGgiMWotNsjhswI1x9RHjlKyR8XMbSSE2s7CNvbRBLj9vlVoasqYGQ92FZBsLhgZrBwAIyBqRzvRTm+CKEDTVNHrmjAb5LoTumhrPycMxNhAqsD1O15yxQURdyAOIvGVA3bQpzxjz6X7pnK8ja2EMxoLzsbzsjRCMN4qVZBQaoRdkPlWEy3+XIBAEgkAQ2HsIcEZNz8J9yJgqGbImfMILfmEj4a4FzrsWDu8Lb3B2O6d6XgqXcJiF23AfLx5/0BvBnQibbPfd1pE1EulhawT8zA2vkkct5MsTFEtHZrzuHqv3OhO4kK3jhaKR5iJZ84w953xu4hGN5EmtPbiRv9wvsubZ8uARNgOBt8546AtZ0y8nWWrJtQuDuyaiBjCiZli4eZYSkuapd7U1Q0EMGTH5C4GKKlCYoaoGYN6y/ATLiWEhHLKOrD33XS1aAA8Sczz3bli4X28MmTkSrVlBIAgEgSCwNxHgICJnktk45Vub87iMrEWZOamXaseI6loiyrgJH56zeeLO1Z1eY58RuetwLsmRkie1OH2/v46sJbcRZl/IxwmFtHmiJnJ1smZt8Lgt5MTlZzmsImvSo7x0g0AWydo1eOqsF2Tt3JLuCPtCjTSRXV8IkGwbz9tCsA9vRV5/3AjR4xL6PG0RgGVkjYR5vzxi5yB7iqj9GCrO4kGs8vjLJn5Nw+CsMEIvhpZ4M0QJhDmEvhkDvHeScrx3x2UFgSAQBILA3kMAR5p34QevSKHiI3yHrPGc7/HXNidOKlRkGc/gmz6gw6zrTvacYFHoZzWnFk8Jf0vVimhfthkEuEboHZ/edx1ZIxPE2xfiQWQ2yrNWhLabZM3b5rny4AGDEJE1gmNpKNhCskLJiHVK1uZk99C43yXs5YURLPLnRQu3m7nt/M6DJHnp8gauLZ/M6ul5+U7WDA4eMNDtg/Fw1yWfqSlZf0fLbQvtKzbzBiBsb7aIhBC8sIcB5UL2ohNZQSAIBIEgsLcQUPVtLoY0Lp7gKSsAe1FLpxoZzeGU3sRVap6QtMpv3ON33Ek7HIeYsCUtanqklKxwt0g0rnjXRk3YO9rfCFtum6fOQHjkOrKWy1VU1hfi5DEKFbMcbKATzW541kBhlcjn/ksjZ9e8arsRpCq8zYNGsn0xIBSpietbwGPVCDGIDiBoZK0AQCEAwJC1cxkK4hqiBqwcHq97U2DWyZpeOW8YabtnRgRDYHFNyZpBwajh9dsP48YegM/CYhAoUGBYGC2aArO99R80uwkCQSAIQABnIFXV2zxihK0QTFT45I16qX9r/MPxEplVwHzRxo08ZWSsxklY2/e9eikLj4hOS/s6F57gXSty5sxx6kSMjaXmxX94FVnzQhef696feHsn8ekErv47ohJ7d7wfr/XjnDxTjzlH/5037dxIixWCHHmy8smI1OsdazlPr0zvHyXHO19fXmMvfqbH9se8tp+j78W/nu/36Jwem/7dr+Gx6X3367rvxXM4T993/7ef13N+IvaQL4UgEASCwN5EwPd+/x63w84jfu+81Dlhyif9MWOhhcoR85SPOgc5/5RrFx8/m1P2koKZgiuFXZZCNYSdyVt78wOcXQWBIBAEgsCRESC8pVBM+nVHay+RtRsRfra0dgmHZwWBIBAEgkAQOOER2GtkfcK/IQEgCASBIBAEgsAiAiHrfCaCQBAIAkEgCOxxBFaRtYpvVW5vaa1KqqWXaV1TWtEHphT9ne1eqbIo8nKslqXtLhXmFGCUs++Ghvd295HjgkAQCAJBIAgsQWDUkkXWWoHxG6sGbV1tjbqntHVNF90NOh7TRfBLEdsPVg2nVY2UMomq/FvVQGJ7tpaRNbESil20uil/2Qi5TZJqi0vrk5YnOt+mhCBn6mIqnCmF9Ybw7bzN9FG1T2k2721Z2zlPjgkCQSAIBIEgsMsIjCq5CZpoBcalTXFz0IbFZyVV3QdM9WuTmdazPV249YatE0pPt8px9Vt/VzWc3aa8jKxVZOsL01umr9gkEd4tUY/FpT/MZvyQ9TT4gtoXSVLHaxRH/kjdIvep3L1XyOnlJlxC/5sKDAsDMetJ9m8naw3i1MuAQ3BEY7le7KwgEASCQBAIAscBgdEkyQ80zQzy2rQ9HlI1kLpG1vi1t33hQ1xIAKUrg5Lpxnt6uf2rqPqjTUiL4NhNqoaztU6WkbXZzD/dSNeMTUos9EqXLWRtkogTmjBiwpSQOaESmzPEAomb68kIcBPUv4iKXLORst81gOuvJjGKuJ/clMW8huAJq4OICOOB9BpRkWWSn8fhDcslg0AQCAJB4MRDYEbWRLRwGh6kUPnEqsEIzMkaTVokkU1l88lVw5eqZiFy3EqyFAeaHWEKpHQywv5M1XBY6/Iysua5UglDnPLUvGBjIeWNebzThawf1WRJedGInrAJVRZk7XfKZAi4D8f48aYURjiF9WBKCbI2OIOqmDCAcALFsilZI33hBufxXMj6xPvfkTsOAkEgCOwRBEZRYkOaDKQiZiJlfNISsiZljRvvUjW0Oq4ZgZP0/tOq4W+qRvwmv03BDIlLK8t/f7JqmA3UOlI1OLaXk7YJczrJgU6lMTtZ64uWCOfiawBXnIashauN+OJ5m0RiMywKJM16QPCdrBWTGZHJg2atLJK10DzNcJqqgAlZ75GPbLYRBIJAEDjxEJiFuTmz1DcRt5nX9zicrEfpW9MkaYY/omr4fNUs1y0SbdLjTauGTx3CbiSvjbjpgZOmPrVqmBVvryNrxWXyyYrNsL1QNisCkfbVyVo+W1W4TfjXhCtkLTZPH5ugOTJGzkLZCNn0LpOoOlnT8VZZx6tfFgZXeU5rNWR94v2vyB0HgSAQBPYYAjPSxVec2vO0KPMfLJC1gjL8+bSqAd/xXYXPhcW/uFE9Ph1K5Tka42rAOLW87xdUDYh7LVk7GUHxPl2LVjdSlkifkjUCJWwuj8xb5v0aaoGsedvy3TxsIy551zYxJWuzQVW8sS6ExnnuxM4XPeuQ9R77qGY7QSAIBIETF4FRuxYnVvU3z9rELOFrUx8/38LbyFpl919VDU2Vc0bWuqXeWTUYOtXWaN61FLLxys4hmvz6/pp1njXiFdJWMOaErIKeu+5n1wsmBy3PbENy3Fx2E0b0k725ec42IZzO9af5jbTNhva8pa9bftrNfls7B0PBcUZMXnGj0MwAcCXtKuiIm5tglRUEgkAQCAJB4DggMAuDI1TRZ/MscJ76LFXfX5hXhY8Xbq85q2pQk8V7RuxC5x+sGpB9J2tRYwVnarZ43G3U88BhXutZ94lZ/XXTcZm7CYwwuBsWUvjG1jDOsujzqXfzWjlXEAgCQSAIBIE9jsDMEEDRa1u3jsdN6L/WniUMLk8uIZ8VBIJAEAgCQSAIbKIaPCAFgSAQBIJAEAgCxxmBI7VuHeft5fJBIAgEgSAQBILAKrJWNKZyjca3pe3qoq3w6zP7FDYFapL9CgG61rhqPpKmdMj7UtC2bnCIFrOXrMDA+YjA0DPPCgJBIAgEgQOLwEgGG6e8/dDAjZEmid7qd1UNpEgX1qgX+1xVw4sOf2K8WFVd9tDjZxemvbVqwFkrC8z0df2fueTZjMjIqan0lk+eqansw6X16wptQphKdEvlnQo8g0r6IpF69TX3p5r9gSue15ZGjU3+PSsIBIEgEAQOJAIjLe9rN/UyDh4NEd/7JmqZmqXy+zeqhqZLMlIGxR2kvK3HVg3UP9sa8QbdEsM/dEdpAdMZpRL8blXDB1d51l7Ag1SJhqD1QN+2kbeT+916VZsgwvO2GQVipnXpk75KMwbciMUKoR3uNX53LGEUC1mqBCeEblFuIYDunIZ99Mf9DiCLmpphHu6hTwTTCua81q+3di8930/dAGcZWbsm0Raetl5w19OiBniN7FdqQ0n0fLOEyL91suapu0eeuUljdFzpm/vX4BI4sLLgd/aYs0NvTn4LAkEgCASB/YfAyOnzPU+Jk+PH4aPweaOmD86xfdr890FbMyrFW3jsxhsco/eaStn15mQ+mqWhqBo/EgYzD4OTrFW6i4Q95UhkbUO8RTOqTd6yEBmtU61WRn3ZoNnTXduUZOg/tAlcBFTciAEePPVbtr5s50HoSJ+oipt2HK9WX7dzec7mkexj28Qu6i70yXn8tFaRop40xMmSAQIRFqEG1skLWk83knXTpE+dgzyqhazdC9LXKgYP50HcjmU96efWA+5Yb4jrX6TtkdALrdfrN9J2PMxgotdcr7rm94mc3P77aGbHQSAIBIEg0BEYcZPoKm5s7VUj/Y/eH43vqJCdUjUsGRM94q6HNcfz841TOYQ3qBrojLc1UhHFk2dspKGfsI6svQjRUC4jIUqlhccrRE6ljGgJ6wG5EU2xeeMxkaKN37x5t3LfiAtZ0/PWDH7p9toXNkOAAcADRe4sDF41lTPHGN6hidzN8W4BQklNroCIimsKNdAj10iOLB1jGe/5uZZDECVYRtZ3bqIrvHyedZ/fTSrV3zx1+35PMxgQsGvznO3LnpH7XzQ8kDuM3KNz04TNCgJBIAgEgQOBwIysOWj4kyQo71kkFt/gI94xsZNfqBoW6p9G4e3fbc4gxxJHUO3EU/c9RNYz751MNw+b4Nib1pE1D1f83divJ7QJIf5+zMbmjM50coM5rtvIWticB8yrtGlFagh2StY8a6FjJIiIXZ/XzhIRTmBJIHD64ULeiJsV4ly8XAaBPfCEETyQqJxRRqNq5tqO4Xnz1hkXXvfEFn5fRtbAs3ckbCHaU9oeTfhi6bhH+zOoxLV5/D23QBNWKJ3xwktH+l7TwyMMiqwgEASCQBA4EAic7VlzKEV+cZTIrJx1V/HEV7eqGprS5ohHRKAN/hBF5sxyPg3zoC3uPPhRdBh/dfVQ3MNhfNw6snZx+uA2RD4NIal0RtY8bXlaOqbIime9GbJ2A6aKqJajUobYkLVrIXXEa+Pi+8LsvGhEjKxZIW5ESJohIQRNjo2MqbA7Qpa7NksUiSN1MqUkUVk3mwmD94+SayNe12YpmTcq9N3JmrHBIgIoDXQEL4zhGHlzeW/RBUUDPG6hjqwgEASCQBDY9wiMnDgOLIdNdNVIS9//vG3OorC17/2XHQqDj5xUEekHtHQvblO/hVMtZM2Lxjdqnzisctf4kRN7vyPlrIWCvZDC2Fua14ugkZ+wswsJcSst3yxZCw8IcwtL/3EjYZ6qULbQsZv9/iVkjeh5y3LGQvKK0iTrn9tC0dqlEDpv3ixu+WzhaflrNy+5f6Sc9TKyZpzIuytCWyRrRoPr27NwOLIWhldN7t549iwoufisIBAEgkAQ2PcIjIhVgbMUsQizYVQi0BxbeWzRVE4lPhBh5dx5DAdph5Y6/qGWZjah0uJcCo8rWEbsuM6cDZzoWg9fRdbi70LONsJyQMQquOWou1fsWOFr+WM92Lxe/cdyuX2INnL850Zowt5K0xV3ITmi54q4/I4MFXu9sZ1PHgChC4nzqm2YtyzfbQiIGxZuQMau69zI3p6QpjC0kIJcQK9oR7bOJaTQQ97CETx9gLaJKDPgnEffGwvKhJTeW65YANAw6GFwr/W8HmvPixgomvNmsLTk/u0nKwgEgSAQBA4EAqOorXSvqCke8iPSqgsJeeMTfIAPL181PLxq1petrgqniAS/uWpomh+jlq6bVA23qBrxEvLGdyZScgg/vIqseaIIqIuIO7lwN/L+8qEquBkZ8rIROrLyu38l2B2v38zr3RBC5Wkapel8ju09264n9Owxr3Uty/m81vld27l7tRzvWhjBQvR+R+L27Dg91Ajf9Xnazu9crumxTsquJd+92D8OG/t3bc8JUQhjmLDies7tef96vu/R/ty76513gtmB+IjmJoJAEAgCQQACIx7AHZ+rGhoXjTqTGhcoLptViV+malA75Ri8NGzMsdahNFkjHvraQ4/Pxmgi7c9WDTNuOpZyoyrakDXPcz8u0QW5de1qvPusIBAEgkAQCAJrEBhFYb++athxdPVYknXe0iAQBIJAEAgCQWAbCISstwFaDgkCQSAIBIEgcCwRCFkfS7RzrSAQBIJAEAgC20BgFVkrHZcItxR8KTvXR7ZsqZqWDG+C5dvYxaFDlLv3RaJTfnjVlC9KY55XeLa4lNb78fyypU9cEZylqI2Uaq8Q38kN6Ed/8TZOoEhNRb1/VaYrZlNFb29ZQSAIBIEgsOcQGPGVYua3VQ1amRWQqf6+UNWggnuyRkM5dBApSrYarw4TXh2vVjVM+GPUxqV4be3ULW1VCFqFm+ZsS69129Bhu6Da4jValHa69HK7tqVCXA/a49oAjcVzkxQFiL7rxaUCTyk8IZRlSzl8B0UVngpyrWHavnayiLP0JvetnEf1oN5y/yJrYixU1PTxZQWBIBAEgsCeQmB8ShP10v3jB9fQ/eBo0Sc5Z9VAG6Stsbf69i4l+iWnTkZimodxu6rB63qluWLsN1QNM05cJ4qiR1jLE49Pv/TzNvqtX70EL43fZNRWjY3cCsTEQ/SvWYgLYWkUX+a1A4hXrXR+cenzJgF3+xUXR4L6sy3eLOUzniwltp0sREvgZTtLdML74U3UXE/cZck81O2cOscEgSAQBILA7iAwchRpf/iO1qolokoMBRHTHTEPQveQr3RqlshX23Fv9dWShYCvWjV8rmqkskkl86Sq4TxVo35tCmmkSRH4jJfWkTUVLhaCMLdGbwIoPF3tS/3k5NA8R5NbI7g+ZxKgboCS1w8079BrTCERMuDVauGihEb9rPdy2w9SJpLS9+YcyBoo9sN4INfmb03oSM116a86D09bozpRFWRNBYYUqHA4WdC+kDUjpC/64KIGjBH7tH9WzclNSo78KRUa4zYJrJMeJcVKZIVBwVjp49Icz7vWT663rqu0MQrshfIaCTmP2wMZV2IzWtu8mfRi3Zfzs8x42UIm1G/87RzOZaoYYRgRhCmGu/N5zFmCQBAIAkHgCAjMNL85hwRPfA8/qWr4UNWsb/rGK6Zu+e4/rWp4S9WIg/GP1q5HVQ0XrBoNiqLAyaF8/2bImhoZcjWrGiEiCyFvyiu8UERGgYzACLUuREIvmxiI57u2KSERXjJLAdkjc03eQgaIzojJvuiNI2ULAXoNrW1Wit+FtwEj5G5wN1KjDU5P1c2ahiJ8j9RFA+zhHxvhT0FH1qwhi3AJYjdzWi6bziuP3cQTEqYsJiF5AFN2E+qmOvODTbuVwQIfBCy3gEQt1hHjw/2TQZVDNwubQUADndHCyGDoULpZJGukT6r0Om2uNqlToZd7NqU46QHzTr2OHF1WEAgCQSAIHFMEZuFtIWxOFk7gMfOs8SGFsoURmaPI699XDfgBv3NcOxe+umrAJW2Nvus3Rda8QqSFzHjX8tfyqgi1q5uRDu3TRITBbYDMJ51U3i0PvMuD2jxCZXH0qVukP3nsfSFBRoKF2JEQ79F5HcOTlahH1ogPWQsvAIy3ywMGlvCxCWCMDcVywtPThaxJm1ru0R4k+hGrvDVPlveK6E3/cs/mYJuA4sdca9dlMFypRRd44q7rzbBX6YEubSq07XWmlcGMB80IIl1KUhVpL5I1/GHl3hXTiTgYI8rT5rUzShA4Lx4WWUEgCASBIHDMEJgVjXFgP1E1PKNqlHb1fY0fOZvyzYtkLaL8mnkeeuQE+u7mKIoUc+AuXTUorkbkmyZr3qwwuMXD6zrfPDnh4D5PGoH3nDWPUTyfALnwLOJDXrzKzZD1NAzeITeIg+dsQheSdd4pWfMwed8IFZnzXJGmY5C/0ZVCyotkPQ2De07YQe5ajgGBk5KzH57+OrLm+SJw1tUiWbOw5OBFEuCGaGnG2hMjAIkzJkxggeE0DM5S83pRCrO0GSIh62P2HzEXCgJBIAisQmDEH1Ka753npUcOLQeMcyuSrNDsS0vI+nVVg4pxZMwBw62OQfAcvqtXDZzBLZG1fDLS0uKEuHm6SJeX+vo2h5MHjawNvBCiFdKVZ0Y8No44De+w+e2SNcISJhBGlwPnnU7JWhgdYTIK3PgzG2kKbQtbGxKC+KYe/GLOGjLCD7xZhoZQNxF1If9Fskaa8va0zo1CQ/IMF5rhi2TN2EHGT23nF8Y3dYznLn1g7yIS0gfe/ClZv6GF9T0vQsEQCVnn2yMIBIEgcFwRGBGx7ijf7zxiRMuBxQEcPBFkaVGvkZL9hqpBRBUBn1k14ES/+74XhVUjZeGp763q7Vyb86xNjRIGVmktlKwPWTgaIdqERDrX/cnNc0RCeoLlq3vBlY0LLXsdz1I1ucIw4WF6qUiMx9huYrZZOdhF7XChBpVyCsCEjRFd95aFweWIEa3rKHDjgTMoELsqOkn6/nt/i3napp8sLrl3EQTgM04c796EJRgenncuZG2eNqAZNPBA7PLXQiHuzxvCI0f6QuawcA9wcj7PqwpkRZnBLZfvdYrh5M7hzdCwD/dtcIkPAtLm/cuPqxbknZsBnhUEgkAQCAJHHYFR6hG/4RzLv4qbpX6lO3HnGVXDWVWj7+vvrhqkUVHFDQ5ViC9udFRgJrrb1sgJ/WTVIDy+shpcHhrxWggbQfYJV/05j/WpWEhGVRtvERnZLGvB347znNeK0bNGPO8YzyPYvhyzTARFSTxCRPr+Rc4Kvnq8n4XiOs7neXt2/m5A9IlhR7qO5+2x77dPAOvX7uX3DBaRA/kIhWiK7xSj2T9Lanp/IhOw7FPBXMM994leXu/8Wrf6c/YLL1jbi/t2T/2+POde7ce57TMrCASBIBAEjjoCs4lYvtd7N1WfLOlvj5+jamgp5NlYzG+vGlotlmPnU7S+eslhD/igrVlF+Vf6RC8n76R81G9xly7AUxZ+F9b27zIFs1261MrTyDWwlHi2Ctn+qHnLR/u6OX8QCAJBIAjsGwTed6Gqc3991cV3ZeqWUHJWEAgCQSAIBIEgsEcRyCCPPfrGZFtBIAgEgSAQBDoCIet8FoJAEAgCQSAI7HEEVpE1FS/54CNNfdKLrIqZeIifzS7KYprJKb70pe2JlOh2FyUYbV0qtUmUqlRXTp8VBIJAEAgCQWC7CCj0onipKBi/XLW1K/fJjbp1DILyt/Zl3UAKj2lk9IXrFCbjTEsBGplpWiCO0bqrk0nLNNVMj9Ho0EWkpfij67TBp6Ioq26y64ZT4Jr2MR8JFC1PVLj820eE/XKT5USy21kAAoQbNlGrS5Bu51w5JggEgSAQBIIABKhj0rigfWEGBKEuxIucEauC4z9vj3s9XtOho22rL+1eXQJbF4+WYK2+Zk3Q6cCD2nxpbjienoeWaSSvVfdBWyFrzO/kfQOmcpkBbUiHm9Ffpo/YRSwbUyVt8dK7fGm/GX1qbp4kp6X32Ov1YusvNuCCdCgxlf+sKuMzCa64Di+eR4+gz2ptXFRg7I0QCrJmoeh91o98m3Z8PnpBIAgEgSAQBDaLgDZcfEIXQ4susta6xdsm9oWv6I/ctWlvEDbBi3iHoBdP3ELQjnE+MqI8dQ4lnmII8LKdQzSb6AojgCYJwTESpg/YClkTStEzRkzEEA9E+xeNiAmFUOMio0bZi+42oQ8XR6hUvgibdC+a5WAKlv7pXtIu9G5Ih8Zyz2kypyuO6F3PTQCNbCd1MjdJV5tiGY1u/dGsFWB6nV5sFgkZ0PtsqKo9ZrPvTl4XBIJAEAgCQaCRK9EpBI3j8EtfRK1Ecs3D4EhaOBDfcCbpZCwuBC/07RiDsKic4SrKlgY+EdvCs343G+NarT34lK2Qtc0SAtGXTctaPJ2XS5wEcbM6ECvBD2QrL02e9JrNtRc6MHzCQtY2yRO2cYtWNpET+uLC2fLX2srcnBujSoZ4GQKI2kLcz26WjPNPydq1jMt0DqIjIev83wsCQSAIBIGtIoBMhbkXyZoTaa413unLuEsDlkSZedb/sXAx0WPy2SSkhdFFkEWnedxqrH51rng2c0BxH+VKofHXboWsbchGWBJcdAM1kLWQNclMc5aRI3lQG0LGCr68nnXAa56SNQ98OnVLyJq8Gk9Z7F7Y2/Ia8qBC34Cx6HUjcF64G+a187ynZC3EQO4zZL3Vj2ZeHwSCQBAIAh2BAe6iUwAAETxJREFUVWRtjoRCMgJZQuHmZPCQSURL4fpZmLp19khj4XP5aqTsNX5IdStKEwbntUslkx+Vgr73OrJWAIbVLdqnyJXXS/ua5yzBjqy7N+1CPGMbRNwIHHnztOW65bKnZI1ExfXpfFusB7F5rr9QgvPy5E2pkpfuZC03Ld6vAs/vBnyI9xu+EbLOf7AgEASCQBDYTQRWkTXZUCle0V6RZsT70vYjbaxYWuSXDLVuJwtv8Z45ofgOactxy21LMRuSxQEVKebwmhMhMnyPdWTdtbtdwAVpX2uJ4qrT70a+yFoMH4nLGfO4edBeI1RtM4ZPIFfe9ZSs79dIuWuBO5YH7To8Zee0bJjl0sla+TyjQFxf+Ttv274Qe8h6Nz+iOVcQCAJBIAisImszGhSNWfLTwt9yzULaeA9PSfl+byPyTtYKsi1cxnsWne7S30LkHjfUShqZQaBo+vRVZK1cvI/tclKFYQrBhLWRqjnNwt28Yv86uTyzE5stbSlHF5cXs3dDQgY9P+1v5e5GafZFwPz9zZt3g9rC6H67lvj/jzYvu5/btCkGBbK3D4Vs9gYkPdfIHZiAYZmwaLKCQBAIAkEgCGwFAfVanEKpVvzSlwLo3s3kMZFeTiTixmW4C29xWlV8WzxxDmlfiqzxpGM4n9K/rucx/IgDObmfi4LZVt6yvDYIBIEgEASCwOYRUBWO6HVO7Wgha95pVhAIAkEgCASBILBHEUDWBEOygkAQCAJBIAgEgT2KQMLge/SNybaCQBAIAkEgCHQEQtb5LASBIBAEgkAQ2OMILCNrVdyUwvRYUxFTlUYXVR/14pI4JymqIk5vtYpuGuBf2ShXJ9G2leEei+em4qLJnKRob+/a43Bme0EgCASBIHCCI4AXTZVUBf6eNqNiOgGSGArNb91Lf11Vr94QD/u1xrMPbmqdJnu9ux0/g3MZWVMP00NN9ERblmlYWqGIjy8uJE7yE6HqFUPSb2stXIRTEPd2l75tkqWEU7603ZPkuCAQBIJAEAgCxxCBl7RrkcjWysXRJdHdF5EvQij415AqczEe24ZZcXAJqxAfw5/IfiVZY3weLY8ZWZqO9XeT/unpPXeyJpFG31R/NPWxmzWVM1YDJRfntG66ISX6uvZax16lKaORUyOSwsIwblNPN9U0YzptmKDK5ZtQitcSTXnWMQQ/lwoCQSAIBIEgsBkEyFybReEH95HFJtXdF4lSgz84oQ9suuO3bToiSBy3UTkjCPbldWTNq0bQZM5c5KkLQuWLZE3L20WpiCF3YiXC6DxroiQuSnaU5+11rAgbJLzy6EbMp7YmcpKhVGAcS4jFEBBSpUIKFF2QOVUXEqOOzQoCQSAIBIEgsJcQkAImEmYeNcdXj/WiRjinkzwpURTcSL2TGAoSJ0hGZvswh3RVgRlrgOKXwRoUW3jW5k1TElskaxekUmYzSJaFQJ7U70jVpiic+ZvH7SbIp1E78xiv2UQTcqFUyJCy4xfJmjZ5HxzC2ghZ76WPZ/YSBIJAEAgCEBBBVu8lT83LvlfTD+/omFwpvexxip+iyiZsmUL5/FbvxUGlavbhppy2NGc9hRtJc9lpnD6vWQIk0foSykbWhnaQRvuRJkkqhI2IiZLfo8Xl5bOFypG1IR6mcZk3PSVrVobwOw97kax51ELqrJCQdf5TBIEgEASCwF5EAEEb0PG4xnW4cRoGFz02/IMDbEIluezueSs0kx52DtKkCs6khteStdyz3LBBHcTJJcvloBWQLZK1BDpBch62MLrXImsEbaanZDkv3VBuofIpWbMmhA0UsNEMZ5WYuBWy3osfw+wpCASBIBAE1iEghC0KLbSN98zEkM6lHa5gWrQaAZsW+ZsbTu5zJ2TNs0byeFJhN89bmngtWTsZkuWyu+jL2vQrxV9TspaPvlMjWJ409x9pI2vWgxy1cLvE+a2WeNaqvm2a4DlDgPg5Lz5knf8QQSAIBIEgsN8QoAqKF6V6tUBzRDmu6rnUgF291W1pdVbtzTnlXavRulGLLt+i1YwZADLLXa8TRZETViimfUu+2OQPLVrTNipEKzwtpK0YTRk6i0Ju2fxOMXsbFAZA1s6F0PVym2DieRXkYvPC4wwDxW0sDdfymNy5XLbkOyJ3rOV8WUEgCASBIBAE9hICePESrVBM2vi9jeN41vjMFEheM07DYxxTvPqLjdQ5xvqszciWKtZttZasndh4LoTupCyDo9HvrIH86a0QzRxQo8VYFW/dS+hnL0EgCASBIBAEjiICfagWnlVw5od3jntrGMezh2cfxT2sP/WlLlWX/8Qn6peGob54gQvUKz7wgVlIICsIBIGjjMAwzNors4LAUUdgHIszhoAic70NtJH147dxXA4JAkHgACAwDHXrA3AbuYV9gMA41g81HQ3FU1lbRABZi59nBYEgcAIiMAzxck7At/243PI4ni1upU4pa4sIhKy3CFheHgQOEgIh64P0bu7tezkIZP3e91Z99KNVP/qjVV/zNYfw/s//rPqnf6r6ru+quoDxHJP1oQ9Vvf/9Vd///VXfQElEIvqLVc71P/9TdalLVX3d180fP/PMqv/1v+aPfdM3HX6epWR9r3tVfUAtN+mxr626ylWqfv7nv/pgz7/1rVX//d9VV1L/vYP14hdXffazVb9M16WtP/mT+fmtc52r6md+puomurar6iEPqbr5zau+WZ35ZAHgH/6h6lrXqvp6NeZtPe95Vec9b9VP/dTWN+lNePzjq/6t6bd5M25606oLX7jqVa+q+umfrvrWb52f1z284AXzN+xnCbZuSNW85S1Vb3hD1S1veeja3rzHPKbqE5+YP+ZcnvdmLy5v7N//fdV5zlP1I2RnsoLALiEQst4lIHOaIyKwn8n6//2/qr/+66qnPKXq3/99zlP3JtHV1mmnVT3sYVWPetTh39HvfnfV/e9f9ba3zb/bn/jEOQ/h2Ne8purLX6669a2rbnCDqrvcZc4n5z531dWuVnXHOx7OuUvJGiE84AFztv/85+dE8T3fcziR9k2eeup887/zO0d8r9a+4GMfm1sZFyVO2tY1rzknZI/9139V/e3fVv3ET1Td+MZV73pX1SUvebh147DPfKbqU5+q+vZvnxN8Xw9+cNU3fuPhhLnZHb/udVWPfnTVr//6HGgE++Y3V/3QD1W98pVzsFlClmvf737zffgXiT/nOfM3+i8oxLbFoHjgA6v+7/+tOuc5528c6+yP//ird+Xxv/zL+T15U7OCwG4hELLeLSRzniMhsJ/J+h//cf5dzTu+7GWr7nOfquc+t+pyl5s7Y7e5TdXrX1/1spfNnTfrc5+retzj5t7yrW5V9Yd/WPUbv1H1Az8w/xth47H/+I+q7/3eOVk/9KFz7xv53/nOVT9GmqytlWT9kpfMDxrHqic9ae5V3u1uc9L4+MfnJ/rwh+fsj0gf8YiqS1+66uEPn3vjNm+94hVzz5snifB5m6wUj7/nPVXXu97c4njTm+aGwY/TM2sLWTvvd3/3fB9/93dVz3/+/NwI9GIXm5MiK8Q53/GOqmGYX89NClO89rXz/QK7kzVrB9CiAaIGn/zk/Ni3v30OsHubLtdilDBgzn/+uXHCQuLxfvrTX03WLKxnPWvu/V/jGqvJ+rGPrfJjn/BgtT3hCXOjxH6t3/3dubUlygAnb+iLXjTfs/fHmw4DxkOPctzpTvMPwUtfOjduftDIlKwgsASBkHU+FscKgf1M1jxgPCe6iSdwk+/pK1xhzlFnnDHnHU5dJ2sO6B3uUPWd3zl3zERSfVfjqhe+cB4B5qB+6Utzz1v09573nPPVn/1Z1c/9XNVVdVsfiayRGWJCkk996pysbZKnKGT7p39a9chHVj3jGfPQL2Kyme/4jvlNIYo///M5yQlxC0sjcgR/+unzx1gprBJe79/8zdwrZW0sI2uPffCDc2PhJ3/ykFfKYz3llLn3j6xYPYD7/d+fk5/rIHvnv/vd5wTtXyT2xjfOgbzZzap++7fnxgSDwRvjOn0ha3/f975V5zvffJ/uC9C83kXPmgftjXPuq199blgs86zh596FPexZqJwxwxq78pXnRgGr67a3nePLe2cIsdSufe2q972v6oIXnO+d0STs7+fZz5574aw1r2etuUZWEFhEIGSdz8SxQmA/k3XH6K/+as4teJCDhb/uetd5BNj3LOLuZC23fbvbVV3mMnNH7+STD32n4yvf7d3RRf7nOMecfxA17nIuzuQRyRqr8/gc/IUvzEPRiIlXe5GLzD1LpCaEKyxsQywDoWIEjwiRuk3xlsX4kdO//uvcOnGuW9xiftPyzoh+q2TNK+VVs1AQotzyFa94iKzt094BgmiR9tOeNvecXROY9nnDG87BsXeEzUhh/UzJWtjDufvekeKNbjSPOiwja0aL0DayZjkh48UwuPsXqvcmKSq47nXn+Q7nFgVA1h4766y5QXKJS8y9aedGvownlpznYIHARRS8J94bePLUkbwIRlYQCFnnM3C8ENjPZN0dMxHgf/mXeaQTmYo2KzYTvfQYDxrX+Q5eRdaiokhfWJzjZSFzdU6+rznC97jHPGQ+XSvD4Lw1+Vme2fd939yL4y13slaAJhw7JWveHyJBPhe60LwYjEc5JWsE5G9WhjDyxS8+9xzF+o9E1kLDyPaXfml+owgKeMINCJlFA9TuWXeydsM9Z+14oLg3C9C82SORtTfiOteZH4dIXUvofB1ZewNFE/73/56H7xfJehoGh6fnGTgiFUIhDBs58SlZf8u3zNMBrDJpBB58yPp4ff3s/+vGs97/7+F+uYP9TNYqunEWh02UmDctetkjsL6zP/KReZRTKBtPIGWOIefvQQ+aO4wcYD/45tWvnv9Ic97+9nOO+KONGVwK1xaJ2nt8xJx1/yBw911Akh3BOimvuJM1d11oWDhWLllR1eUvPyezKVkjIUTH80M8zsMjlPtFQKvC4EhJOJ61Yg+8WmTHI+U18rBV3SGyTtbi/fbBewWuSnDgeL1ryusiXKHzI5H1NGfdMTkSWfPYWVBC8DzhdWTtwyDXbb8qzX0gWHDudUrWMGA0+NAoaHD+kPV++brae/sMWe+99+Sg7mg/kzXeQri+8zlhOAb59m4k/KgSXIGwImCvVTvk+xoHSr8qGuM1i3T+6q/OeRDB41MRWPVIIsEnnTTn1l/4hflzfW2arFkOyEZe9StfmZMrb1NiXIwdGbIQkKX+sF6eLkw7JWvWhptFMEK6Ks5ZFeL/yzxrRMsycU3eOi8cuWolQ9ZCw7/5m/PwtZDElKzlbhVeMQwQH4J284CW6GcAIMUf/uHtk7Vwhb3JZQtfMxjgJMKArHn8wiIMmEWy/q3fmu+fwYPM5fBFCXjMcGHswI9R4YPgA9FTD4wUqQlh/JD1Qf16O/r3FbI++hjnCnME9jNZ27/op/TvO985Lxzm9PVeaCTuOR6x723RaDVUar2QtXSwCKuCYN/dz3zmPOrseOSMXzmMyNrCH9Kkqs3XkrVcKEJEItOFTG1YDlYoWPW33LPHnFwI2u8qslkciEhRGCLzekSEbPwurI4sEbDXCY87XmihL6Tl/JbQOk+8WxoqurVuySE7r2uyRpAwD72HwF0fmQrnI1PEL7zMaHAsK8d9+tuehSjkwBF4XwjX8wh3ikmvcndNi2GBcOXwnVvxl/XPs5kp84Kzvrw5esL7m+P17s1e7VmKwOsV5HUSd14kzlCCldfDx+t8KODqHn0whPe9ZnEvh7+j+etERyBkfaJ/Ao7d/e93soaU71vf3d/2bYdzge9x38scUN/lNEGkdq1eAY6YPWfhUN66vx3TO4vUe3Uuka7tr/dYFMyO3Wc1VwoCew6BkPWee0sO7IYOAllv9s15+csPVYVv9pgjve7/A4LtDFX/V0x6AAAAAElFTkSuQmCC">
          <a:extLst>
            <a:ext uri="{FF2B5EF4-FFF2-40B4-BE49-F238E27FC236}">
              <a16:creationId xmlns:a16="http://schemas.microsoft.com/office/drawing/2014/main" id="{60E9B23C-AC7A-4E34-98CD-C6BBF3006D52}"/>
            </a:ext>
          </a:extLst>
        </xdr:cNvPr>
        <xdr:cNvSpPr>
          <a:spLocks noChangeAspect="1" noChangeArrowheads="1"/>
        </xdr:cNvSpPr>
      </xdr:nvSpPr>
      <xdr:spPr>
        <a:xfrm>
          <a:off x="10871200" y="123043950"/>
          <a:ext cx="304800" cy="3026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134472</xdr:colOff>
      <xdr:row>395</xdr:row>
      <xdr:rowOff>84167</xdr:rowOff>
    </xdr:from>
    <xdr:to>
      <xdr:col>5</xdr:col>
      <xdr:colOff>1111624</xdr:colOff>
      <xdr:row>400</xdr:row>
      <xdr:rowOff>217391</xdr:rowOff>
    </xdr:to>
    <xdr:pic>
      <xdr:nvPicPr>
        <xdr:cNvPr id="5" name="Picture 4">
          <a:extLst>
            <a:ext uri="{FF2B5EF4-FFF2-40B4-BE49-F238E27FC236}">
              <a16:creationId xmlns:a16="http://schemas.microsoft.com/office/drawing/2014/main" id="{D030A5CC-F7FC-4750-A3E0-4117545924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09322" y="87955467"/>
          <a:ext cx="2615452" cy="3149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1264026</xdr:colOff>
      <xdr:row>395</xdr:row>
      <xdr:rowOff>62617</xdr:rowOff>
    </xdr:from>
    <xdr:to>
      <xdr:col>7</xdr:col>
      <xdr:colOff>1051113</xdr:colOff>
      <xdr:row>400</xdr:row>
      <xdr:rowOff>224116</xdr:rowOff>
    </xdr:to>
    <xdr:pic>
      <xdr:nvPicPr>
        <xdr:cNvPr id="6" name="Picture 5">
          <a:extLst>
            <a:ext uri="{FF2B5EF4-FFF2-40B4-BE49-F238E27FC236}">
              <a16:creationId xmlns:a16="http://schemas.microsoft.com/office/drawing/2014/main" id="{4DB24732-4EFE-43B7-9DFE-BFE10F740A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4877176" y="87933917"/>
          <a:ext cx="2625537" cy="317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726141</xdr:colOff>
      <xdr:row>400</xdr:row>
      <xdr:rowOff>493057</xdr:rowOff>
    </xdr:from>
    <xdr:to>
      <xdr:col>7</xdr:col>
      <xdr:colOff>954292</xdr:colOff>
      <xdr:row>409</xdr:row>
      <xdr:rowOff>152399</xdr:rowOff>
    </xdr:to>
    <xdr:pic>
      <xdr:nvPicPr>
        <xdr:cNvPr id="7" name="Picture 6">
          <a:extLst>
            <a:ext uri="{FF2B5EF4-FFF2-40B4-BE49-F238E27FC236}">
              <a16:creationId xmlns:a16="http://schemas.microsoft.com/office/drawing/2014/main" id="{B56DB2F9-604D-4443-842C-24CDCC3EBD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761191" y="91380607"/>
          <a:ext cx="5644701" cy="1837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0</xdr:colOff>
      <xdr:row>575</xdr:row>
      <xdr:rowOff>0</xdr:rowOff>
    </xdr:from>
    <xdr:ext cx="304800" cy="295275"/>
    <xdr:sp macro="" textlink="">
      <xdr:nvSpPr>
        <xdr:cNvPr id="8" name="Shape 38" descr="data:image/png;base64,iVBORw0KGgoAAAANSUhEUgAAAesAAAGFCAYAAADdDduLAAAAAXNSR0IArs4c6QAAIABJREFUeF7s3QeYXVW1B/B1U0hIIQkJvQrSQZEiIKCIFQVR7AUbDxRUxILtKYICImAHVBBFUJ+KiAVBlCYCokgXEJDeQxLSSE/um9+ec8LNMBMmMyFOMmt/3yQz956zz97/c+/5r74acepdX40ciUAikAgkAolAItBnEWjED+5u9tnV5cISgUQgEUgEEoFEIJKs80OQCCQCnSIweEAj1h8xKO6eOjdqiX7TUYPj7qnzYl4zZfz82CQCyxKBTsn6oM1Hxpl3To9Z8/vmF/I16w2LO6bMjf9MnbtYrBoRseNqQ8ox/3h8drdxHdCI2G2NobHn2isvPOeJ2fPj1H9Pi5k9wOSzzx8dX7lxcrevnwcmAn0BgbFDBsTXdhobx980JW6dPCe2HD04vrjdmDjg8gkxfd6CvrDEXEMi0G8Q6JSsr9l37Xj5BY/GlDl98wv5nV3Gxnn3z4gLH5q52BuFdA/ZYpWiFZx869Ru31QaxWFbrRLv3HhE3DVtXjlv+3ErxXdvmxZfvWnJSfdNzxkev7rnyW5fPw9MBPoCAmOGDIgzX7xa3DBpTnzxuifiqzuuWgj7jRePL4L8akMHxovXHBo3PTEn7pzSLjjvvd6wGDKwEY/Pmh9XPjYryLa7rjE0Vh0yIFYa0IiLH55ZzvEd+5fzps6NBX1TJ+gLtyDXkAgsRKDbZL3WsIFxxAvGFNIyDrpiQjwyY37ss/6wWG/4oNh59SHlC/q+yyfE3AXN2GSVwXH0DmPiOSMHxWn/nhY/uWt6zJzXjIv2WjP+/NCseP7YleKn/5ker99gWPnd+OAVE+LhGfPjtesNK+fRiifOmh/vuOzxRW5ZZ2Q9YvCA+J/NRsY7Nh5ejj3m+snx+wdmFLLeaszgGLPSwBg+qBGfumZS3DZ5bmw9ZqX44YvHlWMvfXhWfPNfU+KRmfPL3x4kB202MjysfnjH9PLab1+xejzw5Px4yyXj43XrD4tBjYhf3vNkfGm7MfGLe56MW56YEx/ZapV4y3OGx2WPzIoHps8r2rwH3SWvWSv2PP+R/NglAssVAgMbUT7rH99mVLG0sbh9/ton4k8PzozVVh4YF7xyjVhz2KAi1H/wygmFkL+189g4+94Zsc96K8cP7yDcTokzX7JavGj1obHyoEacdOvU8sz400MzY+sxg4u16qKHZyZhL1efjFzsfwOBbpP1ES8YHduNHRKf+eek+OZOY+OSh2fG/939ZJz4wlULgT/45PzYduxK8dZLx8eVj82OY7YfE7utOTT+PXluvHjNIfGFa5+IM/8zPWa8Z8PyRfX7TqsNic1HDY6P/31SnPSisXH5o7PirP9MLxL8C1cbEvdNmxs7rDYkVjnzvmck673WXTmO2WHVOOLaJ+LFaw2NMSsNiA9cOSE+9/zR8dE2Er118tzYYMSg+O5tU+Nbt0yNR96xfpx2+7T480MzC8l/55apccVjsxaS9Ue2XCX2WGtoXDW+3Xz+wc1HxrE3TI4f3Tk9Dth0RCH079w6Nc56yWrlATRp9vy44Q3rxo2T5sSjM+fHRiMHxYevmljmnLz/BjH6rEX38N+42XnNRGBJESCUHrT5KnH8C8fEh6+aFD+9a3oRxh9++3rF6vSGi8bHkS8YHX99bFaMXmlAPGfk4Djquifi1euuHK9ad1h8+KoJ8ZtXrBFfv3lqXDdxdvz7Te3fkX3//Fi8bO2V4/ZuuLOWdM15fCKwIiLQbbJmUh45eEDwA/9kj9UKce/0u4fjhBeuGtdMmB1fu3lKnLTL2Ji5oBnf+tfUuGqfteLjV0+KX937ZPzvtqNjzZUHxmFXT4yJ79ogPnb1xEJ6i865emwxenC89PxH4rgdV40rH50VJ982Ne5487qx6dkPPiNZW9ewQY1igvvkNqPisK1GxYgz7y1kvc2qK8VbLxkfH9h8ZDHJffTqiTFtbjNGDW7EC8YNiW/uPDa+fvOUognUmvXh24yKz207KngCRgxqxBl3Ti/rn7sgOiXrNYcNjNN3Xy3G/eS+cg1kj8STrFfEr03/2tN7NhkRp+22Wrzt0vHx63vb3TnT3rNBPD5zQRG6d19jaJxy29S44MEZ8altRsXIlQbG/s8dHr+7f0YRWH/1stXjc/98Im5iTt9udHzmeaMLSR953RNFcJ8xL+3g/esTlbvtCQLdJmua7tHbj4kJs+cX3xOzFrL+0JYj44rHZhcfMoJab8Sg+PYti5I1zZWv6/B/TIq73rJebPiLB8pad1p9SBy3w6pFE/V1pWkj63c/d0QhOebk7pI1U/yR242ODUcOLiboNz5neIw68944dMtRhcSPvXFyvGKdlWPf9YfFF657It64wfD47Laj46+Pzipmcv7oVrK2ZmbA8x+YGV/badW4a+rccp64mgM3G1lMevbJxMeE3krWXACO8bBKsu7JxzLP6UsIdEXWrGmE9FErDYg/Pjgz3rDBsDhquzHFbSUg8y0bDV9I1qxngkJZvD637ehiOXvuKqxqE0s8Rw/iNvsSRLmWROBZR6BLsj7s6kkxnRoZEZNmLyhaKVL70FUT47CtR8W7Nh5RyPobO60aU+cuiO//e1p88QVj4pJHZhZT2WWvWauYyUnOJ+w4ppiTP3PNomSNBAuxXTEhDtuav3dEt8maWfuqymw9e34zNhk1OI7ZYUwc+reJJd3k2zuPjVV/cl/87/NHx17rDSvXfsMGw2OlgRGfveaJmLj/BnHcjZPLWh3787uf7JSsacf7bjAsvrDt6DjgrxOKOZ1Zncmfts0E+Im/Tyrk/btXrBFvv/TxspbXrrtyHHX95CTrZ/0jnBd4thHojKxZ114wdkiccNPk2HLMSnHuvU/Gh7dcJd5ePRf223B4rDZ0wNPIevc1hxaftXiVT2wzKn5734w4974n02f9bN/EnH+5R6BLsp4zPxbmUpKa/z15Thy4+Spx+5Q5xRz+mnWHFbL+9PNGFTMzzXidYQNjnz8/FvdPnxcf23pUCbby+gNPzisBX39/fHbc89anNOs3P2d4CeS6+Yk5IUCMD6u7mvVL1hoaT8xuFyZc7/ibp5Rgr2lzF8TkOQvifZuMiFFn3Rcf33pUiMaeNa9ZtF9RrefcOyO+s/OqsdWYleJv42eHuQS6dKZZI+tVBg+I03YfVwJpDr5yQgmAk8Jy97S58bwxK8W7//J4SSO7fO+1Y8TgRtz6xNyyDpp3atbL/Xek32/gVeuuHJ/YelR8+YbJxRJl+E584QWjY/txQ8r34Jv/mhorDYgSN+J7PnJwIx56cl6cdOu0OHK7McVM/uCT88p3Z//njoh/T5lbXGr/d/f0uH3yU3nc/R7sBCAR6AKBTsn6leusXCI763HPtHklzYLpao2VBxbtUrT2dRPmxPs2HVGCywRYyUEWsCUVQ7DJLqsPKSayfz0xt3w55y1oFqn69/fPKFMzT++y+tAigd/yxNzYYOSgErgmSOXxmfNj/Kz2yPA/PNB+fD08IDZZZdDCv6fObb+u6NLNRg2Oe6fPi7WHDSrSPlPb2KEDivlNUBjyZCmQQ8osPmVuM2bNWxD3TZ8Xd1dpWnzpG7UFyjQasTAl5XmrrhQi4i98cGYRLOyN6c4D6prHZxdf+carDC74EGZ2XWNInHHH9HK9N244PM6pfH35SUwEljcEfJfXGT6ouJdY0eoxfJCAskHx2Mz5MWFWuytr87ZcbPVSZHUQXB+dMb9Yuri6WMC40DZeZVAMbDQWOW95wyTXmwgsawR6VcGMnxhZi+LmX+7Pg5Dw0z1WKxAgc8E0gmqeqXBLf8Ys954IJAKJQCLQPQR6Rda05h3GDol7ps9dqJV277Ir3lG08RetPiReu/7wmDpnQfzxwRklRSULPqx49zp3lAgkAonAskagV2S9rBeb10sEEoFEIBFIBPojAknW/fGu554TgUQgEUgEnjUEBE+uO2JQzJ3fjCfmLCjxGsY6wwaVWCjBlvUQHzZ88ICYNqc9ONoQzzV26MBS9VMapNM7Jeu91x8W46oAM+eK1r550pwuNybgS4CJIK2lNQRqCeK65OFZiwS1tM7P7FxXGHum6yovukNVKtWxNi8oTeDLkgzmbulm/le2tOMQaCao7cm5C0qgW45EIBFIBBKB/oXA+zcdWUr1Csg8994ZxS36vLErxUe3HFXSh3985/QSaC1wWU2P9YcPijumzi11CwR0ymDacdyQeHjGvDj19mklBqrL1C1VhRQWGjqwEZNmzS8FQW6Y2Dlhf2XHVeOfj89eqhHP8jG/u+u4eMOfHyvF/jsbF++1Zrzsgke79Sn41PNGxfs2HVmiVI01hg4sAH7yH5O6dX59kEIpz191pRjQaMQ/Jzy9kxcpyXWkk52dzTuWCNs8OBFIBBKB5R0BZar/vNda8f3bphb+HDywEd+7bWqp5DlxVrsS9/aNh8cHrpgQ+28yomQeXf7IrELQx900uSiDiF7viZesObQEcJ9w85SuyfrDf5sY0+c2S4rTwVusUrRmbR7lTmsduaDZjIsfnlVyk1vJWt71duOGFPVdsQNFD5T/vHr87Dhky1WKhn79xNmhaALpQmeezkYrWUsPEcyG/PZaz7V1wRpSSon+4f4ZRUi4buKcOHiLkbHu8EElXUQ+dW1SMD+yXnlgI351b3sa2Js2HBZv2HB4bHvuQ6WZiBzqSx+ZVaqqbbvqSvHTu56Ml641NDYeOagUOXFNhVWYM1669sqluhmt/uDNR5b9GifcNKXknCJrOee0bGksBIK+2m50ef9i5PoTgUQgEehLCOA26bofumpCSed920bDiwVXU6nX/fmxUg3zB7uPi388PqekSF87YXapAHjsDmMKD0lhlhb5jkvHF47DwZ+/7omuybpukYmUqOkW8Jv7ZsShW64SB/z18XjhakMLcb7qj48uJOu5zWb8aPfVYq8LH419NxgeqwxuxEf+NjHOffkaxQY/YtCA2HrVwcV8THNH2sfcMLnkPXccrWQtH3r1lQfEkddNLtXDmLCZob+8/Zj4v7ueLJKH1Km1hw0stYu9vt/F44t2Ww9krXjLFY+2a8PyoAkAGgroNy1XlOChTKmmIJ/6x6RS/ez1Gw4reeTyRw++cmIxXdSNPKxDly/9fg/YbGTcPXVuKRwBYJ3ESFF7rj00nnv2gyVCPEcikAgkAonAio2A1F39JJjAP7D5KrHnWkOLMinNWSExvKAxlmwhLWPVJ9lwxOA49+WrFw5SqEu/Cn5vSq/mWZTabtUGf+8mI+K9m44sDTjunDqv+GOp6d/eZWwcevXE2Hn1ocUMrhY2tX92W1celcnY7T/6t4mlxd5FD82MM+6cVrpd6cCF6Nqlj4mlsf2SkrXypre/ad3Y/JwHi9ZLqDBWHzqwNA5QhOU9f3mqtSayPmb7VWNBKd0QpXXlEf98ovTE7oqs1TkmVBx5/ROl5rFCK++7/PGFZG0NgwZE0Zp/sNu4eM16w2LLcx4sZVdp9SwRV+6zdmmP2Vd7g6/YX5vcXSKQCCQCyx4ByuR7NxkZX9pudBxdKaQn7rTqImT9zwlz4jf3PVkUTeV76XOvuOCReMfGI4pS+vv7Z8Zr11u5NLTSqvkZyVrkGtJ9+0bDSy9ozTpeuc6wOP2OaYHEP/b3SbHDuCGFrM9/cEb89uVrlKpGFz08q+Qd63D10a1GlT64ej5PefcG8Rl+4kajmAcOuWpied0gkQweEKWMKM1aFy+N7lVUozXzm+umpUWfMqCagmz8ywdKdJ3OP6SRWybPKQ1BSDJvu2T8Ipq1ebXFvHm/dYIy/6LfPRxzFjQLWU+cPT9+cPu0eNtGI4o2TLPWjOP+J+cV7R1ob9loRPzPXycsJGvCySkvGhdrrDygCAevXndYbHr2A4v4rK/Zd+2orRTL/iOTV0wEEoFEIBFY1gi8daPh8Z1dxsZxN06Jr/9rSrE0f3vnVWP3PzxSrLhM3n99dHbhKzynFS1rMDfrd140NkYOGhDvvGx8UWj15DjupsX4rN93+YSixrOpI2ia4c1PzC2dtzb71YOFPC/aa81FyHrkSo04dddxMfSMe2OvdYeVBS0JWWtLyY/MzL7jakNivw2Gx4f+NrF0ytpvw2Gl7zWJ4/qJcxaS9RsvfqyQO7844lU17IJXrVlKlXZF1oSJq/ZZOz7x94nxs7ueLGS9zZjBceLNU0rN78dnzS9kTZvWoIOZ29oE3GkUUpvBYaNJyLsuezxevObQOP6FqyZZL+tvRV4vEUgEEoE+hIDKnue/co24e/q8wim4c/6CiO/tNjb+cP/M0tf91N3GxQevnBDbjFmpBJuprX/P9Hmlnr6YJ67Yr940JV6x9sqFj7hXu9Ssx89aUGp503aHtQVKCdiaMGtBnLLr2DjjjmklBwzrH3Pj5IWaNSc6df7o69s78UiVcl53NWupWjbBrKyG8HkPzCiSCc391N3GFhs/IM76z/T2XtF7r1VM0/ze6hBr23nZozNL5x/+aiRaD2bwWrP2mqYfu605tPS5RrSf33Z0idLbavTguPyxWYWsD99Gx66VS3DA5qMGl65b/OM1WT82qz1oQHCA0HstAVOz7kPfmlxKIpAIJALLGAExXnihHgLIKHwvXH1IfGiLVQq3/f7+J0sQs4BswdL1+OYtU0pk+Nd3HhsbjhhUiP4rN02Oix+a2TlZM2+vNay9UQa1XJ71Px6fXU589borl9Slh2bML85vDT40uHhkxvzSUF4nLZrrw0/Oj2nzFhQtWL7YXx6dVXKxdcG67JGZxXOM0DXG8LrB3y2YTE60a/32/hlF0jDY8XXy4Qv+z9R5JYKO9PH8sUOK810Nbk0/hgxolJ7bItlbG4DsvPqQ0nmLr9oQrf26DQTNPVmuxRKgocjjsxbEzPkLSvQ6839JXZu9oPi6NeZggpcbJ3XrtslzyjXlVTv++asOLq1CvT9l7oL49+S5xVWgVWidFL+MPzd5uUQgEUgEEoFliACFUkR3PfCL4OMn5zWLi3bggEZp7zx8UHvzp1V0g6rGvdPmlYIpqw0dGJuNHhwTZ80vpbzxR1Yw6+ImMnEjaylrmS+9DD/pealEIBFIBBKBpyGQZN3Fh0Kq2YvWGFq06us6KX6Sn6VEIBFIBBKBRGBZIdC44OLL2nOZciyKQCNiQMl0i1IAJkcikAgkAolAIvDfQqBx6aWXJhP9t9DP6yYCiUAikAgkAt1AoFOynjhxYsyb1x7YNWDAgBg5cmQMHTo0Jk+eHLNnL1oPe+WVVy7HOH6VVVYpv0+fPj3mzp0bY8aMiWnTpsWMGe0lPo0RI0bE8OHDF1nahAkTYsiQIeU6huOdVw/XMHc9pk6dGvPnz49Ro0YtvLY1tw7r9b5hzdZk/pVWWqm8NnPmzHKdsWPHlr/rOUePHh0Nids5EoFEIBFIBBKBPoJAp2R9yimnxEMPPVSWiESf97znxe677x5//vOf4+abb15k6TvssEMh33vuuSfe+ta3BrJz3P333x8HHHBA/PGPf4y//vWvC8/ZZJNN4g1veMNCIn3sscfizDPPDIT84Q9/uBx39dVXx+9///uF56y55prx6le/OpyLxM8777yyvgMPPLDM8/jjj8c3v/nNRdZlzdZDaDCfNbzuda+Lrbfeuhx3zTXXxJVXXhnvfe97y5p//etfF8J+29veVgSTHIlAIpAIJAKJQF9BoFOy/uAHPxi77LJL0UKfeOKJ+Oc//1mID+nRRGtt1CY23njjuPHGGwuBfv7znw/k/aMf/aiQ+je+8Y343ve+V+bYcMMNy54R+Utf+tLYf//9y9+/+93v4rLLLosbbrghfvKTn8Taa68d5557brlmTawIf7311oujjz66XOvss88u/3/xi18s10Oyf/jDH8o1CQ0vfvGLi4Cx6667xqRJk+LUU0+N6667Lvbee+94y1veUsjYen/wgx8Uwn/ta18bxx9/fNDwzdlR8+8rNyvXkQgkAolAItA/EeiSrL/2ta8V0nrkkUfi61//ejz/+c+Pu+66K97xjncUDbd1nHbaaXHLLbfEOuusEx/72MeKptxK1kh3t912K6dcfvnl8cMf/jAOP/zw2GqrreIrX/lKPOc5z4lLL7009tprr3j9619fyHrBggXxxje+sZyD/C+55JI466yzCinfdtttMWXKlFh33XXjAx/4wMKlIHHzf/KTn4wNNtigvE7Dp3Wvv/76MWvWrHjPe94Ta621Vpx//vmFsGnVhx12WJxxxhlJ1v3zO5C7TgQSgUSgzyPQJVm/7GUvKybw8ePHF6J817veVUzHd955Z3nd4JNmNr7++uuL5otkDz744KLFdkXWzN6HHnpoHHLIIYU0TzzxxEKu5ka03//+98s8N910U7zgBS8o10HSz33uc8txtGHkPm7cuDj99NPjpz/9aZdk3Ww2i3n72muvLUIG0mf23mabbeKCCy6IW2+9teyFdcB6U7Pu85/XXGAikAgkAv0SgS7J+j//+U8BZNiwYbHnnnsW8zENmra96qqrlvf8vtNOOxXT9mabbVb8ySeddFK8+c1v7hZZC/qikTNFCyBzDZq218xTB3ohascIEPv5z38e++yzT9H0CRC04he+8IVlPR01a0FoX/7yl4tJnJ+cYMDMbn0XX3xxsRpstNFGhfBp3YSHNIP3y+9BbjoRSAQSgT6NwDOawVtXf9RRR3VpBkfWfMVM1/zE22677UKfdasZnBBwxBFHFM2aBs4cPXDgwHKZwYMHl/n932oG9x4t+Yorrijk630DGb/kJS+Jz372s52SNWFg3333XRgwZs4tt9wyjjzyyDIXshZ0Rpu/6KKLYscdd0yy7tMf11xcIpAIJAL9E4ElJuvtt9+++IrrQcu+8MILi2aNrP/yl78UMmwlaxo407Mh0pzJnHaLJJ3HrG0wVzNFI03BbbXP2nu0ducKJnMdQzAZbfq3v/1tSQnrqFnTmAWn0cANJn1R5scdd1zcfvvthazf//73F9+1tWyxxRZJ1v3ze5C7TgQSgUSgTyPQKVkfe+yxJVBMOlXrYAYXpd06RFwzTwvo2m677cpbNN3VVlstPv7xj8c555wTf/rTnxaewgwtiIyWyxe+3377LSRrPuRf/epXJRjMD/N7PUSUuz6T9x577FFeRuwi0EWvEw5ox/znyJlJ+4QTTijr4KeuCf/kk08u6yRAyM2mWZvnZz/7WdHeDzrooKftu0/fwVxcIpAIJAKJwAqPQKdkLepbqlVtnq5ReOCBB4pm2zpEUw8aNKgQXF24RBCZoiPmePTRRwsp1mP11VcvBMpULqIbedcBa3PmzIl77723mLnN1ZoiVr8n57q1QAr/tvnM6zrWV8/Z+l59fdq49dLE5WA7z5C37W9af8d9r/CfgtxgIpAIJAKJQJ9GIMuN9unbk4tLBBKBRCARSAQiGpdddtnJCUQikAgkAolAIpAI9F0EGs1msz0UO0cikAgkAolAIpAI9EkEuupYMSIiahJfEBGzImJuD3cwKCL86ADSmw5f1mpN7R1Glnyo5NJa9HuOfh5LOI1uIos67Rc/gfXqHAK/nuwdbvLUWtdpTnt5qjvKomsQFdhxXwOqc9wD3VKmLOG+8/BEIBFIBFZgBJq6Ps1vf1Y3OnBM0/PTc3N2RMOzvBrlHM/1mRGNih+bulQNimgs5hnbXCWiMTWiKMo4yXO+Hq4/O6LpuT+s4l2vLeiKrI/UcEsr54pkb4yIv0XEEz24W5tFhO4ZF/WSJACjZukferAGp7wmIl4mC6w6/+FqTXcvwXyHt9WCOWEJjt8oIoSu/yQiCAdLOuS77RIRp7acuFZEvCgizq3uT+uchKx3Vse3Cgeq2MDu0og4qS3r7T1LupA8PhFIBBKBFROBJl54d0RM1q6ijSf+GtGontdNHPnyiJD/e2v1LMchz4+I/6kUowsi4i9tlbHVuH5HRKwZEV+PaODNDqOpScbnIhoHRTTlQGuSsXnLQb9ou94Vbdd6S0TsrmK2Ip5tz/U7uyLraypSor1h/p2kQbdN+vMe3CxJ0a+KiO9ExKM9OL8+RUFyrbVe28M5PhUR67WR34XV+UBT+sxN6u54ZRtRPpWH9sxn7RgRB7UJOR9djCa8uFnghnxb10hoIQTc0Im27gP0vxHx1g7vkfY2bvsg3VGtgyCWIxFIBBKBfo5AcwdNGBXArKyYOO9/Ixr3tgNTyBUZe94i44sjQuvJU6pzWFvHRcQZbfz2wUohpeQ69hURjQlPAdxcrVKWXhPRGBnRXKd6VuM27+1dzeH8Y9sUvcsiwnsUs28sjqxJE7UqL1HZxKe1Mf37q8WdV02G8EgmTLNMxN+u1PrXVxIDacVCkDWi3aIyC9s0Tc98TLcqo/yr2vSWEfEG5ccj4pE2E8TX2oj29Dbp5aVt1/h4RDzW1knz1SqeRsQDbcd9KyKc45r2xJwBzFaTNbJmGbAHg4nhqojYuZqL5umm/aZ6/wsR8Xi1Bjfylra5j2qzOHypInkmDBIQScr/zCOuYdzTZk34VUSs30LWcsTae4BGkLj0ANVM25ppy+MrYYgkVY/OyNp9oK3/X0XirBZqw1oDkiaREWr+ERFvb/vAXNkuKRbsCBowYGKRFK/4uv26do5EIBFIBPoZAk2aLa2ZUuR5TTH6YUTjpoqs8c3B1TP/FZWF8sm2Z+YhEY1REU28xdqKUHECTkPwf27nlgaSr0YTd3hGr91O1q2j6Rofqggb97GGmtfznHL25e6QNVJD1k5GSLRjJPimNtbXRYMqTyJAHtpknViZ0J1DMmB+psmRTg4kIVQaLlMBAv9BRFxfae6I+9fVZm2cNg+849rIbfvq/C+2SyzBfE36scFPVuccVpE64YE5oVUL7kjWhAaChfXQSJExKwDi+m5l8uAOcAMJDPZ6VyW0HFARnvUzUTAtf66SuNycbSPCzUbatWbtZiJNxMpSgcz5KsxxRCVsMK/4e3FkjWDt9+uV4GJYBeXJAAAgAElEQVSfoyPivkqac71PV+t0owkYfNhesx/CjfV5HVGf0zbf9H72Dc3tJgKJQCJAc6YVU5pwCa6hBB7VQtY4goa8RUSTksQ0zeR9TERMqriNxfLYiMbEiKbzP1H5uF+1qO+6SbGjFO6/KFk3WXzxiOcxxXONFqXz6MoV/anFkTX1nobqQU9a+HelQSM12hkSQ16OWbtNs/5KRaY0SNq0IS2MNm2DNFpkb4M2Q1r4fguJXNdGmG+utMxfVuZa5AlApIfUaYz7VeBaA4EBIdEq+ROYqUlC+1R+XaRWD2SNzOu1IU3gEDashVZt7cwXH6mIlb8YqbsOzZ7fnmbbGVlbD41/07Y9HtomQd1WSVc1WbshNPXnteHwmWo//rbG11Xa8tvaBIOnen62uw86msFrsnZzYYp0CQZMM65dm8HhxAzvWs9twfnBtuvBGtkTjJY0yC6/4olAIpAIrGAINPEIzddz/tvtQV5GszOypkTiNvFTFCVkf0CbH/rhiOb7Koul5/ZuEQ08UI0m67Pn/Wc6kDVl95B2H7g5ynXNScFC/t67anFkvVeLGZwNHeE6iWZGA+SAp+ojH2Zu2i9tGrkhZCb071XaKtIhjdCCBUcJuKJZI2vkikgJA6QcTnvnev3qylxNm0fUfoBBQ7cW5mm+WOSjDirJhyBg7QBwvVayZhFwMwoabVo1/y8CFwSH7A3rcBNYBWjzzMwEBsICoaArsiZYuNl/r/ZPw2ZNqMma9szUQbsmCNHGkTtiZ5GoBRP7r8fiyBrWiJrPxTrtm4WiO2QNN/eQ0JEjEUgEEoF+jECT9ZdlGDF/UeR1C8F2RtbctriFmxaPcW8iZVZonEhL/2q7W7fx40WBbbLAfrYDWf+wynL6WETjyYgmEzlSZ6LHcxdGNEqkW2eDltnqs3YM0y3/KrOrxTA1M70yIXcka35XkckIjj+g9qvSLvmCmWGRWE3WbPM0w49ViwEW6QXx2TTtD1GTZj5f+bNpxTRu5Ntdsm71WbsUskb+5mcORtq0a5HriyNrhApQkYNupj2dXwkObpgbSTJrJWuY0XzdYCTL598dsrY+gQuGdfLNu5HmeEklsPBH84X8sbIqIHJWhs40a8IWM4ugt0uqn378Rc2tJwKJQP9FoEkzpkhS1rRvrK2/ntPqZFOi8Jhnvucsy6vYKsdy2wogo1hSwlhgPfMFYlNImbTx1JCIRpVJ1SlZ/6iKnxKkJm3Mc9u5OIm7lGI1qSuydgGsXqc51fcSUSJtGtyulaaIrPmzES8NkckVgfL7IlNaJHMvyQOhMNkid3NbCE0QOdNEad20UwAhdto7fzdNHWDmpPVy6guS8mNziNC8gsVE0dGwAcu/XQ/CAY2dsNE6WAyQLbM4shbM5uaRtJinESyHP9M84YHJ39+EGb5e1yT9ECpYAuRVS7niLzcP0/aXKzL3t6A4mjDfvg+DNCrnu0FM1+39PtsHHKxNkJhhTmZ8lgXrdJO9R7rzHgzN+9tKEGD1OL7y59u/D4Dj3SMmfjgRNgRM5EgEEoFEoJ8h0KS0sG7WwzOeIsSti4QpnriHYuTZS/M+L6KJjD1DuYEpPbjG89Q5LMQstObdqt0s3jAngy7r6sERDc/majQ9o38R0bg2opjKzYUr64GzvtQVWXOCI57OCpAgNwRsMXzWSBVB+Z3/l0btPTZ3WiATNsJFqNpoIWa/+x8JIxwkYpF3Vj+i6WxSsBfJBcGZUz6a86zbMez7CE96GSJ2TRIS7dgPCagezOUS11ujrVvfMzehgpZuIGFmbxo007f5L69C6QkJSNx8NGn7sX4maTfU3143H98+P7+Ib4INnzHpjUme9k3wYEUg8MCvikIsayDUiLavB4HHfp0jopzgwErBwlHv1QeGBu41UiPcWlO3WEQIPPZgbYi6Nyl1/ezLndtNBBKBFQeBpue49Kh6eL56XgvsOj6i8VBEE6ch63siGrW7FPGKx/IMvzmiwUrqNbwxNqJR1QMpQWmbRzS4hL2Ph54b0ahTiL2GF+5v175LARaWaLxaD5x1a1dkvSzvBVNy7bNeltddkmsxfZCIEBzfcI5EIBFIBBKBFRaBEnD2p4hGHZDcw502WWvXjGiwqvZq9AWyZv6lMfbl9CH+CxosUzmfb45EIBFIBBKBFRaBok3PWDTYrCebbbI6D4xo9Drrpi+QdU8QyHMSgUQgEUgEEoF+g0CSdb+51bnRRCARSAQSgeUVga7IWkCVgClDQJfIbQFWPel4JfhLsJXzRc71dKhoJrCtJ81EWq8p0Ms6OiuxKX+O+UNg2OJG3YUFHp1FUpuDf7uztbZ0cCmBZj0ZAtEe6mEnr55cL89JBBKBRCARWCYIlI5bMoFkIwlEu1iRlsXlWdfkLH1KBJzwcSlbSzqWViMP0XHC4utc7CVdh+NFR59ZnQiIjkNussCC1sIknV1HhLiCJQhfhHjHIeJaOpUSpR2HiHW506qh1SlZS7oXaXJyuXsiPC3ptfL4RCARSAQSgWWCQKl9IqK87m0hzVYK2G+6UxSFZqzIBo3QBMLKacoaRRjSi6QdcaTTMuVWqw5GC5YaJMVKPpqa114XWU0AEI4udUvovE4n0pBoi37M71xzCKWXFiaHG1mrr+o889KEEaZUKUSs2Efd2tM5HclMHre0NDnSiLkeru18wCBxJT/tUySgNZifsEBjtm81veXS2YfgM8EDNHbrsn/vsUzYixQ0qVNS0OxZAw05zxqZqHZjHzR9RWFYNOwBjoLZpAWYSznUep/WLI9bqlZPemQvk49cXiQRSAQSgURgSREoWrUS0VJ21eCQB46DPtcdsna1uuuWkp6it5EVclakRJS07k7IUQ6ZY5GtAipIrG7QTaOV9qToOc1UTrXcM0U8EBtSRtDKliI0BM+MrHypBHHFO9RJVUSF1lrnCMtRU6QECSsdKq9YHjINvKOp22vedw5SZS3wOwEA8dqTuaVpSSlTyY0gopEH4nRNmrQcOuVM5dbJO3eO34XpK4Ki3CnyRriKx9gfd4JiJfajIpmKN2quK4hCABDarxANUpf3Bz/uB2lthBnnI3ca+c+qEqipWS/pdyGPTwQSgUSgzyLQpBxTbIdHNN4R0VQoi3J2/OLI+tSKJBCvaiv8uLRWhIEE960KfNQVuZQCVVoUafPFOgdBI1Ikp1qZoiEqgdGuJYv7XfK5amEEAVKEhHSEhehvr8ifhorcEbU6rObRdQuJarqB7JjtFU9XwYzWTOtU5aseNGeVxFSeMfwOCNKLPSrVyfzNTI2srcd+ED+TN4KkOfsfASs1p/AITVzxFOVJ1RAnjCBW5yFxa7R3goDfvUazVtJUuprSofaA3JE0YYAAUAsG8KnX6PpSx2jVGnooypIjEUgEEoFEYIVAoGdkjUxok7Q6fZ9pw0pfMtPWGh0yZMJdXCMPJmc/tPC6FzNSRFzIt7WRB4JTFYYGSrN2HKlCd6i6kQdyZDpGmEhOsBXB4pkaedBozaFSWW2mZwnQzALpam5BADE/Db2z2uCImLbvvFay1pRDmToaOvO5vHF7IbQgZuStpJyydUjYNZUHZaHgj1BTlqlDKVeWCXujlcOGJk1QUdKOQOT1JOsV4ouZm0gEEoFEoBWBnpF1x0Yeyq0JnBLcVLXxKqSHeLrTdYvmq3Ul4vVDC2UKbiVr87su37Af9VmZ3fmaa7Jmz6eN0koJD9pq8jk/E1kfXvmgEaZRtzJD1DVZ1wFmzOVLg6zVOWe9sGb1wAk/an93JGskz0/OzG/PBCRWBjXAET0S1y6NWdz/isWnZp3f8kQgEUgEVigEmhQ4SioFzv84BG8c2l2fNThoxUiMGZbJ+BuVmZsZvCNZe9/F1P1GOny2tHNaMh810tbBS7swZI0Y+Yhp6o5zPHO6Otq0VqZh/ZdplszctG/+Xhq+iGu+78WRNb8zPzETO63d4GtHjM4XPGY+zTjUyQbS0iDrumEJd4DgNX5uZm1mdqZ7gWR+R9ZM7twDmqhop0nTtlfWB6SNnGnlzPBcEUnWK9SXNDeTCCQCiQAEmgKKKZXiqXDE6yIaN3RF1hprINKOOcR8qUhPBLRGH1ifNiqIjBn5FRXxaRGGhGiTzLiaVjDdHllpihpXMO3WBdORMtM2oiYECNIS/c1XjZiQnjlp0sznfOfWQiNG8vzM5uMnP63yadNGkbuhqQet3RpEXRsEAgIAgrYn5nRtK2nprAfM1szsCJS2TwCxHvtkArdvvnth9tbAv67TF0Il0PBNy5FDzuZgvta31Dpp9fzTrmedhAYpbrR/WJ1b4eg+0KRZFpxPKJFG53+++wwwy293IpAIJAIrHALN2tV7VURDMHQx0f63x/LQyOO/jVFePxFIBBKBRKAfI9AXyFrvTv2vadc5EoFEIBFIBBKBRKADAn2BrKUsybGW55wjEUgEEoFEIBFIBPogWedNSQQSgUQgEUgEEoHFINAXNOu8QYlAIpAIJAKJQCKwEIFSI7wajVJWuiuyFpUsz9lBdVEUEdw9aaAtZUkhEulXIp17OqxHKHtPm1+I6BYRLmfNEJUtwluRF6Z4tbq7M3T/UrDF/yLdRaXfVJUltc86Naw7c+UxiUAikAgkAolACwJN2U1iuVSuxJvqityxuDxr6UuIWilOJKmClpSiJR1Lq+uWVCeFUeRY92SosW0O+dQGIULu+DEV0d7QzUkVWlfUxP8wUXEMVqqVSf+S0pYjEUgEEoFEIBFYQgSa0pLVIFEOW661FGGK5Le7WxSlbuShZKiCJvKsVR+jbesqpcqY2teqimmOQetU+1t+sWv4X3FyOcXKcNJuFQVxvvKecp7lNyuEIvfYMXKWFQZRJ1w9b/nKannL31Yjm3ZLkFDERA62RHJV1lxPCVT1uFvzxJG1UqHysA3nyutWAU0etlrjOp1Ya910Qx616yigYigRSiNH1gqtuLZiJvasEYfiKvLCcyQCiUAikAgkAkuIwNPKjeI7tTu+1B2y1gVEEQ+qOeLUllLkNgL7cdVpSgETJmUEq/oWsnYRRU900KrJTx1spUaRo6GTlipnam5L/FZUxd+6VyFvxKiJhgItKqL5IXGY0xqQpUYhOlc5ByGfUwkFCocg0Hp0JGuatZaf6oqb7/dVpyuat70y+SNeBVMUJIEVMnatmqyVXUXWhAXtNF9TFUxZwhuUhycCiUAikAgkAj2rDc6/rEIWUkS6yJR/VllPqVYITsMKWizmZ05G0MjcuTRXZIxgadSIXd1TcyG8LatKXMppKqvJfEwooLWfX5GfYzTCUB2Mds0Mrl2m6i6qhO1ZncMcTStHlsqXMiNoqGHuVrLmA6jzubW01KyEqb8mayTMP0BAUamM1s2nTZPXglN1NYTdmRmchUEjENXNciQCiUAikAgkAkuIQM/IWn1sjSNoxf5XixpxIkl/a89IC9XNqjuNPBAjLZTJnA1eOU6+3tZGHrRpxygp6vo07trcXDfyQLj6Z2sEQnOmUV/XjUYeNGsaP5O1wRSPhPnAa7I2r5Km9qw2uL9ZCmjhTOaabWi1mWS9hB/BPDwRSAQSgUTgmRB4GlkL9maJPqI7ZvB69rrrFrMx8y8tm09Y8FlHsmYu579GxoiNL5gpmZZKc2VCt4iarHWl+nfVKGRcpe3qEY2MHUO7R9ZqZTv2LVUPbJq96OvuknWrz7reF82/K7JWH1zzEQSuLSY/uz10JGuYsAKkZv1Mn8V8PxFIBBKBRGAxCDT11BC7JUYKv3Lpnt4VWfPV8kN3TLViBq7TpwSG6RaFePl4mbxpoptWBEuDvb6SCmjKTNnmZEZnxjY307ZGFTp3IWddqbSQJBiQJqSOCT7jmxbc5njmaVHdtF/pXPaA6EVz6wNNE5amJYqONl0PjS+06TyrA0oC5uxJ0w0BbJpq1D52+9Xxyj5o8NYlAO2dlUmf9k3o0CDk/io1jF8+RyKQCCQCiUAi0AMEmviQZVm8FIv0MRGNR7sia0Fd/MBM3R2Hnsv8yjdWHaBonAhVNygR2SK4EScNlMbKbC4cnUmb5okI/c7XLdpaeLpAL3PqiIX4ED7pggaPqEdW10OqCNy6EbauW+bgJ2fSdk1aNnN63eO6Xj9zPQ2db7t18EEzteuohYjlTBtyskW8M//XUd7S0LSwtGdrsA/R4q5vXqb9v/fg7uQpiUAikAgkAolAlwj0hQpm2XUrP6CJQCKQCCQCicBiEOgLZL1XVQlM6lOORCARSAQSgUQgEeiAQF8g67wpiUAikAgkAolAItDHNeu8QYlAIpAIJAKJQCLQA7IWhSZYyhC1LYRcMZPS/WMJh8hvAVkCr6Rz9XQoVGIukd89GYqaqEqmxKlhvsOqnO9rejJhnpMIJAKJQCKQCCxdBJqCtGVJSVMW0/XRiMb9i8uzlnqF3KRHibxWJlRlsSUdfamRR51nLVJcbrRobkVZciQCiUAikAgkAv9lBEprTKnH6ov8X1tWFv7U5+KU7hZFqRt5KEqidCgCp2krdKLUqFQrpUR1ntLSS6qWYiJSqaRFKcWpkYfUKBq7lDBE6Xzz6WBVVypTeMQxzleylGavUhptX+6ZkqQqqGlHKWUMAbumc5QYtSfpYVppWk896trg8rm/VJVP9Zprm0vamVxp6WOGnG1FWaSN2aM0MUKL36WdafwhXU16Gi1drrkgOeleJCPrly+nvrn3pLMpDqOAjOppUsyknamg9niVVy79S6GXHIlAIpAIJAL9DoGnVTBTt0N3yCO7Q9a6aSFIJIOgnleV7USUcqSVD1UkhCkZQX20Iu6PVUTqPOT8y0qtR1rITF4z8lekRD41AlbW8+tVkRLzIjPXU3NcMw+1wNUgR/oEAUS+Q1V6VHEWtcAVKlFNTJcuxN9K1s6TM21exE/AQLYIk2CAdOWXS0Q3j1xvAoDSpgrFKKxCyCCsMOkfV1VWsz/10gklH6mEF/XJkTchxI91H1kVh7EGFWpITIgaDnCSK35iNVe/+5jmhhOBRCAR6N8I9Kw2OA1TERFaKhJRhYwWTNvUBEPTDMRLy+ST1g2LFECbVYYU+SgRqpY3wtWZSuET/m+aOpJURk2TbQSNHBE9IYBWrBgKjZRfWQEWZnjz7V+ROa0WOXr/DxXhq6rGrK1SGkK0playRtAInlXAuggNBAGSi3XVLTKRckeyvqCqC45kCSfMEz+r5tHnW7EUmjoBSHMQmFkzoUVhFf4HWjmyd22meATOB0/IQfiEor9VfvT+/ZnN3ScCiUAi0O8Q6BlZMxUjXZ23ECczsY5SdSMPryNVr3enkQd/Nw2WBqz0aGeNPASQ6XTFdOx/2ioidf26kYdGH8qSao2J+BB2d2uDj6o0fFq6gDftOJG7UqLI3yCIKGvakawJBKqVaQNKSNFzW+lTAsJJ1XzKryJx62dS977jmfDVF9cIBUkjcv+rk04QYWqnfcP33krj7ncf09xwIpAIJAL9G4GnkTVlFFd8sTtm8Bo7dbGVGj2jIk9mambezhp5ICN1uGnOtOidK4JGcJpjIOUPddJ1S1crpmomZhonLd7xtPWarNXifltlrkZ0Zy4BWdcBZtaDfJm3kT2Cphm7NuFDV7CarJVI1TjEWvixP18RK5N7d8harXIYsSy47glV3XJm8iTr/v3NzN0nAolAItCCQAkww7VaSnOTvqiy4H6vK7LWW1p9cITbOn5aaaFMwhpcMIXXZI1UmXcFa9E0BYXx8yJoWqZgMlqoAC/n1MT5iUp7Zl5mBmZKp40yUQv+8r/gLn5dYew/rAiW1q/Zh2NoulKy9qgIkFBBi+c/rgdidM3Tqxdcyx4RrrmZwYHEdH5OVaPc/+tW1gVBbPbHny3QTBqb9zUCObnyj2tkgvxp6ebn46c1WyNTOWHEOq2buZ/ZXJMQbTdp1gQbezVvjkQgEUgEEoF+h0ATZ7D4amqlq+THIxoPdUXW2kYiRj7rjoOWqY0lQmd+1iBDIwu/I2p+aX5X5mu5zSKc9ZHmA6fJMp/7na+bH1w3LYFqjhekpisXH64WnEzCD1Zk5no0Uz5063YMc7NANQFfgsbMwTTPN0x7R7D14DcWhV2buwWXIV9BaMjU3IQKpG3fTPtIn4bvWFHaTO9I1u8EGUFxhBH7oZ0jcURsXXzySNiPeQkvCJzVwBrM47y3tq37tCq4DX7m7NhspN99XHPDiUAikAgkAk8h0BfKja5ojTwIDkiZwIDoCT78770pCJOf2UQgEUgEEoF+jACy5of9bw6mX/5jKUwryqBt641Ny/5jpeGzJORIBBKBRCARSASWGAFkzVybIxFIBBKBvofAO+Oz8WTcGb8pwTY5EoF+i0BfMIP3W/Bz44lAIvAMCBwVX4i58bM4OuM48rPSvxHojKwFSYnG5nuthyIiFy4GKsFcfLITujhGFLjAL3nT9RAR/rKWv0V0qx7W0yGCTuUyAWeC0no7RKFL47KuHIlAIvDfQOCTMTxOLPUeciQCzyYCoq/xk2wfHNI66kwdmTxSeOvhHJ9N59RBweKTFORS6KurIUtJ+W2B2qpyyjiqh6BoQdaCjWVbCVYWnDy9M7KWV+xCLljX+1YkREEPx4vsNkR1+xvpqhgm3Ujes9fUBjf4aaU4SVuSn4z066FymJQp8xjKmh7bFu0tL7njHN63FvO5vohwP/Xwng2rbqY2txxpr9WjXmu9X+uzrtqP7O96zY61Fvt1LaA6tt53fV59vDn91Pvo+hblO4lAIpAIJAJ9CQGZQLJ/ZAoZ6m0oRKIQl+F95Kn/BQ5QkdLfAqMpiJ79Cmwd1UbcaoAgX4PiqXhXK0/hDDzoOOdK88W1Mp+8h3e8J735qmpdrmk9py3ODO4kuclqcNdkatK9qgYVX63Sl+QOI2s5xQqFKNmpIpihuAhJoSuylvJVSyA6jDgXKNLBFA1RgtO5KpUhcvOJrha0RdNXLIWwIPpaZbW1qprbUqsOqdZgj4QCqVISzIGvbCqJRX60muAkGKldrAkKuZB4lAJ17jcqSUsOtrQ0Upc8ckVhrNVrQFe0RWW2HIlAIpAIJALLBwJ4Tq0P3EaDVpKagnZTtXwFuHAPEsZ9qljiAPyiIqZgYoWupCt7Dy/qMaHGiHTgVsusmhy6aSFqP61Dpy0FvqQHS4+mfBIM1O5Q7fOIJSFr5KTwCQkE8flRy5uJG1nXJEbCsHgmbtqtUpuKqXSmWTOfq4hmAEywm7k0yPAebVWd7VdU5gbEDyC5yDbif0VEaNOuBQBFVZC+PGwlTv2N8BVy0UhDlTI50ohbow5kbR9uTk3myB3o8LE+JglFXWjVaplzFQBXSdZ/Ve/LnRYBniMRSAQSgURg+UCAouWHZRhnURIpbDVZf7viHwqkoltIndat37QfBI+kNWDCAVynyBaZU/DuaYEBr+A1xN9K1n5Xa0RFUOfhQRq1Nfib8njUkpA1+/wrK/Kl2ptchKZiJQhWJTBlRm1YERAL4vtmn0eSnZE1wnWsAQyaLr+AUms2Jp3rK1WBEtXHVPyiZfMLnFJp1bp20eRtCOF7XbMOGjdt3zl1bXESEg2e38ENIfWQooCqd7e1I1zdv0hYAEPWBBVmCpq3sqFKpdLqYeJ317JXUlCORCARSAQSgeULAc94HEXppITVZvDOyJpVl3WV4loXzMJllEC8gQdYpPGJYln1oCGr/ImTWsmaAICbKJYqWhraKxMcNJXSw+JHS0LWWk6SQJCTlpYmoPq3kjWSZA5m06cV605Fa/XTGVkjSeYCAzGrJob4kDVTtwpmgsZIKoiX+dqG/Y10HYusAaYIiYpktGxVw1QG4/jnN6g1YpJQvT5NM5gwkDH/uUABALIE0N5rsrYWeyZB8UPwVbAc8L9bD9O//5niNRnJkQgkAolAIrD8IKArJHenAGmWU8Ws6tEZWeMKfIaMkTLXrBbQte+bIqds9akVX7QioYmUMqKtZE04qPtlsBYzozOHU3RZhCmUk5eUrNnsabV8zaQLF0HWVHWkyWesbSRTAFMxYlwcWbf6rOsNqdeNIJnTleM0J62dRs1HzLzdStaC3/S0RtAABJJN0opJMciXP9pN+FoVQMAqQILRwpKA4Fp+CBhM9kqNImgtOu2LFk6SUqeVBl6TtfWwGrhpSdbLz5czV5oIJAKJQI0AfhHchasoiK1D0DJuqBtZcZXSunEe8zfixjmUN9bVugEH1yvLc+3mrefsjKwpvuKsWJNp65RIwgPLr9dYlYtPtqvRMcCMhsvEzFzNJEx7Zv5mMhYkpvUlszBpwub4dJmml5SsESVi1W5SgBnSNU9nZM0fwKct5N5emDCYEtT01qpSZB8Cp2GbE1D8DjRt5E4qop2zGgBbLfOtK8nG/klA6nYTPNxEGvwBSdb5LU8EEoFEYIVAgOuUqxXX8BmzFmtn7OczlbZNIcUVNF7ZSshVrBJlU0ZRHdDMmosfcBbNmSsYn+FGZm6jK7JG8tyzhAbxUqy9uM0PBfgLiyNrkWx+aMf14Bum+fLd1hf3HomClEFjpc4jytoULkqbP8BCWkuKcqKLzBb23nEo08k/zrRNq+ULt3hNP7xHYECuzBb2QEigKZNKXI8fnK3fOnXZIhWJ1CYAMJMLGGPqEIBmkJaQOC2az5o0w9zOVC4/vO4YplkIoYHGbS/+F/Rmz0if5p0jEUgEEoFEYPlAgL/YTz3qZk7cmwKqKYCe87KeWGEpfvVAvDRrpmq8YHD9CmKu+RGv4Bs8VnONEt+ss/UQJY6/1AehEOI+BF8PGvaf+lMFM+ZzZE2CafVJLB8fqVxlIpAIJAKJwLJCgGbNStwaINaTa4tn2rjSjnty/sJzGpdffjnz9go/zj333PWvvfba3Xbeeee/7L333h0r1Kzw+88NJgKJQCKQCHQPgfPOO2+dnXfeefy4ceOYx3s8brrpppGTJk0auscee/S6UVXjkksuUWgkRyKQCCQCiUAikAj0UQQal156qQ/yW+kAACAASURBVGCrHIlAIpAIJAKJQCLQRxFIsu6jNyaXlQgkAolAIpAI1Ah0Staf+tSn4q676iYiEdtuu2184AMfiHvuuSdOO+20eOKJkvZVxgYbbBA777xz/O1vf4v7728vRjZo0KB4xSteEf/zP+qKRDz00ENx9NFHx6hRo+K441QSjbjwwgvjiiuuiIMOOijWW2+9uOCCC+L3v/99nHKK7LAciUAikAgkAolAIrBYsv7gBz9YCHillVaKJ598shDxnnvuGRtuuGGcf/75scUWW8TAge1NqEaPHl3I2THrrLNODBs2rJxz0UUXxSGHHBIveclL4vLLL48//OEPcc011xSSHjx4cPzud7+Lb33rW3HUUUfFrrvuGr/5zW/i7LPPjp/9TEpZjkQgEUgEEoFEIBF4RrL+3//930K8EydOjDPPPDO22WabQsY33XRTvPGNbywEbQwdOjT+85//FLKmTSPvSZMmxRe/+MU49NBDY/vtty+/08AvvfTSeNnLXhYHHnhgIWvaNK2a1o7Qk6zzg5kIJAKJQCKQCDwdgU7N4DTr1VZbrWjPs2fPLuSLoJH3z3/+8xg7dmw0Gu0p2tttt10h4p/+9KeFwGnjznn88cfjC1+QqhZx0kknxUc+8pG4/fbbi4b9zW9+s5D1+PHj44EHHiia9fTp0+NXv/pVatb5KU0EEoFEIBFIBDog0CVZ81Mj3jlz5sTdd99dTOC04CuvvDI23njjhWbwTTfdNEaOHBm//vWvY/XVV4+VV145Zs2aFTfccEPst99+sWDBgmL69vu8efPi5JNPLn7rf//734XUnUNzdz3aeZrB8zOaCCQCiUAikAgsikCXZP21r30thg8fXgiWFsxMTYv29/7771/8zvW48cYb49prr4199923aN205BNPPDEGDBhQtPHLLrusaOo0b5r0W97ylhg3blwh69e85jUl+Iwp3ZxJ1vkRTQQSgUQgEUgEuknWr371q2PIkCFFS77qqqtKJPdWW21VfNb80HWAGa2a9v33v/89nvvc58aIESNixowZRdPefPPNY9q0aUVrft7zdCGL4qeePHly7LTTToWs3/zmN5fAs09/+tOx5pprJlnnJzQRSAQSgUQgEeiuGfy+++4rhzabzYVBYEiYGXvqVG2r28dznvOc2GWXXYrmTWvmy6ZBI3RathQw/mqmc8MxiHn99dcvxyDr+fPnl9cefvjhJOv8iCYCiUAikAgkAt0h60QpEUgEEoFEIBFIBPoOAlnBrO/ci1xJIpAIJAKJQCLQKQKNW265JWuD54cjEeinCIwfP/5f/XTrue1EYLlCoNHklM6RCCQC/RKBv/zlL3v2y43nphOB5QyBJOvl7IblchOBpYlAo65utDQnzbkSgURgqSPQKVn/9re/jQkTJpSLybVWJ1xRlM7GHXfcUdK76tSs3q5Q048//vGPJY3rRS96UYwZM6a3U3br/L/+9a+xySablOv2dCgAAw/R7dLcciQCfR2BJOu+fodyfcsGgeYqbf2ldoloXNj59ZrrR8RaEY2/P/V+84CImBzROKfltddUx53e9bqbipS8NqLxm5bz9omIiyIaM9tfa0qf2iMi/hLR+I9XOiXr3XffPfzIs5ZOhbiVCFXBrOP48Y9/XN7/xCc+0WtMlSI94ogj4nWve125rjQvXb7UJH+2h8Iv8sGllPV0yDc/66yzSt75wQcf3NNp8rxEYJkhkGS9zKDOC/VpBJrvjojXRzT2e/oym8Mi4lB9qyIan6nI9PqI+G1EDGl7b1JE44SI5tciAuk/FBGbRDTe2QXxXxARoyIaL6rm2rTt+J9GxGsiGo9HNLeNCO0n/6SxZVsLjuMiGrd3StY77rhj6ZqlEMqDDz4Yp59+eumehcB11KI5KiuqiYf3HnnkkdK0w1hllVVKbrYqZqqdqWJGO5d7rbWm/53vXD/1UCBls802i3PPPTde8IIXlJePOeaYQtTvfe97i/aOBJ1LiHB9Frz6Oqqfmc+15YM7jlbuHGs26vNowHLFnV+/5hzlVb02c+bMsvbWOV1/7ty55X2FXxSFcZx1G/Zo/OhHPyqv1Xj06c9nLq7fI5Bk3e8/AglANK+MiK0j4oqIxmsXBaQ5ICKujogtIuLUiMYnIprv98iPaHwnorluRLytImi/axv5WBvdfCUizoxo3NxhvpdHBM12jYjGdhFNhH5URcq00iltPx+LCIGf57f9/6aIQGAXdknWNETVyZC1Bhuvfe1rC1GdcMIJpUmHCmcf+tCHSg9qBIv0NOY444wzCll5DwEiNV23dORCsG9605tKoRTaM23cecZ3vvOdhd266s3pj/3+97+/CA5f/epX45xzzikkqpiKrmCI+ctf/nJpELLlllvGO9/5zkKwhx9+eFmDymgsAgQK12FW/+xnP1uqrZnPsXvttVd8/OMfjw9/+MNFKEDISp6qXa4C23ve855ynFaeOpAh+k9+8pOlEMyxxx5b5jLe/va3x8c+9rEk6/zqL1cIJFkvV7crF/usINA8sM3kfFmb5vzNTshaxyqEOavdLI2s69HkG35XRAyLaHyu/dXm6hHxunYCbyDmltGk0dGgvxoRJ1dkTTNFxj+MiP0iGuOreWjzO0cEjf/4iMatXZL1y1/+8qKpPvroo4VE3/3ud5cSorpvMYcff/zxRdNGxv/6178KmZ166qmFsJHilClTYp999onvf//7heCQ9xprrBHqiPtbl653vOMdC327nZG1RWsUwg+s1jhtGMHr5mUdXlMBbeutty5lTGnTWnASHpAyy4DjmaSRPHKl8RIYfvCDHxSTNyImRBAokLVjaPTmRNpM/Lvttluolc4kz4pAGPjc5z4X//znP+MNb3hDqPZ2wAEHxM0335xk/ax8mXLSZwuBJOtnC9mcd/lCoLlJ52S9kJj5lDuS9f4RsXdEPNyuSSPa5svobhHBZ3xwROPuFnI/qK0J5biI+HZEXN5O1gvnv6IDWTsfUe/apoV/l5bdJVkfeeSRxbRLQ9VBizZN00VwNG7mbT5e5Oy9z3zmM4XYv/3tbxdtWO9qfmdEhtBpwFppms88fN3Ifo89+NA716xpsnvvvXfpxkVDRqxIn9AggEsTEEKEwUyt0cjaa6+9kKxXXXXVOP/88wupGvzSSFcA27333lvM469//euLlm/9yFqTEYRsIN/HHnusmL1ZGr7yla8UQeOVr3xlnHfeeUVAMI9BU1fzPM3gy9dXtL+vNsm6v38Ccv+VJtsDsnZmUwT0WyPi1ojG5S3kK/hsfkTjjGr+Ldu8xF+viHdOmxn9hIr82yO5o9mBrBeS+O4VYX/rGX3WTmHapmUyNSM2HbTuvPPOQtw05Zqs1QdHjhtttFF5f8899yxEr8XmM5E1U/aBBx5YruX8+roXX3xxIcpWsqZR03aZvX/zm/aAuppgCRi1Zs1/zlyvP7fuX7T3WqjYYost4vrrry8/iJ85uyNZu7a1b7PNNk8ja8IMFwDiZoF461vfWrTwJOv88i9PCCRZL093K9f67CGwJJp1k3l7SETjDxFNgVe0X2TPV01jnhjRfH5bANoLWsh6l8o8PjciBlWm9X0jGrctStbxRHXc/W0m+Wsimmu3a9xxepdkTWNlHqZ96mHNR4t4acZIGCkhP2TN/M20/Mtf/rL4f/mkkS+SQ4Y002ciawv++te/Hn/605/KXLR0GjWTt9Qxpml9sWnatPbPf/7zZV2IWctOa6NZu2ZN1iwAiB+x3nPPPUXgsG6+b93Adthhh9LaU/Cc1C1k/Y9//KN0FnvhC19Yrs8/bu8dNevDDjssfv7znxfhxTrMbc4k62fv65QzL30EkqyXPqY54/KIQEeybu5VBZxNq8i0xQzeXIOhNiJOq8zazNn80O+tAsSYW0VcSwliImf6FjA2KiIGtgenxdntPumFqVqVZh00bYWK+MalhFnHJa7VKVmfdNJJRUusI5+RGRIUfPXDH/6wRHUjM0FjyBhhM0MzO++3337Ft4zI+ai1zTR23XXXOO644wrpMhcjSR27ai3aMSK3b7311pDnzZzN/yy/m8n9G9/4Rul5rQ82YcF8TNJXXHFF6fjluLe97W2F5G+55ZZ46UtfWoQNpmqBZogZmVq3dTFpEyL41wkDTOSOcV1aNq1a3jXfOFP/ddddV4LRXFPAmmsxpxNM/I64CRBM7vzj1pcjEejrCCRZ9/U7lOtbNgg0Eeo+EY0fVeTMZH1iRAPZMlOLBt84onFe9ffothzrw9rTtoKpe3obYa9c+atFhX8rIrSnRASbRzROfWofzZUqf7ZjqtFE7GdFNKZHNGneO7RFob+6St+6NqIxe7mpYNZqBl82Ny+vkgis+AgkWa/49zh32BMEmgLHmLSf6gfdk2miaOzStGjOvRrLDVn/4he/KDnaNN0ciUAisHQQSLJeOjjmLCsaAqVi2aNtKVmCwXoxmkzfK0c0Hu3FJOXU5Yase7vRPD8RSASejkCSdX4qEoHlA4Ek6+XjPuUqE4FnBYEk62cF1pw0EVjqCCRZL3VIc8JEYPlBIMl6+blXudL+jUCvyFrBEFHal1wisrx9SL+SA93VkOok8rq3Q2EVUdmivUePHl1KgMp57mqI2ha9rWyqwiqahuRIBPo7AknW/f0TkPvvGQJNVcrU8BYt/tEqPUu6VXv6U8S8iDj2qehxLzWlfzlGbrYmIL9sKzV6eFsaWEsls/h+RGj9uG/Luhx7Yq/IWlcshCnlCUGr+KUimMpjXQ0pVnXVr56BFKVeuZrdSo1Km1IQRR636mOu39lQilTqmWYdmn8omJIjEejvCCRZ9/dPQO5/yRFoquf9qSqPWlnQN0fEl6rULXnUhhSvj0Y0rm3/s7lZRdTHVnXG5Wj7oelK1TLquuFKbkrvMpC7Fpk/6zVZKwLy4he/uJQNlV+MBDXw8PvVV19d8pXlJ+t3rdKXqmdKdSpsIk9bLrPj/C3aW96zuWjfcrcR+7rrrlvqiNfj5JNPLqVHFUORS20oYCLfW7UyhVzkijuf1n3QQQeVWuUKpyhyooiLRiA5EoH+jkCSdX//BOT+lxyB0sJST+ob23KsNfPQuOPnEY0HK2J+VXtd79YWmU1tMMe21RJHxLRurS+3faqndVM+9iEdzpH2pZ74aRGNO3pN1ohTYw9tLZUY1RCDyVlFMKVAkbSynAqcHHLIIaW5BkJF6IquSMU6+uijS9cqhKogyXe/+92iKd92222lQhjT+mWXXbawn/ZHPvKRUsnsVa+CSZS+14aKZchZMw5rqbV95VHNo8oYjVyTEtp5jkSgvyOQZN3fPwG5/54j0HxNZQK/JSI+q3BJRHNEVdzkDV3PW0qUnthuBldPvEnjVITlcxEN5UZp4oSB97VVRbu3re+1vta9S91Ckl/60pcKWa65JjN7FO1YxyuVzpCv3tiqiqmIpoLZxhtvXLRl59QNObSvpJHTjpG1Bh1KePJB+/2UU04pVcSUDTVayVqbTGtQNU2nrPe9733lXFq869PaVRXTFSzJuucfyzxzxUQgyXrFvK+5q2WBQHObiNgxInZq76TVuCWiSYN8yVMtMztbR5Mm/sqIxocrYlY3XFlRrTBVQkPWNG/m9csiGqUTVa8161YzuAk/+tGPxmabbVY6a+m4pUmGQcOmDSsviqz5jdXw1mCDJj5z5sxiOtdHmu95cWRN665LgRIOaPFXXXVVaSiiq5Y1ubYypYQEWnSS9bL48OY1ljcEkqyXtzuW6/3vI9Bcp73Gd+P+iFI6FGH7m5Z8UmW2ZiLvZDTf2da7WsGVH0Y0NP5AzHph/6ON5C+NaMyvXtMs5HkRAs4a+l0vfbLW13mttdYqJmvaMJO32t00XyZo/mf1vEWSn3322bH66qsXstZn2jFHHHFEOWdxZE37/ta3vlW0aH5vNb+ZvtUWR9Ze+9SnPhWbb755OU7nrCTr//5HPFfQ9xBIsu579yRX1NcRaKrb/fqIxucjmqu3NX38QET8pSJrAWP81Z34WZvM2szk/9emVVetMQtZq0f+g4jGlU/tvESbqyn+xfq1XmvWArWQJ3+xoenHJz7xiZg0aVIxW+u+5T1+55122qn8ztdM29X3Wk9s5EwL3nTTTUsjDY01FkfWSJkPm09clyznmvvTn/50EQZcn4DAJ77PPvuUZiNJ1n39C5Dr+28gkGT930A9r7l8I9Ac1tak4+PthB0z2sl3YROOD7VHdTcmVxqyDlp6WWuF+c0qbWtKROmudVxE47KI5v4RcWVE4+4WsiYQrBXR+P1SIWsdqLTMlBJVD/5nP94Tjc20jUyZu/1PC/a/9/mVBw4cWILN/M2k7W/vS7Xytx/kzDdt3np0vLaULPMZ1lSf4zVroL3XPmuEruNWjkSgvyOQZN3fPwG5/54hUMzfCKfZnorVqEiwBIbNY7SuyHrrNq1ZF66L23tgx4Dqet6f2aadz6u6bC2IaCxoIWvHNZ4yi/fSDN6zTS77s/jBDz/88JKXrU93jkQgEWhHIMk6PwmJwLOJQHPjiFg9ovG33l6FGfyvvZ2kr58vBYzZXGT5BhsIssuRCCQCFVnvnkgkAolA30eg0feXmCtMBBKBRCARSAT6NwJJ1v37/ufuE4FEIBFIBJYDBHpL1sqnvadKCq+3+9W28mvXLWbvJ0eEiLnejrUi4o1tjntmvGlt5duEv7eEvvd2+i7PV8f1pe15dfHHLo56cUSsFhHn9GAVa1c1Z5WnM2ZWe/tLD+bqySljqvvZ1d56MmeekwgkAonAcoxAc/uI2CqicWb7JppbtP2rStfstkYcv4to/OqpzZX3VCMT5d3JaP44ooE363mkdPHPntBeAKVUNFM4Zb+IuKb9+d+Y2FuyVsT84La8MiHnCpYrVi4vzGK7GvdW9VR7c+OUSxMGf3V7flusGhFvq7qY/Lk3E3fjXJgRUvz/eBfHu0nPqYq7d2PKRQ7ZPCI+GRHnVh1dhK2/tq2by08i4l9LOlkPjickHNFWPP5dPTg3T0kEEoFEYAVCoOk5r7qYZ/L1EQ2NNZAs3jms6pClccU3IhqVklriwLaPaEjxahlNKVyHtCu4jZERTbyFtKV53aA4Z1uhlfdHNEWQu963KoX0rIjG7UuDrEkFl7eXRSth6cql1YvUncRGSR13VKtG1ntEhAotiPW+tvctTvuwOe1VXIpm/opqPsQvR+3Cll3/T9Xh5Mdt+W5TK+KU8/aiquWYCDytykhDCFV3E0MIPeIbX5Gh0HtasJw2PTPNRZoRfi96zw2hIb86IggmBASS1POrtZUycC1DxRl7FoJfkzV8WAHk4zlfuy+F4M0hOV2NWPuuB7J2Q9WKhZU1uqE0+p+3FYLfu5pfhxZ4q55D07+owlKJOte4ua1cnZq1cCi1Zau2a9qtmQvmtGgfGELWI21rhufX2vauZN5HKgFMjVvrV4D9rOpYx0tdILR4zd5yJAKJQCKwgiHQZEHFUay2D7aTdRP/iPA+NqLpGbxGe1pW496I5gHV85Jm3ZGs8Z3n8oEVWTvPc/jWiMYjVSUzRVU0+vh4W/OOd0Q031R16frj0iDrAyupALm58C+qhzgS8d6/K+mA+eDUisyZhxEGiUJC+XcqzXFUVWLtLe0J46ETiebXpBlkydxtOF4LslYCV8INqZFqmBEQNMkEYT/aLvkUAkK249pNGkVA0JNU5xTr+HQlLMiZI2TQ1t0Ymrw2ZQQI57ghCN066iEnjEatbBzCpAnrFUqIkGO3UbV+a7I3BK1oO2GEMNBK1mrGfrf6kNiLajY0bD9y9dw3hErIsD6J9453Hu3bdWnGR1WC0Weqe+PahKTRbRdjwkHUPhiEDhYSNWr1V1Wg/rMtAtQ91T0gGRIMXIvm/8L2aj1FKMiRCCQCicAKikDpRb1HRdaelZ6RnsN4hOKkRSYFBv/hvf88naxraJrT2sl64d84QMtNitXLKkXvy+0kXjj16IjGDUuDrE1Km6wqtpQLHFMtWJ1TGjeiddHPtxHaXRU5Ii8+Z5LGrDaiRQjIAHFdURE1jfD8StNU1q29k0f3yJoGyjeuzZjm4PdXJI3kjS+0gUEoQLwkJ1q069MgEb910JCB+lBFuI6b1AVZI0iaJjKlGTvPnF5HiMzLbgiTiWvaG2mNANJy45SYc3NIcQVT8yFsuNLIadcGMmUFQMq0b1qxJuaaoRMudqssCXdWworr07hZFQg5iByeJEefA3Ob64OVMEFAoP1bn/PcY8LT2W2++p0rwcZaCSyEmByJQCKQCKygCDyNrHeNaLwrosnqqJoZrZny4jmt6tiUJSBr/mrNQMyD9D1z31pZNillFNDTlgZZt5rB3SjaM18y4vOAR8LGVW0kfUbl36bJIiAmVtqlwuhM1AgcKZ/+DGRtQze1EcxvKiI0P7JB/jRa89RkbT6aJwImHd1erYdmq6l1K1m/sjrX+qyHaRlpOm94RYTM1rTTjpp1Tdamr33W3ANM88iOwOKmdIesFXZ3gxR6J8ggdn1NrZVwUw+WgpqsWS6sC+6uA1PF5MUSCFqjhf+gvTB8KDYPf/cEqcPGfmncrWQteI9lwnzm8CFKsl5BH0e5rUQgEegKgaeR9YiIxglVK0tKkucrZQa/4AyB1Nu09aemLHUYtWZdAsk8cydHNGZGNCmWSLrqld34dSUM4LXTnw2yRgRqn9Lw2OwRhAc+siNx0FxJEez17PGOZQZwnO4igpuYFWy8K82az1v3EhHgCIf5nKkXsdEYmbARG3M0skSQSAuBWR9zBa2babwmawDTiF2b6d57fOeEAmZ02rFz+XSZ0TuSNXJV0J3mSphwDs2TD8IaER8S7w5Zt/qs6xtNiyb8fLsyodPSaeA1WdOWWQuYp1kzmKoJSsz7TNU0dJo0Hz4pEF7896wfiJ75m8BTkzVTD2Hm+kooggctPMk6n2iJQCLQzxBYhKw9h99VmcTxGPcjksYrlEPDs3bHiEarclW9tZCsncucLnDthoim5zSlSeyUkqXfawtk43bknvzG0iBr0d9s7XVkNG0QUZAaRLTRKhEbjRT5ImcEYlFIg/bHlI7caKfW5PXFkTUhgC+YNENjRaRIVSAbSQZZ8z8rlo6kfln5ZRGbtZJmhMQj3pqsrQMZC5ayF5o3szdtkimCH5sAIvDL/B3JWqg9DZ7g4Ka5eYIPEKBz3TSae0/JmnZL6mKatn7uBHusydrev1fFAlg/PA3CC4LnWiCI0NqZsbkAmF2Y+0Xzm48QRKBgHZG6xXXByiD4jADDP5Nk3c8eU7ndRCARaCVraDTFR7HeUmAEAh/boZPWjHYzeNOzduOIhmdvR7LGTebAZVyZ+EpckddZTXEJF6nn94W9JWuERVs1aT2QNaJAWN5D1oK6EAIC1LCbBux9vmB5xMzW/kaMoskdRxP3NymDL9i1agJyLRsimYhoRtbmqv3myJTWXmuhSNec5qEVC26jddLkBVkhU7+L4CZkIGy+afh4jwnY+mjN1uAc77W0OSvr4b8AunVbE62V/9gNpblbq7VYh2NcEx6t0pd5rLEWGGpczYGk7RkWfPAEH68RCrgTEKsgNHutLRuI1n2Ao2t63/qthxRoPmv1t+ualwBkDvNaMwzqdbsmYcm81mrulm4x+bVOBBKBRGBFQ6CJx5i+PVeRNX6i+IlrGv9Ub+qFhMwEfnNEkxa+QUSDy7Ym6+q9hfN4huKdx9vnL81Aal7FlfdFNGb1lqz76h1B1rXPuq+uMdeVCCQCiUAisEIj0BTYq9Vlr4tarahkTUOmrUuZypEIJAKJQCKQCCzXCKyoZL1c35RcfCKQCCQCiUAi0IpAknV+HhKBRCARSAQSgT6OQG/JWjCV0pN1uLrtMj1zunc1pDD1toe2oCr5xJz8hkAt6VFLMgRsqbImJ7y7wz4FYUl8782wbtHwgrkE2PV0qHZjjk5y+co9EfjX2Xut1xPYwG0gGlwgYMch7U6FMoEOnQ0BFNK7ejIE+pn/7z05Oc9JBBKBRGDZINBUdnpMWwnQumy2IDPFoATiKhdaZUOVhh8CeG9vq/Pt2dxhNJW3FkB2WxVMJoAXh9aFse6IaAjmrUapE/5ARGNKb8lapLN8XBsRKV2n+aiu1dVQaETxjt4MSejygaV6IRhRyaKdv7IEkwJM2pZ0p+4O65bepBJbbwZ/ujQsdbVFYfdkiOJ2vhQr6WQdhzQxN7qz91qP9WHxAZIPXpdzbX1f7p964qLAOw4Ri1LDlDztySDsSRWra7f3ZI48JxFIBBKBZxGBpueUuh7jIhq6SiJqabMUHYoXLlG1U4EpqbrNKvX4oLbuWnVRMC97TlLSKIoUJLUu5FE7T3aN8aeIRqV4NnGNYz4d0bixt2QtxUcdVJqV0pkWr5CI1KSuxtLoumVzCp4gWoSNcJTHtMm6acUz3Tx7d54Ure4OFddEmSP53gxFYBRQkVrW07Snl1TCCYlu304Wo+oNy4Gbvbjhg+MDJ2WuM4sIjAhC0tA6jt6WG+3JPegN7nluIpAIJAJLgEBp1KGGhbofP6kKoag3oeiJwlpSulg4pfF63lKeWF7lTk+NaFTloZsUNDUuTqiUIjyiQBjFk5JUl5GeHtGYEdHEoapWKpX9+ojG1UuDrDuWG5WjLA/XJlTZ0oRDIQ3/Ixb5wL+utGtVsxQsOaUtsfy9lUlBqVHHKqIiobzuuoWg6+F3BEXKARKzOKGBIMCsLQEdcCqJ0bYVLDm2koDkDJNmmM5V+pKPrbCI0qAKh5gDsIhZ6VJDkRfVwhAkkElRSqe6hvxuN0YDDdonoYUpRDUxxUXqgRAVYXGs9SFJZE1Co70yh6uzrciMojEEH5q8/XRmiYCTJiT2IvdPkRfaumu4+bR/62NSUYhFrjiJzwdLgRO53T5shB1rcF2CAy1aERgfKtipzU6wIPnR5K1f0RoFZGjV6uHCDkbqkztPQRh4sbwwr9PwSgUOkAAAIABJREFUfSgl/Ctko/uYc1lEdDtrvbdL8EXKQxOBRCAReDYRKGStQAliVQ9c1y3PQy5GbS0RN4Ku+zF4rkrX8ky8JqJRKTlNFSgdy+WHH5zjmcoCquCVZ7M2m3jJn57r+IaQ8IWlRdY0N0SE5PiRkQJCYDbwO0JCKny9+n8iNwtkxlVFiz8UqTCHam2JwNVVJQQoQOIBjySYSusuWx7uiEmJUpox/yxC0qELySIc5UURmvaaNH+at4pd5mV61h2FJo70VaNB3AAGoGR31zq0EjCUQCVQMPMjKz5310SMCM8NoeUTRpSPo6HyZyjjWZtBgO4mO958yqDaJyEFOSIze3AOoncNhGj/bmzdgMSdRHJ1ERQYKtgCIyVBnavIib0RCuDNr0yqc30404h9eNwvAon3lBb1gVQH3f8sFyRKc76/qh/uPlqvQi4EAoIPAcP6nWdPhCzz2YdOZQQqH2ofen4ZODlWWVT7YAlB+DkSgUQgEeijCDytNrhnHBcjF7CqkhRQCiMyxoUUzv0iGrowIl+WTgoMRYzr1t8UG6VExQPhDnzjWauaJp7yHKYcnrK0yBoBuhhtzUB+tDTaKrt8HYyFQGhqddct5lXEShIhTZBMEJxi5oh0ceVGkTVN2UAYzLRIw4aRvb/r6mK0XeDVnaKU10S41t0VWfPFWgcN24+boF43AQN4ruF1pIWgSFlAdh1CicYYTOU0UNq6QVjQ75o/vzaD07xJVCQrkpQ57V1rzrpZCdIkibWas2Hsw8DPzAcCP5o+Mqb1u8m1GRxZs6AQmpAi8nQtdcFp7ASGmqwFRPC/CJAwF0FH3Vt7c79cA7nSwFXk8VpHsjaXe0mwIRn6DJiPhg53WjdBxN+EvCTrPvp4ymUlAolAjUCXjTxYQD3nPFs9y8+IaDwQ0fT3lhENz8yarD33WRVZnwVaC1jrUNmsKHustPjTs5RCSFG8+Nkwg9O+kBoSFe3LLFx1FikPaA96D3IPcNodrZR0YaM0WwTeHbJuNYPXiCJPAW8EAISFOJmBXb87ZE0DFD1tfbRS5yJgpnKmYvtyXVou4qGxk6yQ7JKQNUGE5MQSwEJAsCBNqbzWHbL+WXUc7GirzC7Wao81WavLbv9Li6yVciWAuE8C0qxX5D/BrFWz1qsb0RN2Lqjes0aCGsEGkds/zdv+k6zziZgIJAJ9HIFFyBofrBfR+EZEk8uX8iOi2zi7ImvPuk1byJq1mfWUu5DLU/AYJc1z9J6IxqSIpuA0ShTNm3WXZRkfskb+YGmQNXu+SHCNNAx+aiZZmjQpwQPZIhAh3zXt1zGIpPZpImsPbxtGBD0la3OSRlxbeTdaKT/qM5E107Sa5rRKvl41vgXKeR1x2yMCQtbA4x9mShbZTkKi3T4TWfPVMoOQkpj9+S90IWNWRmTIrd774jRrWr9uY7C1T5GK1mbtNHAEKZ2gNmcvLbJmxiYIwNMHjSDG30xT596AjQ8oszmrAEEGpgQQ+DO3Wx9LAysF076giiTrPv6YyuUlAonAImSNt1hIPf+4Qz2LPde5Gyk1nnsC0PwgY/Fb3LXM3HiFkuWZzY3L2soy7Ti8yB1JefM8Nbg1Efx5vSVrEWs0Q4RGtTdclIZsbqTDJOw9D2YmUETzz4qsmaG9xsyMeGzSsV5D3OZC8nzcNsyHangP+REEOqYb8R/w49aRzXy+TLHIkEbqfWTpd9dHMEhE204+VsFo0sKYf12Tadj+kA1zt+taPzMF/zYy1BzDvpiE7YXQgNBo+HX/bP5ZEhlpyjlIljmYQEDY8SMiWx6fNZ1TXZu2bP18HYa1VH6MhXvkPkDWPhCkPGTN3cBEUzckQY6kNX5xZOqDxRLBN08AcX+YxMUa2A9JUOAarZlkRxrk7/ZBtVYfVMFpBBD7dK9o+NZNcLFPfnWxAwQTVhUfaqZz1gv3UpCdD6efHIlAIpAI9FEEmrTirSIaFFEGRnxBEcEznvEUL4pU/YzzLBdnJS7oue3nNREzzRkX4ADPXIoh1yxL878iGjXHVTg08YN0rjt7S9a0LQ92F68HqYCp1EAWdRcopGpjiIyaj1zqICUL9eBGCI4heXgf6fgxj2tVkXLlPddE7J2lG9HkHENicQ3H+huAgrH8zXQtIpk5m5ZoneZH0EiIeYNP1TXqtVmD860T6Vina3jf3IQX+/c3MrZ27oB6WIP5nQP7eh6/e818fpxrLQQYa7W+eu9+tzZ++XrAxzAfLGHid8fW+Pjb9e2J9Gcf9V7MZ37rZ/mwHnNai/9hWK+LSdtc9ms4xzXgVGPsGHtwjnPrOVzb764PF9dxr5B6jkQgEUgE+igCzep52aife2iOC9SzT7pVVVCqWXOP12ZGNCkq60Q0qpTikpKFR6bppNW+2Wb9vJwY0ejAZ6Xb18yIxtzeknUfBfYZl0XD5fhH1EzZORKBRCARSAQSgaWMQJNyqrWm2Kdejf5K1r0CLU9OBBKBRCARSASWJQJJ1ssS7bxWIpAIJAKJQCLQAwR6S9bs+EqO8t/WQ7Tb4hp5cLLXkeM9WHI5hX9ZoBW/qMH2Lzetq2F9/KU9rcPdOq8As3q4rpSpzmpqO4ZfXNBc7W/u6X7zvEQgEUgEEoFljkBTgHRroyrxNRprzIlo4gJxRfdGNCZHNPEMPsSLhtfreh/VS00BzgMjGniyw5C61bghoin2R4Au/7dhjvt7S9Y2IfdWRJuoYxXLkKYCHF0NlV7kV/dm2LCIY85+gUoc/Rz4Kpd1NiStK3kp2rm3Q6S7YiSGfcsjF8FXR8O3zi+ATRR3XTCmt9fO8xOBRCARSASWGQJN0d11hUVkLANI5o9IcAojYvbsxy2ykGTcUM4orL9rJ996NOvCWt67ZdHI71KO9MMRjT0jSh1xqWEixg0ZNX/sLVmTIqQ5ISNl1USuSadCYl2NpdXIoy7NSdJBxILGVAnrbEhNqoui9PY2q4hW3zzpT9LACCctbc0WXkJ6mJJ0Ur1yJAKJQCKQCCxXCDQppLXlGL8gZrUsFIOSciqdlzKoXLWuWpQ3JUdlRD2mtWX7dpvScaU5qycichyxnxrReDCiiUflZL8rojGk0tj9rUqlYY7HlgZZd9XIg6la4jfN2+YU1KB9S4uSf6aKVd0oQt6v8pi0ZI09lBIlWSBD9cLlDNtcPTo28lCg5PgqR1putyImAJb/CyBkLbnc9ZktED2t/PtVfrU1AUdFLpqz84Cripla162DcFDfPGH5ipqYBw6uwzQuJxtJ12TNjGFfCoaogMYVIFcZNvamJKsbQjqrm4csVx/pXGwikAgkAisuAk0as3ofLLh1ISwErbaEIlnSWdW7kJo6K6LRwYpb0rOk4eIg/IWDDq3M6Wp64D4FpqR2uQ5+pMVfFNEotTqWBlkrwylPl8bMPK1ohsIcyFWSuNqmqoLJ/1WKVKEN1bUcR/VHVApweI0U41iaqvZg8nFr0lP0XFUyw2ZJHTYBJNqtQhsad6jbrYgHAFVMUxQFueps5RwEaU6kKRkdaEiWj4B5gxmftcC6lC5VZaaub+7arlf3zSZRaUSC4OGgEpub6hrmshdmf8IJE4j92TfBgUBBSrNmhVf4RphHFufvX3G/C7mzRCARSAT6LAJNhaheWnXdwgsUSnW+PdMVPvn/9u4E7NZ9rhv47za8SpFoIkJJhEqTlF5NqIRMxRGvyszbIFPKGBlDxpw4yTGeq84p8zwcMiTDMYsihJDyigxxv89nrf//7Hsva639THvv53n2939dz7WfZ6113/f//q611/c3fn++7/EJiVAaGOSer3J4GNzNjWY8SI/+RdVwm6oR71CAxAOcRX9zbHGniDWRLs7gKbtB1sjReah/WWL5VLxYC9NBHoRCeK99kIf+M2QtfN5VwBD0Zgd5mPMpH8BDZrUIR/xRazgXjmcssIAoa5G+XNQGdzwS55V7rd/tj7UkjM+4kBcX3kb6fSFYXr/FCuJJk+AkgOJvHrb7dgwjQC83CVRvLKvLdezFGyvXLrRCL12+PysIBIEgEAT2FAIjBwtfnDGfojUia73TD2na4AYi/edGvpnT1tZIOvo7D2mDT29oVBiNgKlAGu6B4ElsczhpjjexlBm5iywzFE7eDbJeDIP3QR59yAQPVyU2Qra5PshDmByZie3zxOlrm0DCy96qNnifZ+2aiFpOWe6c4bCKrF2DdysEDiwe8WbIehoGhyb5uZc3eVH7ILLC8+9k7fW00emUqx6EF0lRFX9IPWS9p/5jZjNBIAgEgcPIVcHXnaoG0VGURZL5W6uGh1XNlM04X5w7XU4fmZPtiISvNBnkQesbD3L+RE85pfiPIUDRDE/wxjlxwt8Uzj5eNcuZ445d8azdgA2oWLN42shLEh1JqdCWoxXqNcMYMSKsPoZSO5XXCV2zInjbmyFrYW2EKFQOKDcuLK5CT5JfDtjeVpE1j15eQPiCB26PmyFrIQ4GhcVTFlp3PSFxuXdvgtBFJ2shd967a8mFe+MZEt4Ub2jIOt8MQSAIBIE9i8DMu737xjQt6U1kLWWJW8xBQMI4y4wF+uGcU3yIC4S7cRKSFkWVXsVtPGccgTfIO+MvS40UzXFcYf6F8zs35+4pO/WsbcBwB15x16pGkoqpWAvC2jbqd4VTCB1hq5YTDlYlLR8s3Ox4N6HsXXhb8ZbXu3lhgD65yU15DllLyisYY6kIIehdI5QOQPtA5Hqghd4Ro7wA71bxmPy3KSi9T5qHrwVLbhyBCq1L9CsEM3CjL9EBe7J48sBG/ATXjeW0f6FyVhbQAW5vQvQME0VzogyKzmCggI30qdx5VhAIAkEgCOwpBGb90z9ZNXCy2ppN4TIASnqXAyrCKqLLyzaTgc73o9pca+HwZ1SNPGQ8hHfxjtYuBWf9nM+oGm5UNeKv/9NqwXDJqVXDR3dK1jbFTRfS7gsx9UEe8sguLK9MHAS5sVL6cAdEZzO9X00owGuQMK8V8flB1EARsrY857y9+Vy+uGuv2o/Xu4Zz2yMvX54AQTIe7BcJ84Jdi6EAC/8yPITqXU9InTEwFT1R/deX67ovRWfui1HiHB53nOu4J0YI8rcve/c8Q8KeHC8c7ppZQSAIBIEgsKcQGNtgpmFB3GrEBb7nP17VB3yM+OO8VQNvGBWK2MpDc/L8LbJ6jqqh13hN7pQHP3As+3APtVMfqxpmjvBOyXpPQZrNBIEgEASCQBDYOwjMcs7nX07OW9tlyHpreOXVQSAIBIEgEASOOQIh62MOeS4YBIJAEAgCQWBrCISst4ZXXh0EgkAQCAJB4JgjsIqsSXT2SSOKoVRlr9K3pt6iaKq3bu3kJvQ996WoSzm8nrOsIBAEgkAQCALHGIERR5KwJuJlKQx7dSso1vKrQPlNc7GUvkYCV9epGh63fLPjrasGoigKybyWgIrOqudUDe9vvdvawChzqhZ/vqrxVWStNUkbkypmPWCUuShwLalgm0lrutADdwFF1dpanCzDOd41FzufVZNnBYEgEASCQBA4hgjMKsFpdZCMtnQ7aeU1yEOrri4fgzgePKnk9tqbVA1kuCdrNrDDFK+HVg3nq5rphWvn0g2l00mHk2N1FRFIITeqPYyq5qnryJqEml5lbUUawJWeO8jF9J1p4LY6WWvwVsauh9oN6ifWGqVFCvlrVdK/TEtb+bqeaEIp06VsXQuURX2MMDodbv3Orqftyn6cE5n7lx45sZE+I1uvW1dM0yqlZ9trlNlrFXvdpCf8GL7puVQQCAJBIAjsLwRGxHla1WCqY1sjLQ/qZPdscqMUOCmOnVk1G6lJF+TmS8ia8BfOPamRNU7Cic+rGt5QNSJm/OWaY9Xw2CY3qjf7RZshay+khX1KEyOhPCY0bsOUyCiuEBchs4lcaajqbSZG/rx2ccM0ekgbqes95kV3je2OwpSsTbMiXmIMGQuDd6+HTUjitU38nNcvJPFTTUHMfhgZPHE92K7z4nYdM6iFLQzXcHxWEAgCQSAIBIE1CIyGLlGnpFrG8RP5JSfdtMEdOpvIdZFG1oRTDHV64xKyxl+i1e9vZH2FNm3y9KrhrW00JmVLTian1b9ez8t+5zqypvTVF4UtP2Q2WQcmZ/ndCYmY9DA4gkXuNkyIRJ5bPP4aG2T7qKbaYkyYG6fQIpzAWz/bZFlAjUGA8Ims2Ov0ONNLePzvbxrfgJDn7uc0LcveqJZZcgrIX9iBFBwizwoCQSAIBIEgsAKBUYT3XxuZ8oKpUuKZT80HeUzJejZ1ETeSFDXYYyEMfjbN8cKFwYW9jZF+fdXwwqrRbAycyQl1/vtVjYZAcVT/cDOeNRUuHivy5ra7gHA3dTB56q576ndEfM824pKH60ZZJTzZLu25jqynnrXEu3PyhEmzbZWsFcn9TMst+Nf0K2AKvzMqQtb5DxoEgkAQCAJrEBjx2/9UDV+oGg1fEvL208h6ltOWZpX2VRT2ghYJlpY17KPLcE990k7WjkX+PHEpY1FkmuCuc1bVcHorNuPYrtQGl2PuOWshbewvb6zgS+7YzGfkTSpT6NsMzvs1cua92iCv25AMz4nDm/+JdDdL1irMDQGhuU26zY25po0bkrHoWZteQg7O3oXaDRQRsrdnkm8q84QrhMzvErLO/9AgEASCQBBYj8DMsz73XBd8NHBKhbZI73e0nDWn0qRJqVpkrVjMwp/XrBqkhxfWOPWs24Cn4b1VI+e0T+X676rhyVUjvuJkPmIz1eBeg/QQpvJ15GtjNoOAhb0l31/UvOgnt9cJkys2Q5QGbXDnj0TW02pwRoKYvuNO35hc9Yy2D8VpQuqLZC1HTVBd4ZlCMjep7UtBGcB5987HWGAAxLPO/9MgEASCQBBY51kbGqWlmNNHq1veWriac9qrwYWt77cwlONz8zD4LJ/Nw+ZAtnU2WasGV6CtSlyxda8G1w7mcUXZR6wGX+yztlGb1HstBy00YPCECnF91k6ILHm2vF6ELt8sVO51kuTK34WfH9vK3Y2NFN83gaqvxT7rN7epXEIMroHsEbHj+k3IHzAIkLA9IGQFZkhbSAKgyNpejCtjfMhfy6lnBYEgEASCQBBYgcCszxrn4RjO35ltzjQve0WftVONt533WY8850tXDaLMnaynfdZ9fLL89rb6rPfjW2fCl3mhkvE8dEVtfe70fryf7DkIBIEgEAT2NQKjHPSFq4ZpIfW27uggyY3qTZOkl0MXrjA/W0QgKwgEgSAQBILAcUBgVpR2rqrBGOUdrYNE1jsCIgcHgSCwBxG4z6zW5Ip1r9ns96wgcMIiELI+Yd/63HgQ2AcI3HvWs/qbde9IDu+DdytbPIoIrCJr4iPdktVTTdZzlT63XLG2KoLjO136uPsSNtAaRi3taC/VfARUyKtuZrnf87d+cwVui0slO1wUte0k/CGs7/yq3HdzaXNTqGeP8N2J9rrqfEWEWUEgCASBA4jAqHBZS5bv80/Me66tWfHZxauGD1SNWo0VYCt0nj05569pn/Xo+5aAmJRt49Xhv6pG38f45J+qBjzkcJXi0rkf6+dYRdZao5SNO1DMXUX101ZoaivksonTduFd0letAtxyTtXmr2yTTXbh9CtPQT5OJXu/9pGu5Y1RDYjc37nkxd40fenORwt9O8ub9Zime96UcrZzmq86htLbSa39TUU9Afmd5PbvuPFBe9iu7CwnCQJBIAjsKQRmhOw7zvcxIqaQ+dImkkJL5C5Vw62rRmSu60j7leV79plVA7nrtkbnISGqlZkTRp3TebVBMwjeVTU8s2o0e+P67RwMhFM3rvHRdX3WhEN4XHrAFG2ZBkL9a3Ht5tStD2+0eF23XUD7F1F0CmZatY7mYsHobVNFvpnFc9ZzzitdFlEQmYCLN4p2+XYWY8CkMxGOH9vOCVYco//8Fq2NjpWnrW4nPef2qa0vKwgEgSBwwBAYyVPrKiJbrecakT59gwuv3X4uUTVcvnnCOIsjZ2lh/vmqgSZJWyPHk/AJnsE3fpAyftPafNP2nU81lL7In2wMqLre3Diol29GbpSFgHhciBzofZo4CfI2RtNzvEiqZS5ukIeeMU3jwtpC6A9uHiJPmRcndOqG3dB0TeVGPX7bdvM8N94vUXU3r1dbz/RftmZyhOHcdMv1apt6Yr8PalO7NKa7YfsVwn5489xZSQaOGA6CsAwbYf2IFiBiGufu8zoNSFbQvZuCm9e4tzMnN4AEvbYbNchaKNsbDuv+Zuk3J1GH1Hnnv7HkE/577dzIlQoOL/2WDVMWHby9mQ9tZMkLZ639SnuDjTP1AdNsT0Ndv58PivcCSTME9A0ykIRhfFBYjvDQh04Hlwdu0VmHHZydQ2jfcJaXt4hLf90B+4+a2wkCQeDERmDUB/1pnm3znn0fGwrlu57gltGYND0ma/R9eMGq4dETovZd7/v7A/Nw+vD0qhEp88TxiO9g3EKwC1/dsWo4qWrEpwRV3riOrP+6fSm7iIMRpokgSJGQCaJAtohZczgCJLtm3iePnBVivCXLQUhdGB0hIhNEqNEcwSCLvhbJGumyajSUIy8341omfbkecuV5G+bhpk5tRP2apqhmQgphFHsCLpF0ZIqwhH8ZDXK3PHj5ca9jZCBTRgovH8kjOtdCfCwd+0GwRFq6weFciB3YyPlazZgQGqH9Kk/hOQYFxTf94IwOk8cMSaEAN10+CDRoicvAkpFk3wRpSKe6b1634+me24s3H+E+p2nVwtrEFgYIowLpw5TojcftQ/6FCh1ChgnDy/vA6Hlke8+896IrjA/YsB6FfeDJMIFVVhAIAkHgACMw4gPeMydRKJvT8qYlZC01esVDuW2QjDxxTiGuks8my33L+QzsEa/inc9WDVetGnEufiMGxgs3bnPt1C1fzEKkEt+IxsxoxCN/zYND9Eh7OnWL54UIuPCOoZXKq5NM5xUfSW50FVkjUQTIM7V4uLzGZzcNcqRlb8LTCI48KWJyXSBY8shnNJlSv8uxk0sFOulSZI2E7RvhGS5udjbgWVP25pyOk09fJGtGgB+P9zC417OKnNP5NMjz5llThN6dy769iTTP+6KBLk8thI6c4cpoESlgiJC7Q5684Zs1jO3ZwBIkLOrgHn+tXQPxMr54zD0MbrAKS8/7h7RJw9oTwwEm9txzJ65rz4yuNzZMfT4cy9gKWR/gr6jcWhAIArMJWb7bDdiQa8a58swLZD0S5jrfoYlcy5CbDf9ofDX4Lm9rxFtmW3AKhdfvXzXiJpHQTU3dciLeFNceoQljC90qPEMmwrl9RCYS40X64r9Dex0X32u3Q9bICGGyLvq4TIQsT8xj5n0KCbt53jYN80Wy5nFbIgC8ZAROGN3jjA7eOjJ0b3o67Z9FI0zP2EDwkvzC8AjSvd+qec5Tz3pK1vbEkzfwhPC7AgLGhetuhqx5y6wv+4MdsXgfEBGAzZI1g0au2/u1jqwZIYheuEcUBPkiZ/ggfJhJR4gEGMjCW/deIH7vKWMkZJ1vsyAQBA4oArNqbc6iyuxJ6nYpWZ88/14c8Mlkzaq7fc/iLt/tvm9xJ4fOYA9TvXCUKOh06pZjOGRrp275gkYWyFHoF2nyrJANAkAcQqsuyBMUmr1JC6V27xTRCdEqUtsMWbMoEKKFKFgpLAt6384tLKuajnEgLI2sje8UVufRe0y4oXvWwrTGjokAIHMep/3K57qWvDPQkC5wEZUcPC9Y6B9IvRrdPTM8Ht8IHKBTsnZ+c7KlAuAhDI78VVzzkr1ZSPNIZC2ULVTO6+fVs954vvBnDK0ja6TunhV8yZUzGBhNi2RtjwoIvTcMIee1L+kLoXZ4MkqQtvOIOCjCY0TIUwv/eF/krQ1YCVkf0K+p3FYQOLERmHnUHBffiRw4nKh960srPGvcc4eqoRVFz0ha5Nf3KI4y6Mq5fCdzhERbcYuoJs7wHSxqjeeci7PHUXr8qpz1Ka1CjRfqNQrHeLKGdgjHIilf0EiNVyqMy0OTt5Wnls9E8EjS8UjeFz6XX64aAMheBdy0wtzmkYbVvUkepZtDDIis5QlmIWTHs3RYKq6jaIo3TodVOIEni7DkpS3jPe0b8SNsYVzkY98sHuF2IXx5BedzLYSJKJGVtACSRmJyv/qfFRv0pdhLCxjchJLtT7ijW1PeaAUG+rpd3/3aI89bft2SE+Hh+mAoALN4+IwY5/amMpK8ic7NQIA1Uve4KIjfETDvl+XGKoSJe2GEKCKDH0sOWSuQkO6Ah3v2XjsPwnYfQuf2KGxuPjmcRBvgKe/OQMoKAkEgCBwwBEY8xbnpU7N8h76wavh0m2/9pKoBn7Q1+t48/VB/9chZu+RGXvuvqkY1S5xQS9Haw6pG36uiwTgWvylK8z3MyfJdjAfVe71qFVkjZV/klpPwQnt7T38OESMTLUxymwjCFzgyQmimlLiY41yHV+oxOU+vdRzymoqK8Ej7YmEwCrqoCOsEqfjbfhzHQBDqRcD24xrIzjX70G836wex9mI23rU92r/jpq1bjA/RBASv+MoPDBC2kATPtbdueW7a9tTHeiJAgNuD/DUsEbY9izp4nfvwGFJF3gwEy316Q3n6fTIY64x15ZzOwfhBrh5znNfD2DFy3ArGHKvOANaet09kb/X+aq9hgPhRuQ+Tfn8wc5zRqIwvRoLCMsVu8PDe2AcsGSVZQSAIBIEDhsCs2KsTrHvzPfqhquGLTRTlclWDdGdbo+9yRNzFTaRUCae03PTo+/KcVcPESR1xi+9y+XDfrfxP5+FE+o79oOvtd7nRxYK0A/ZBye0EgSAQBILA/kVglu++wOH91tu7m/1O1grKpvOwt4dCjgoCQSAIBIEgsOsIjCKp56gapEZ3tPY7We/o5nNwEAgCQSAIBIH9gMAqspaDlle1FBjJH/f86eJ9ybGyHuSrd7rE7QlzHGlJxCs628yQjy7/tmyghnuUT+757SNdN88HgSAQBIJAEJBX1pXU+LHfi6k+AAAgAElEQVQP9+jAeG7ohc0LaM30xoXGW73T2RXj/141OJ9zq49Sl4TjtHZ9ZRVZaxvqFc0qrZWWU8VaRsgq2ZzUEI6dLhXfvS963blU6GnDkrNetxgRvRVMW9fiUpWuunk3hpDs9N5zfBAIAkEgCOwLBEZKj1TIkCsuenbV0Phx1MZ7+6pB6++SNRKvunrVcLeqUWEvBTMFZa/cUDB7eZMh9ZiCaoVqBK3etU5uFGGrHtYjTW5TW5SK4MW1m4M8Nlswpjea1XIkLxxZU1BjcJA2XVyqrFXcpZp5X/wHySaDQBAIAscbgVHHkLZl2iKi0Npvn1g1vK2Nu9TOaohH76iabHhUZ0WbQtcOwqdnohsHByH/57euIz3ZHGDOpE6mk7c6yMMQDeSnlB3bk5xE1vS6tWwpO9eDLDSu6VsblfYkPdZ6cxGm2ccMAP3Ti3rYy8ha3zRjgaevj5gXrK+b4eCGec7K611fw/l0QteUrPXJUd9iwWjZorWt5YuXLmrAkvEmaHXyJuiD1gNHuQypA879EjjRdye8TtGLNeVYb4JUgWMnk1aO9wcr1w8CQSAIBIHdQ2DUvnzuquGsiRf88arhzKoR70mv3n8FWeMdTnCXmKapoS/7rY3o8SlO4WBSAsVx0rRvWkfW5DHleRErBTEkxIJAugjYSQl3CCULhRuioSEcoSItFgHBcy6/Y5CsnrFbtxw3j1YDOKuhr0Wy1kNtYIVBEiwY1yE8YqgHgkW8iPOeTTWMbrlr9tXJuvch61HWR8yacU6gOD8AuzqXsAOLRwN7J2UCKwRIhOh/p03j0tNsP8RR/M740C8nrGF/WUEgCASBIHCgERg5fARMOKQ8ZIqZJhO+/avJehbyphCJW8y1MA9iStYmHZKqpvuBH6ln4lzzGp61jqwpXyFdsmcsBdKeNKGJZCBdBEiQA7k5ubA5Nx55+Z1etxuxMa9BiMhUftvrbZSC13Te8yJZ814Vkwl5A4GoCgOBilona94vlTIqWjxwMpqLZG0vvG5g2h/5TkYCpbZO1vbDQLEHz3W5TgIsVNIogFEKI1EKyHc08RFasM6r2EAUwN5EGrKCQBAIAkHgwCIwKxRDtniJkqSoMkVLoez/WkLWorOcQpzCqZXbxldInEQ0pUiOoci0yC65UecmFrZSbtQBSJDcpNUHeaheE27moQpLI/TpIA+kaNMIWExf8l1xmn83ow2+SNZ0U5E0uUwjOf3NQydZ2sna7zxluqpulgoXWUzzlxGwsD2VMPfCM0a6/mZwCMt3sjahinWkWEDYgWrXdLKWMDotbaF+kqimeTFCvGHeJJjwru2BNZQVBIJAEAgCBxKBWf805/UaVcMdqkaRZAOeRFnxh9kJP1Y1IGFRbY4eWVL8YnEY8Qnn13lEr6l7UpfEo2+rGk6vmk3oMv/iqes8ay65i3qxZDevmSdNNk3eWa5YbhZZI1EFaKrf5HyVmyMy2tHOoyBsM2TNEJAHtpAiAHiyiF/+mxVyJLKehqB7GFxOu2uKk3mjw22P2yFr0QYRAQM96Iqb2uU+nRdRC52HrA/kf9DcVBAIAkFgFPHlUZu02CPH6ppwl/ZjyzxqNVA4kwMpEq3+SQ6a5ywdbEwxrjCcSYGZfDcOFIFWA/XcFs11zoetImthX4yPMF1IVRuS5o4jbSFgwyV4qjbEA6VDjbiRshCywi3qYn1YhAo5JOc1wuCsCpaEYRN98eht0KI9LRxtNCePW85ajplnbIgFohSitychdkQprMDL7QtZMxbokAOok7b7QtYE0nnlSJtnLuwArB5ZYA0pWNP25bVyEzxo9814AG6fN+pxb4h9umZWEAgCQSAIHDgERpyjzVjBsWUmxXOrBpzV1vjmquGKVeOCNrinZ6MwT92oHr9+1Sh1isTb0Kbh3lWzinFkLiKtmE0K9/mryBrpyS1b8rFcdxuyFH2xIsTUWQ1OjKSQIU/cVBIN3fK2xFSEBZCmOL3HELbXGhQhrD4dhNF7ol1HmFoIHbm7OcfzannICFEemyGBsHn4csYeZ2T05f76+EYRAkaEdi/34h4M9lAUJlLAgGBcMAgUjgnl26P7dw8MBNaPKj3hDPcm1C6krh/OHhkS3pypAXLgPqq5oSAQBILAiYvArKgMl3ThMFzw7kMiJzNC/tmq4aVVM2I3dWs6BxsX/UjV8LqqEWeJTOMjfdZN6GumKS40jquc+wuRG936J44VJMegmnyFQs3WT5ojgkAQCAJB4KAhMPOSv/HwyVzbu0dkrXgsa/MIsHi0jIkgZAWBIBAEgkAQWIHA+c5ddZ5zVn1ShHZHC1lzv7OCQBAIAkEgCASBPYrAsjB4G+k1a0nqS6K7DdNeeif9tfK5y5YYvXNMn3cdj09XG7y99BxebzWh8z2KaLYVBIJAEAgC+w0BHIaPlo2y9Jz8NP7q7bpT7uqP+9frvH4Vl3Xec54pl/XH+3Ff9bplZK1ASquWwqm+CKJMlcGmb4RiMYlwxVlTqc/pa27T5DpbxdvsKf3Ri1XTKrlVYy9blNDcIFWXrCAQBIJAEAgCu4UADtMqTFVzuhRa40TyoPjtjFbMTIQL91kep/et+FlPtMJkSmUKsKdL/pp+iRYvleTEU/o0S91IlDO1c0mz6m7yWtodXvv5ZWStEpyUqKpvyipk0VQ5a28SMlc1zXqQs1WNjXS1ONH51uKkKlpel4XQG8TdIPERLV99aZlC4r16+1JNxpQCmGpy52B5IHjWDplPSwW263u836jydkult2tSPfPjeZXqCsFIpGYFgSAQBIJAEJgigNOe2dpyFQ9Pl7ZkGiK4jfQ2cSwtx+ZB4DrdRBZ+60OtereR9qvezoX0qV26Fp4iuoX/dA7RIVEtrquITsmdWkvx25uc9x0Jca2rBr9zO4j2t8XTVoyG/ZGpvmlKXl6nQdwGCYLoi6YWhmw9r0dsFVlrLldVbelZRsiI1zX0n/GkkbOhIcROlMEjcNcnRuJmqJvR7VY+r+3KvlybrKiyeEYAC+aR+XwGgSAQBIJAEFhAgHIlkqavsUjWeENL8WVbJJikNa9ZK7FQOPET7cM0Ouh94DAaIGSxETxdb0vb8hMar725tf+6nvZhWuK4rbcpE1vhCItoI3j8+YStkDVL4q7Ng+ZhI2jkrL+ZZ83a0JtM0eUBbYCH3mQe9J+v8KzJgSJcC0kTP0Hej2qP84x57sIQLBfEDAAhAt4+aVPXEm5gwQirAwfJAxlJ88KRtz1mBYEgEASCQBCYIkDRksynnPMiWRMBo1ZpAhaHlcQ2xUrOIUGwpzSHleqYELqQNYEwziQO6mSNLxE57XDeNUfW8CspZyneTzaxLRFhSy83+VKOKN59xVbIGlkKkSNf4ifyyywE7G8j3Hj5ZhaEcIFwthCBGLyLLQuDi+/30LhQAI9ZbpzYOcUweXC/UyDzr0Z0IQESpEicDKmbu257Dc/fY45D5AwMU0yojIWs8x80CASBIBAEFhHgfPbZ1MvIGrdJ8+KSFzT1MmMucc3l2gwKRE9u2ywKnjZRL+HzKVkzCpC08Dmi58QS4OKFkxQ1frmTtRy6EDwe5XmfthWyNrjCxnjOEuomiJAGnZI1EHi+QgNy0TZHmtPPMrJmqfSEvlg9JTGWCcIHCvKnpSrUjvBZJKwTwiRCBQyGPj5TzsG8at6048iZyhnIAyDukHX+kwaBIBAEgsAyBHjI0qaLZI1AFZPxvEV0yWyb1ih8Ld0rv4x0LQVnctPC4+ZYULyckjVe5EVT7bx7y0eLFvPSHeNYXEkxFKHz4jnCZLIfuhWy5tY7sZw0K0CMnpdrPrR8smo4+W0xdtYBi0Fsf7NkLWZPfxzZywuYtuVmJeI9bmY10CTljcR0Lf8qNHMdHjnyRvbIWs6aYRGyzn/OIBAEgkAQWIfAIlmrp5KGxS14j/Mnp4y0PSbsTRrU38LeIr3C3khYGhZn4SdOpDYsY5V50LxkoXC1XFK5vQUM/zEU1GsJjZMgVcfFAcWn91hH1tx5IW/uuKUcXX6YW+4CLoyshaZ50MreHcOL5XU7Tr74/m1kpU328WDOJ1/tselC/PLOrmtoBm9bJbeZnoiXdyy07vpGWgopEFQXnmDpMBDM0gakogChc+F1Vo6QQlYQCAJBIAgEgUUEdDuJ9OIVC4dxNBWSGXOpNgs5q6f6s+YNq5My0KnzowIzOWb8ZDqk40WAeeNC5qLDuA2vIXiOZ2/vcl3H4zIOqv04Tjido3rGOrLG7H6eNbkrfWKKvVgdE2HyGTEjRXF9rVK82fe2ym1ki9AVksl192VTNjNd/ZxAcx0AtUHes3MIMwiLu76CNudzD2aDCs27FqtGPoFxYWylcwnfG0OWFQSCQBAIAkFgEQG9z0hUkbTFCeRBq3+S01b/hF/UaQl/W0LUOpX6UhTWK7o7lwmd40YEb+mndh38NdUU4Xk7VuW3JfStRkxr16z9K4M88qENAkEgCASBIHA4AiK/HNXpVMjtYKTLiZPbx2lu5xyzY5A1Nz0rCASBIBAEgkAQmCMgIqvwa53M9mawEg2WDnauHS1kzd3OCgJBIAgEgSAQBPYoAgmD79E3JtsKAkEgCASBINARWEXWirgWJ2IpY1eCTgatLyEC4uV9KolqOWXm0/P21zifwrC+6H2b8dknj3jedZ1jx7M/8xYHgSAQBIJAENgFBISyFYWZd4GbCKD42+N+x1n40WOEvTr/4cbp9C3c6RjPd57DqY7zHC5UHO15r/OY83rtuIqsaZaqbJuOtNRmpf9ZU7cNONbQDJKjLmJCCF1uQucauqmOqdamk6r3zGAQfWg2g5j1UCtJ166FuLVdqYTTl0bMJCsIBIEgEASCwPFEgBqZNir8pFKcOJh2Kzog2rC0VvXZF7hQyzE+RLDEvLRwWchXK5d2Z/yp7djxqsD1U+vTdi76IArS6JrgTNXm9zB7Yx1Z6yczGKMvrVf6wJCrzbo4eTV9aDROO1m7gPYtN0WoxNQu5e4kQfVJey0yJxnKqqBsRhOcKoweapaJpnC90llBIAgEgSAQBI4XAoRNECflTM4qTiSRzfF8aHNIiXXR97hJa0fuwlxamXt7Fl40MET/9lubJonBHtqXkTMRFWM4VaBrOzbx8szmuGohe+Y6sub18oIt/76vqZPZgB5qIW0jwfSAPWdC1hTFeOX6mlkRpmZZSuGJm1A7s0iKElNB6javTxr5u+HZlJHj9e7kukEgCASBIBAEGin3qVu8XlLXHFa907gL13E4RZQ5mTS/OZ+cWwJhos8WrY9fbP3WPGvOMEeXAhppbQ4tTkXuXbbUv4wAAmQnryNrL+xl63S+sTu33mbE4nnFcsx0UV+7DbJG3BrPaXsLt9NN1RQuJECj1fCNrCAQBIJAEAgCxwsBHjEy5fmK/HJOkXMfkcm71kv9xA1RMBO6RIRN0CK7TaZ0KirW74GnjvgJpZAxFYnGxZ9qYXTOMI8b57qmiPRZ68hannnqWQt9I2aKYshb7xgtU5qmQt30wuWsN+tZT8naZC4qMW7YJimgeYy1kRUEgkAQCAJB4HgggCOpl1HJVPBF0cyELmSNDymUyUXLZ0vvElFRFCbd+9LJII++d7VfItJy2zgVITv2eU1+27RJJK7P+1JN/vRjJnitI2s56C6r1i+k+MvFOolKuhsDJgnuRrZC1n1Op7y2kLtwgqQ8j90NA2AqaXo83qhcMwgEgSAQBE5cBPAg79YMax4uWVLeNK9ZGheRC4HzwM3BUHjm7z6so0/dgqA0L76U6pXXvmwLh3uNHx67xfFF/AqtXYfz+sB1ZI3tWQh9mYZFeFyCXRweObMquP3IWkL8SGSt+s2kEaPAVL+pFJest0mC6MLuSJu1QddbaHynCjIn7scsdx4EgkAQCAI7QcAkx5u36DHnFGmr5DalS60VjW+eLwdWNJjImOcNjlKXJcWL0wyaknv+TCsc0yml2EweWz3XK5sXLUTOSfav8wix4+K7rCJr3i7Wny6uv2EaLI2+bJKVQUqNxaGYTLxeDF5ImxUhFGAJmStB5zlb72rHAsLxNtdbxVgTkvq8eDOus4JAEAgCQSAIHGsE8JWQNu5TXK3GCmkLY6vZsnAUB1NEWNGZ1wpl63DCe2qxXtfanI12tvCkY0yiNB2SZ266162aV80LR/icWxy7snXrWAOS6wWBIBAEgkAQOGgIqMEy8vL0nd5Y5EZ3imCODwJBIAgEgSCwHAHpXTload0drZD1juDLwUEgCASBIBAEjj4CIeujj3GuEASCQBAIAkFgRwiErHcEXw4OAkEgCASBIHD0EVhG1nq6NGZr0VKhpvxcxbZG7sWl/UrJOc1TIiqfaKXpBnPcpVXEbfcuXJt+OBF1lXNZQSAIBIEgEAT2GgIXbrKgJk6S2NbObFjV7TdEVG7ZKsfx5HQRPVEFfqWmKXK7DbGxk5qyGblSPdZ6sbVvzdYystb4rdT8rq0f2glIjypFX0XWytJdTCO3PrQLNrLWvqXvzAQuS5m6PjPl6zar39pjhndIxOs982MMGf1UE0+0hzmfc/vxWvqppNmygkAQCAJBIAgcLwTojVxrQ4HzT5pmeCfr72oTt4y/1OY1JWu8aygISVKaJQTAaJT8fVMAJVGKrB/S/l5L1vrI9Hvpl6YupreMzNoysiaW8vFmQZgWoj+b+AnP2qhNgidu6Hta3zRVMhrjV22P6682teRXWrO4MWG0WJG0HjUg6Ls2tYskKSvGOfW+ZQWBIBAEgkAQOB4IIF2tWfjs21pkGVkTEzOISt+15xfJmmOKiPVpc0A7WevXJhKm35rImGEfZ69lnjWyNRZMuTl5UYLj3PllSxhcCJwnjNSv3uZUEzPpZH2FpntKms3v5Nk8byzYvTbC3N/czmFCiZtzs4yDRbL2WmEDqmkskEcfj3cn1wwCQSAIBIEg0ELdBEuQs9QvhxR/3bgpdBqjydlcJGuTtJC76V0cUWTNYaUFLgUt7YwvCYetJWtPOoiq2AOat4vA6Z2SR5suZI39CZKzBn69kelZjazJq9FBpa3qnDZkohZLhPuPcIUQCKIjb6Fx07Z45ItkTSHNTbgxEqQh6/x/CQJBIAgEgeOFAJlQDqQQtlGXlMukgc2+pvWt7svv+O60tsnrtNdT95QO5rxKIRupKTIt5czxfXIjfxFkQ0OW5qynN84tZyUoHtPUTQ9V8ruvTtbPbSQtB23TCs141v/ewumKxL6zyavJP9uc+djkSadkzZsXHjAfe5GsheSFzEPWx+ujmesGgSAQBIJAR8CIZylfaWDFZfLTZzROU3sl/cs55UnjLguXkiT9SJtfLRROVpRHbeFNtVrO+SNN+czsjbVkba40YmUhCIvzZh30tiVkzUrg9Zr1qWocSbvoV5pnLYzupgwCsfkpWfPajd1E3sIJ/lbcFrLOf4ogEASCQBDYqwj0gmf7w5fy03gP0UoxX64VkRnwoUKcM8qDVilumWWNqKfjoEWcdUIhakM8OMez+qx1fdbmUivmUlrOoyZKLmnOa+7ryhtx9V9trr7ctSla3fu+z8YFedxi79dveWni5EIFNih0rurNxsX9hcuF2k0xUSHu5uTAhRiEz1WUEz5X+MZwUGmeFQSCQBAIAkHgeCPAIUXWQti9GBvZ6qKS2kXUuO/xG2Hxz7bNColLHfO237nRKfV7jdue0RzWyzTOw6tryRqxiptz0zE9b1leereXqjcePMPBDSlZd4OIPisIBIEgEASCwImAgJZp0WjRa61fyPq1vU15LyiYqYpTyMYq4THbnBj/slaxE+ENyz0GgSAQBIJAEDgMAWStp/p4L1VxrAjl78Ljku9ZQSAIBIEgcFAQuGR9c120LlWfqo/Ue+qD9T81HpRbOxb3gazJi2YFgSAQBIJAEDh6CFy7rlHfXNep99Xj6pWzQquQ9RbQ3gth8C1sNy8NAkEgCASBfYnAfeqGNdSF6sv1tLrPTFY6awsIrCJrbVhyydN1ZpMfFa7uS8W2JnD635dovdjas8618JoXLVSRb2GLeWkQCAJBIAjsewQeP+s7VkIs3blfvOqrNe2QDr9OpZe2GRaqvA2Z0iWFA72WIqelUIxs9lvb39TNfq5JZnuI6Bhe/Mcmq03d04yNV7SebZ1Qiq8tImMvXkXWFMTol04BVQSmVcsFge1Yz5NUe3V7XJuVC+o/009tQy7upt697z9suYEgEASCQBA4kRBQ7Ew75BytM0q7MdUyyp0/3jhQyzGJbJLY2rUYJURStChrZbbIdmtjplJmGBVu1JutApzCmXYuomImTfpdobXXfLE5xH+wjqyR8qcX3hVa4XS939w2Q/dUn7Smba9H1vqzL7rRI/2appNKpSwrCASBIBAEgsB+RYDzimx51jxduiLmVJgOSS77Hk2a2/3daEOFjFCY8dLvXXLD2pMJjRlIxRDg4Oq/1rKsbcvsC966czAEXPNz68ia6Mh/twsZsOEE5NUUBtAqZR0QKyFi8rKQ9X79DGbfQSAIBIEgsAYBaV1TH3nKxL6u2JxWsyyki3nIpk9KFdMK4X0biUnsZHGRzRZtRsZ+eNaUP3nT+JU4Cl6+U3vctUmVnrGOrImQ63u2SJ4ZnOHihnJwz4UFXNhwD5bBD8ezzgc+CASBIBAEDhgCUro8Z86rsDjBMBHmZWRNlQy5Cnsv0wr5taZOJhJNWtSS5/7djfz29ZrH7bwGW0kdU+w0NvrO68iatfCZdjKa3cLbJEfNoza6C1nr0T6pDeRwgYTBD9inNLcTBIJAEDjBETCEStib3DVlTXMuVpH1XzbeNBZz2eJxy0er4+pETWZUrppU6fOq6gdakfbr28wNEyvvv5OctST6TdsULAM+/B2yPsE/1bn9IBAEgsABQ0AHFEfVSEw5aNMm1WL9bCsAkzIWdRYGlxIW3u5TtBahIPjFM39Je0J4nWOs/kv1uLD3/Vvdl9nYitnUhf3eOrK2wWk1+H3bJBDufQ+PI2ii4wrMeNkh6wP2Kc3tBIEgEAROcARwodHNQtxaspCnUZjIGkdq5RLCxovI2nAOeWhLXZex0SrFLWR9sfZalePy1Ljz8+3cwu3OgVcVtRm76TqvWkXW4uqLfdbas8TW9Yv19eF2UtXf+qxViUuUn6+Fx00L0UeWFQSCQBAIAkFgPyJg0NRVG0FP968IzIArIfK+TKEUyu4pZBXjyF6ltyWE/rj2u0mSiBh59yVMrnXaMRxj51J0tnbq1n4ENXsOAkEgCASBILBXEDCXWs5b2/OOVuRGdwRfDg4CQSAIBIEgsBIB4ijanHngO1oh6x3Bl4ODQBAIAkEgCBx9BELWRx/jXCEIBIEgEASCwI4QWEXW128N3cROFJpddiPBrlhscV24VcjpB1NcZpFRUyGnl2yWGN/mcm7i6ITQu5LaNk+Vw4JAEAgCQSAI7DoC5mBo5VK1TRp0Gu6mZjar5G46Jf3iqslJkRIVU7itQhzH/kRr+/q69rfH/czWMrJWak5WjcKKeDuxcn8j4cV1lVZmroLtd6rqHU1P3KAPTd80U7e7lK1/dyN9FeZZQSAIBIEgEAT2CgJ6ohEx+VHroU04xfhPbc1UPxWY/XZ7Xd/3L1TV6U1YjBOsqtxALMfQLDmt8S1ZUr3bK8lavxi90rs2nVMnUkquhHxxsSgQNQ9cSTrlFW1fP7ohPH6XVtJ+zfb41zapNjKmrAql6TxnZe+sEa//h40bo0P+sVb6ztpw/u9rTeIS9WTY9LgRN88KAkEgCASBIHA8EECuuBF3acPi0JINNejDMA/O6gc2xmhSM8NjfeFLxz2m9Vk/vR1r/galUK81apqTfPZa5ln/fGvkvmFr5kbWv7UCCWSNxDWDOzEi1XPtQm7gfRvh9Fu2YR+UWoTF3YzGb43gNMf1nLkpTeGfav9SgEHYiJ6yi724YRNO9Lw9qFktx+MNyjWDQBAIAkEgCHQEEDXvmVOJ96RtyY4+v6l8LpI1+W7OLVW0P2gpZ+ROA1xY3PF0xSmarSVrueLbN3EToieXa+O7nACBTheyNteTt+zCQuhk1oz7smmbvVITLP+VjbGZBmpTc6GGZk6n11yrkTVt1E+085BvWyRrpH+TDV1yTedeJ8SQFQSCQBAIAkHgeCHAu8Z7D2ihbuFsKWCOqHD2U5d41svImiOKT4mn3K/NuPYYDp7VbB2pGpzXLExtMyTV6KGauNVXJ+u3NMJWmCbXbJoIIhaPv3kLbQuRI1oTTHjXLAcedCdrXrnE+u3ajS6SNaOBEcGC4cmHrI/XxzPXDQJBIAgEgT7MCqlS7aQd/s8boWzzqp/dIsH4jfc8rd9aRtZPanBSLePYyoVfYUPdjOMqrL6WrMmKIlMeLTFxm+A1T4dpd7KWFBc+VwgmdP3JRtb+NlzbDFAqLjxuYWyELESO/DtZ2+TXtAHfNMYXyVrlnNFjIev8JwkCQSAIBIHjjQCvWgU4XkPOeIu8NscTl12gRZbpgtMA7+vtbeY1L5rmuAh0J2ua4M+pqvO3ui6kbdLlWrLG6A5SyMVLlihHym9b8Kzlnz0vtI2kzd/sBWOS5bxoF+SdsxTcwJSsbUphmRtncTAKePMh6+P9Ucz1g0AQCAJBYBUCPGv8J/+sMFrdlQlaCFvU2qAOBK7mSzszh/UpLcKMpPGk1ixhc+3Pqsr/qDmkurH8zRgwKGstWSv2kjh3QWyvYk1c3tSRvgzv+MFWnX3jVmYuxm4up+T4G9ucTnnr7qUb/+Vv52dhWD9cVb+88SOcrl2L161ajncv4X75FiI3jeTK7cZV1GUFgSAQBIJAEDheCHxD0xrhSeM8/Nc5kkaJ4mhetxSvQVivaRs1wesirUBbftsxnF4kr+haYbfW6F5dfsSc9bEA4GqtGZyH7ccGbZRXnxUEgkAQCAJB4IRH4EgFZscKIOQs1y1RzwpRYZ4VBIJAEAgCQSAINJdbGDsrCASBIEd7HeMAACAASURBVLD3ELhyXabOU+etV9Sb9t7msqMgcOwQ4FnTI80KAkEgCOw9BH6tTq6P1dPrJUtnE+y9/WZHQeAoIbBXwuBH6fZy2iAQBPY1Avetq9ZXNipi713mDWQFgRMWgVVkrfqbCMl0UWbZyWCOv2mVcfLSu7k0kCuf70vL1x0XWsym11Nar3ldKT2R9Z0uFfJ6xPv6dKvmo1yTFQSCQBAIAvsXARxJZ0S3kzYr3UyGa+hg0mKsq+mBrVf6p1oblj5rapsmRk7X3Tc6oG7Q2pSpcDoXiVHn1/kk1YObaIp4TPsWztVG/dlVZK1tysQPfWN9vWRBjHyr8BshRmJ0txe1GMB0oXQTTYBKOQ2Qi0v7l/42A0f0de90Ad/gk99r/XUk5lwjrWU7RTbHB4EgEASOLwL4hPOqLYv6Jk65c1Pn1HL1/g2xsEs3mWxOonbki7WWZm1d04VTTeqi7PmZ1luNh6SiX9zma9ArQeCcyr9tjiDxlFPWkbXpW0Z9WeQ9eaJ/2LxjozNZAb/YFMqIkBM70RNNEtQgD564hm5/65t2E4rZaI/bBHJFtAZ1sEx+bONCFMqsdzerhOrLz7TXazr/eFNDUzHel3NcsvWAe+xhTSXNHkz/ov5C2KWf2/PGkwGOAAvlGBPAkCygPrjx+M0amdMxNxmFNqvGd2+UMWizJvWFxQBwXwaaeEO8CXrk9Ko7Xr86NTfXIj8HF21rFNwyr/v4/ofM1YNAEAgCyxCgvmlKJB4ym9rvpj8S9kLGtEZEV7UaE0nRR403yWlzImfqYxujM829RsjEv3jmyF8UWFTYa6h50ifRb02yW1/2SU1ABXc8cB1ZkxXtIesPtbAyckGsmruFtSmssDxYGgiMWotNsjhswI1x9RHjlKyR8XMbSSE2s7CNvbRBLj9vlVoasqYGQ92FZBsLhgZrBwAIyBqRzvRTm+CKEDTVNHrmjAb5LoTumhrPycMxNhAqsD1O15yxQURdyAOIvGVA3bQpzxjz6X7pnK8ja2EMxoLzsbzsjRCMN4qVZBQaoRdkPlWEy3+XIBAEgkAQ2HsIcEZNz8J9yJgqGbImfMILfmEj4a4FzrsWDu8Lb3B2O6d6XgqXcJiF23AfLx5/0BvBnQibbPfd1pE1EulhawT8zA2vkkct5MsTFEtHZrzuHqv3OhO4kK3jhaKR5iJZ84w953xu4hGN5EmtPbiRv9wvsubZ8uARNgOBt8546AtZ0y8nWWrJtQuDuyaiBjCiZli4eZYSkuapd7U1Q0EMGTH5C4GKKlCYoaoGYN6y/ATLiWEhHLKOrD33XS1aAA8Sczz3bli4X28MmTkSrVlBIAgEgSCwNxHgICJnktk45Vub87iMrEWZOamXaseI6loiyrgJH56zeeLO1Z1eY58RuetwLsmRkie1OH2/v46sJbcRZl/IxwmFtHmiJnJ1smZt8Lgt5MTlZzmsImvSo7x0g0AWydo1eOqsF2Tt3JLuCPtCjTSRXV8IkGwbz9tCsA9vRV5/3AjR4xL6PG0RgGVkjYR5vzxi5yB7iqj9GCrO4kGs8vjLJn5Nw+CsMEIvhpZ4M0QJhDmEvhkDvHeScrx3x2UFgSAQBILA3kMAR5p34QevSKHiI3yHrPGc7/HXNidOKlRkGc/gmz6gw6zrTvacYFHoZzWnFk8Jf0vVimhfthkEuEboHZ/edx1ZIxPE2xfiQWQ2yrNWhLabZM3b5rny4AGDEJE1gmNpKNhCskLJiHVK1uZk99C43yXs5YURLPLnRQu3m7nt/M6DJHnp8gauLZ/M6ul5+U7WDA4eMNDtg/Fw1yWfqSlZf0fLbQvtKzbzBiBsb7aIhBC8sIcB5UL2ohNZQSAIBIEgsLcQUPVtLoY0Lp7gKSsAe1FLpxoZzeGU3sRVap6QtMpv3ON33Ek7HIeYsCUtanqklKxwt0g0rnjXRk3YO9rfCFtum6fOQHjkOrKWy1VU1hfi5DEKFbMcbKATzW541kBhlcjn/ksjZ9e8arsRpCq8zYNGsn0xIBSpietbwGPVCDGIDiBoZK0AQCEAwJC1cxkK4hqiBqwcHq97U2DWyZpeOW8YabtnRgRDYHFNyZpBwajh9dsP48YegM/CYhAoUGBYGC2aArO99R80uwkCQSAIQABnIFXV2zxihK0QTFT45I16qX9r/MPxEplVwHzRxo08ZWSsxklY2/e9eikLj4hOS/s6F57gXSty5sxx6kSMjaXmxX94FVnzQhef696feHsn8ekErv47ohJ7d7wfr/XjnDxTjzlH/5037dxIixWCHHmy8smI1OsdazlPr0zvHyXHO19fXmMvfqbH9se8tp+j78W/nu/36Jwem/7dr+Gx6X3367rvxXM4T993/7ef13N+IvaQL4UgEASCwN5EwPd+/x63w84jfu+81Dlhyif9MWOhhcoR85SPOgc5/5RrFx8/m1P2koKZgiuFXZZCNYSdyVt78wOcXQWBIBAEgsCRESC8pVBM+nVHay+RtRsRfra0dgmHZwWBIBAEgkAQOOER2GtkfcK/IQEgCASBIBAEgsAiAiHrfCaCQBAIAkEgCOxxBFaRtYpvVW5vaa1KqqWXaV1TWtEHphT9ne1eqbIo8nKslqXtLhXmFGCUs++Ghvd295HjgkAQCAJBIAgsQWDUkkXWWoHxG6sGbV1tjbqntHVNF90NOh7TRfBLEdsPVg2nVY2UMomq/FvVQGJ7tpaRNbESil20uil/2Qi5TZJqi0vrk5YnOt+mhCBn6mIqnCmF9Ybw7bzN9FG1T2k2721Z2zlPjgkCQSAIBIEgsMsIjCq5CZpoBcalTXFz0IbFZyVV3QdM9WuTmdazPV249YatE0pPt8px9Vt/VzWc3aa8jKxVZOsL01umr9gkEd4tUY/FpT/MZvyQ9TT4gtoXSVLHaxRH/kjdIvep3L1XyOnlJlxC/5sKDAsDMetJ9m8naw3i1MuAQ3BEY7le7KwgEASCQBAIAscBgdEkyQ80zQzy2rQ9HlI1kLpG1vi1t33hQ1xIAKUrg5Lpxnt6uf2rqPqjTUiL4NhNqoaztU6WkbXZzD/dSNeMTUos9EqXLWRtkogTmjBiwpSQOaESmzPEAomb68kIcBPUv4iKXLORst81gOuvJjGKuJ/clMW8huAJq4OICOOB9BpRkWWSn8fhDcslg0AQCAJB4MRDYEbWRLRwGh6kUPnEqsEIzMkaTVokkU1l88lVw5eqZiFy3EqyFAeaHWEKpHQywv5M1XBY6/Iysua5UglDnPLUvGBjIeWNebzThawf1WRJedGInrAJVRZk7XfKZAi4D8f48aYURjiF9WBKCbI2OIOqmDCAcALFsilZI33hBufxXMj6xPvfkTsOAkEgCOwRBEZRYkOaDKQiZiJlfNISsiZljRvvUjW0Oq4ZgZP0/tOq4W+qRvwmv03BDIlLK8t/f7JqmA3UOlI1OLaXk7YJczrJgU6lMTtZ64uWCOfiawBXnIashauN+OJ5m0RiMywKJM16QPCdrBWTGZHJg2atLJK10DzNcJqqgAlZ75GPbLYRBIJAEDjxEJiFuTmz1DcRt5nX9zicrEfpW9MkaYY/omr4fNUs1y0SbdLjTauGTx3CbiSvjbjpgZOmPrVqmBVvryNrxWXyyYrNsL1QNisCkfbVyVo+W1W4TfjXhCtkLTZPH5ugOTJGzkLZCNn0LpOoOlnT8VZZx6tfFgZXeU5rNWR94v2vyB0HgSAQBPYYAjPSxVec2vO0KPMfLJC1gjL8+bSqAd/xXYXPhcW/uFE9Ph1K5Tka42rAOLW87xdUDYh7LVk7GUHxPl2LVjdSlkifkjUCJWwuj8xb5v0aaoGsedvy3TxsIy551zYxJWuzQVW8sS6ExnnuxM4XPeuQ9R77qGY7QSAIBIETF4FRuxYnVvU3z9rELOFrUx8/38LbyFpl919VDU2Vc0bWuqXeWTUYOtXWaN61FLLxys4hmvz6/pp1njXiFdJWMOaErIKeu+5n1wsmBy3PbENy3Fx2E0b0k725ec42IZzO9af5jbTNhva8pa9bftrNfls7B0PBcUZMXnGj0MwAcCXtKuiIm5tglRUEgkAQCAJB4DggMAuDI1TRZ/MscJ76LFXfX5hXhY8Xbq85q2pQk8V7RuxC5x+sGpB9J2tRYwVnarZ43G3U88BhXutZ94lZ/XXTcZm7CYwwuBsWUvjG1jDOsujzqXfzWjlXEAgCQSAIBIE9jsDMEEDRa1u3jsdN6L/WniUMLk8uIZ8VBIJAEAgCQSAIbKIaPCAFgSAQBIJAEAgCxxmBI7VuHeft5fJBIAgEgSAQBILAKrJWNKZyjca3pe3qoq3w6zP7FDYFapL9CgG61rhqPpKmdMj7UtC2bnCIFrOXrMDA+YjA0DPPCgJBIAgEgQOLwEgGG6e8/dDAjZEmid7qd1UNpEgX1qgX+1xVw4sOf2K8WFVd9tDjZxemvbVqwFkrC8z0df2fueTZjMjIqan0lk+eqansw6X16wptQphKdEvlnQo8g0r6IpF69TX3p5r9gSue15ZGjU3+PSsIBIEgEAQOJAIjLe9rN/UyDh4NEd/7JmqZmqXy+zeqhqZLMlIGxR2kvK3HVg3UP9sa8QbdEsM/dEdpAdMZpRL8blXDB1d51l7Ag1SJhqD1QN+2kbeT+916VZsgwvO2GQVipnXpk75KMwbciMUKoR3uNX53LGEUC1mqBCeEblFuIYDunIZ99Mf9DiCLmpphHu6hTwTTCua81q+3di8930/dAGcZWbsm0Raetl5w19OiBniN7FdqQ0n0fLOEyL91suapu0eeuUljdFzpm/vX4BI4sLLgd/aYs0NvTn4LAkEgCASB/YfAyOnzPU+Jk+PH4aPweaOmD86xfdr890FbMyrFW3jsxhsco/eaStn15mQ+mqWhqBo/EgYzD4OTrFW6i4Q95UhkbUO8RTOqTd6yEBmtU61WRn3ZoNnTXduUZOg/tAlcBFTciAEePPVbtr5s50HoSJ+oipt2HK9WX7dzec7mkexj28Qu6i70yXn8tFaRop40xMmSAQIRFqEG1skLWk83knXTpE+dgzyqhazdC9LXKgYP50HcjmU96efWA+5Yb4jrX6TtkdALrdfrN9J2PMxgotdcr7rm94mc3P77aGbHQSAIBIEg0BEYcZPoKm5s7VUj/Y/eH43vqJCdUjUsGRM94q6HNcfz841TOYQ3qBrojLc1UhHFk2dspKGfsI6svQjRUC4jIUqlhccrRE6ljGgJ6wG5EU2xeeMxkaKN37x5t3LfiAtZ0/PWDH7p9toXNkOAAcADRe4sDF41lTPHGN6hidzN8W4BQklNroCIimsKNdAj10iOLB1jGe/5uZZDECVYRtZ3bqIrvHyedZ/fTSrV3zx1+35PMxgQsGvznO3LnpH7XzQ8kDuM3KNz04TNCgJBIAgEgQOBwIysOWj4kyQo71kkFt/gI94xsZNfqBoW6p9G4e3fbc4gxxJHUO3EU/c9RNYz751MNw+b4Nib1pE1D1f83divJ7QJIf5+zMbmjM50coM5rtvIWticB8yrtGlFagh2StY8a6FjJIiIXZ/XzhIRTmBJIHD64ULeiJsV4ly8XAaBPfCEETyQqJxRRqNq5tqO4Xnz1hkXXvfEFn5fRtbAs3ckbCHaU9oeTfhi6bhH+zOoxLV5/D23QBNWKJ3xwktH+l7TwyMMiqwgEASCQBA4EAic7VlzKEV+cZTIrJx1V/HEV7eqGprS5ohHRKAN/hBF5sxyPg3zoC3uPPhRdBh/dfVQ3MNhfNw6snZx+uA2RD4NIal0RtY8bXlaOqbIime9GbJ2A6aKqJajUobYkLVrIXXEa+Pi+8LsvGhEjKxZIW5ESJohIQRNjo2MqbA7Qpa7NksUiSN1MqUkUVk3mwmD94+SayNe12YpmTcq9N3JmrHBIgIoDXQEL4zhGHlzeW/RBUUDPG6hjqwgEASCQBDY9wiMnDgOLIdNdNVIS9//vG3OorC17/2XHQqDj5xUEekHtHQvblO/hVMtZM2Lxjdqnzisctf4kRN7vyPlrIWCvZDC2Fua14ugkZ+wswsJcSst3yxZCw8IcwtL/3EjYZ6qULbQsZv9/iVkjeh5y3LGQvKK0iTrn9tC0dqlEDpv3ixu+WzhaflrNy+5f6Sc9TKyZpzIuytCWyRrRoPr27NwOLIWhldN7t549iwoufisIBAEgkAQ2PcIjIhVgbMUsQizYVQi0BxbeWzRVE4lPhBh5dx5DAdph5Y6/qGWZjah0uJcCo8rWEbsuM6cDZzoWg9fRdbi70LONsJyQMQquOWou1fsWOFr+WM92Lxe/cdyuX2INnL850Zowt5K0xV3ITmi54q4/I4MFXu9sZ1PHgChC4nzqm2YtyzfbQiIGxZuQMau69zI3p6QpjC0kIJcQK9oR7bOJaTQQ97CETx9gLaJKDPgnEffGwvKhJTeW65YANAw6GFwr/W8HmvPixgomvNmsLTk/u0nKwgEgSAQBA4EAqOorXSvqCke8iPSqgsJeeMTfIAPL181PLxq1petrgqniAS/uWpomh+jlq6bVA23qBrxEvLGdyZScgg/vIqseaIIqIuIO7lwN/L+8qEquBkZ8rIROrLyu38l2B2v38zr3RBC5Wkapel8ju09264n9Owxr3Uty/m81vld27l7tRzvWhjBQvR+R+L27Dg91Ajf9Xnazu9crumxTsquJd+92D8OG/t3bc8JUQhjmLDies7tef96vu/R/ty76513gtmB+IjmJoJAEAgCQQACIx7AHZ+rGhoXjTqTGhcoLptViV+malA75Ri8NGzMsdahNFkjHvraQ4/Pxmgi7c9WDTNuOpZyoyrakDXPcz8u0QW5de1qvPusIBAEgkAQCAJrEBhFYb++athxdPVYknXe0iAQBIJAEAgCQWAbCISstwFaDgkCQSAIBIEgcCwRCFkfS7RzrSAQBIJAEAgC20BgFVkrHZcItxR8KTvXR7ZsqZqWDG+C5dvYxaFDlLv3RaJTfnjVlC9KY55XeLa4lNb78fyypU9cEZylqI2Uaq8Q38kN6Ed/8TZOoEhNRb1/VaYrZlNFb29ZQSAIBIEgsOcQGPGVYua3VQ1amRWQqf6+UNWggnuyRkM5dBApSrYarw4TXh2vVjVM+GPUxqV4be3ULW1VCFqFm+ZsS69129Bhu6Da4jValHa69HK7tqVCXA/a49oAjcVzkxQFiL7rxaUCTyk8IZRlSzl8B0UVngpyrWHavnayiLP0JvetnEf1oN5y/yJrYixU1PTxZQWBIBAEgsCeQmB8ShP10v3jB9fQ/eBo0Sc5Z9VAG6Stsbf69i4l+iWnTkZimodxu6rB63qluWLsN1QNM05cJ4qiR1jLE49Pv/TzNvqtX70EL43fZNRWjY3cCsTEQ/SvWYgLYWkUX+a1A4hXrXR+cenzJgF3+xUXR4L6sy3eLOUzniwltp0sREvgZTtLdML74U3UXE/cZck81O2cOscEgSAQBILA7iAwchRpf/iO1qolokoMBRHTHTEPQveQr3RqlshX23Fv9dWShYCvWjV8rmqkskkl86Sq4TxVo35tCmmkSRH4jJfWkTUVLhaCMLdGbwIoPF3tS/3k5NA8R5NbI7g+ZxKgboCS1w8079BrTCERMuDVauGihEb9rPdy2w9SJpLS9+YcyBoo9sN4INfmb03oSM116a86D09bozpRFWRNBYYUqHA4WdC+kDUjpC/64KIGjBH7tH9WzclNSo78KRUa4zYJrJMeJcVKZIVBwVjp49Icz7vWT663rqu0MQrshfIaCTmP2wMZV2IzWtu8mfRi3Zfzs8x42UIm1G/87RzOZaoYYRgRhCmGu/N5zFmCQBAIAkHgCAjMNL85hwRPfA8/qWr4UNWsb/rGK6Zu+e4/rWp4S9WIg/GP1q5HVQ0XrBoNiqLAyaF8/2bImhoZcjWrGiEiCyFvyiu8UERGgYzACLUuREIvmxiI57u2KSERXjJLAdkjc03eQgaIzojJvuiNI2ULAXoNrW1Wit+FtwEj5G5wN1KjDU5P1c2ahiJ8j9RFA+zhHxvhT0FH1qwhi3AJYjdzWi6bziuP3cQTEqYsJiF5AFN2E+qmOvODTbuVwQIfBCy3gEQt1hHjw/2TQZVDNwubQUADndHCyGDoULpZJGukT6r0Om2uNqlToZd7NqU46QHzTr2OHF1WEAgCQSAIHFMEZuFtIWxOFk7gMfOs8SGFsoURmaPI699XDfgBv3NcOxe+umrAJW2Nvus3Rda8QqSFzHjX8tfyqgi1q5uRDu3TRITBbYDMJ51U3i0PvMuD2jxCZXH0qVukP3nsfSFBRoKF2JEQ79F5HcOTlahH1ogPWQsvAIy3ywMGlvCxCWCMDcVywtPThaxJm1ru0R4k+hGrvDVPlveK6E3/cs/mYJuA4sdca9dlMFypRRd44q7rzbBX6YEubSq07XWmlcGMB80IIl1KUhVpL5I1/GHl3hXTiTgYI8rT5rUzShA4Lx4WWUEgCASBIHDMEJgVjXFgP1E1PKNqlHb1fY0fOZvyzYtkLaL8mnkeeuQE+u7mKIoUc+AuXTUorkbkmyZr3qwwuMXD6zrfPDnh4D5PGoH3nDWPUTyfALnwLOJDXrzKzZD1NAzeITeIg+dsQheSdd4pWfMwed8IFZnzXJGmY5C/0ZVCyotkPQ2De07YQe5ajgGBk5KzH57+OrLm+SJw1tUiWbOw5OBFEuCGaGnG2hMjAIkzJkxggeE0DM5S83pRCrO0GSIh62P2HzEXCgJBIAisQmDEH1Ka753npUcOLQeMcyuSrNDsS0vI+nVVg4pxZMwBw62OQfAcvqtXDZzBLZG1fDLS0uKEuHm6SJeX+vo2h5MHjawNvBCiFdKVZ0Y8No44De+w+e2SNcISJhBGlwPnnU7JWhgdYTIK3PgzG2kKbQtbGxKC+KYe/GLOGjLCD7xZhoZQNxF1If9Fskaa8va0zo1CQ/IMF5rhi2TN2EHGT23nF8Y3dYznLn1g7yIS0gfe/ClZv6GF9T0vQsEQCVnn2yMIBIEgcFwRGBGx7ijf7zxiRMuBxQEcPBFkaVGvkZL9hqpBRBUBn1k14ES/+74XhVUjZeGp763q7Vyb86xNjRIGVmktlKwPWTgaIdqERDrX/cnNc0RCeoLlq3vBlY0LLXsdz1I1ucIw4WF6qUiMx9huYrZZOdhF7XChBpVyCsCEjRFd95aFweWIEa3rKHDjgTMoELsqOkn6/nt/i3napp8sLrl3EQTgM04c796EJRgenncuZG2eNqAZNPBA7PLXQiHuzxvCI0f6QuawcA9wcj7PqwpkRZnBLZfvdYrh5M7hzdCwD/dtcIkPAtLm/cuPqxbknZsBnhUEgkAQCAJHHYFR6hG/4RzLv4qbpX6lO3HnGVXDWVWj7+vvrhqkUVHFDQ5ViC9udFRgJrrb1sgJ/WTVIDy+shpcHhrxWggbQfYJV/05j/WpWEhGVRtvERnZLGvB347znNeK0bNGPO8YzyPYvhyzTARFSTxCRPr+Rc4Kvnq8n4XiOs7neXt2/m5A9IlhR7qO5+2x77dPAOvX7uX3DBaRA/kIhWiK7xSj2T9Lanp/IhOw7FPBXMM994leXu/8Wrf6c/YLL1jbi/t2T/2+POde7ce57TMrCASBIBAEjjoCs4lYvtd7N1WfLOlvj5+jamgp5NlYzG+vGlotlmPnU7S+eslhD/igrVlF+Vf6RC8n76R81G9xly7AUxZ+F9b27zIFs1261MrTyDWwlHi2Ctn+qHnLR/u6OX8QCAJBIAjsGwTed6Gqc3991cV3ZeqWUHJWEAgCQSAIBIEgsEcRyCCPPfrGZFtBIAgEgSAQBDoCIet8FoJAEAgCQSAI7HEEVpE1FS/54CNNfdKLrIqZeIifzS7KYprJKb70pe2JlOh2FyUYbV0qtUmUqlRXTp8VBIJAEAgCQWC7CCj0onipKBi/XLW1K/fJjbp1DILyt/Zl3UAKj2lk9IXrFCbjTEsBGplpWiCO0bqrk0nLNNVMj9Ho0EWkpfij67TBp6Ioq26y64ZT4Jr2MR8JFC1PVLj820eE/XKT5USy21kAAoQbNlGrS5Bu51w5JggEgSAQBIIABKhj0rigfWEGBKEuxIucEauC4z9vj3s9XtOho22rL+1eXQJbF4+WYK2+Zk3Q6cCD2nxpbjienoeWaSSvVfdBWyFrzO/kfQOmcpkBbUiHm9Ffpo/YRSwbUyVt8dK7fGm/GX1qbp4kp6X32Ov1YusvNuCCdCgxlf+sKuMzCa64Di+eR4+gz2ptXFRg7I0QCrJmoeh91o98m3Z8PnpBIAgEgSAQBDaLgDZcfEIXQ4susta6xdsm9oWv6I/ctWlvEDbBi3iHoBdP3ELQjnE+MqI8dQ4lnmII8LKdQzSb6AojgCYJwTESpg/YClkTStEzRkzEEA9E+xeNiAmFUOMio0bZi+42oQ8XR6hUvgibdC+a5WAKlv7pXtIu9G5Ih8Zyz2kypyuO6F3PTQCNbCd1MjdJV5tiGY1u/dGsFWB6nV5sFgkZ0PtsqKo9ZrPvTl4XBIJAEAgCQaCRK9EpBI3j8EtfRK1Ecs3D4EhaOBDfcCbpZCwuBC/07RiDsKic4SrKlgY+EdvCs343G+NarT34lK2Qtc0SAtGXTctaPJ2XS5wEcbM6ECvBD2QrL02e9JrNtRc6MHzCQtY2yRO2cYtWNpET+uLC2fLX2srcnBujSoZ4GQKI2kLcz26WjPNPydq1jMt0DqIjIev83wsCQSAIBIGtIoBMhbkXyZoTaa413unLuEsDlkSZedb/sXAx0WPy2SSkhdFFkEWnedxqrH51rng2c0BxH+VKofHXboWsbchGWBJcdAM1kLWQNclMc5aRI3lQG0LGCr68nnXAa56SNQ98OnVLyJq8Gk9Z7F7Y2/Ia8qBC34Cx6HUjcF64G+a187ynZC3EQO4zZL3Vj2ZeHwSCQBAIAh2BAe6iUwAAETxJREFUVWRtjoRCMgJZQuHmZPCQSURL4fpZmLp19khj4XP5aqTsNX5IdStKEwbntUslkx+Vgr73OrJWAIbVLdqnyJXXS/ua5yzBjqy7N+1CPGMbRNwIHHnztOW65bKnZI1ExfXpfFusB7F5rr9QgvPy5E2pkpfuZC03Ld6vAs/vBnyI9xu+EbLOf7AgEASCQBDYTQRWkTXZUCle0V6RZsT70vYjbaxYWuSXDLVuJwtv8Z45ofgOactxy21LMRuSxQEVKebwmhMhMnyPdWTdtbtdwAVpX2uJ4qrT70a+yFoMH4nLGfO4edBeI1RtM4ZPIFfe9ZSs79dIuWuBO5YH7To8Zee0bJjl0sla+TyjQFxf+Ttv274Qe8h6Nz+iOVcQCAJBIAisImszGhSNWfLTwt9yzULaeA9PSfl+byPyTtYKsi1cxnsWne7S30LkHjfUShqZQaBo+vRVZK1cvI/tclKFYQrBhLWRqjnNwt28Yv86uTyzE5stbSlHF5cXs3dDQgY9P+1v5e5GafZFwPz9zZt3g9rC6H67lvj/jzYvu5/btCkGBbK3D4Vs9gYkPdfIHZiAYZmwaLKCQBAIAkEgCGwFAfVanEKpVvzSlwLo3s3kMZFeTiTixmW4C29xWlV8WzxxDmlfiqzxpGM4n9K/rucx/IgDObmfi4LZVt6yvDYIBIEgEASCwOYRUBWO6HVO7Wgha95pVhAIAkEgCASBILBHEUDWBEOygkAQCAJBIAgEgT2KQMLge/SNybaCQBAIAkEgCHQEQtb5LASBIBAEgkAQ2OMILCNrVdyUwvRYUxFTlUYXVR/14pI4JymqIk5vtYpuGuBf2ShXJ9G2leEei+em4qLJnKRob+/a43Bme0EgCASBIHCCI4AXTZVUBf6eNqNiOgGSGArNb91Lf11Vr94QD/u1xrMPbmqdJnu9ux0/g3MZWVMP00NN9ERblmlYWqGIjy8uJE7yE6HqFUPSb2stXIRTEPd2l75tkqWEU7603ZPkuCAQBIJAEAgCxxCBl7RrkcjWysXRJdHdF5EvQij415AqczEe24ZZcXAJqxAfw5/IfiVZY3weLY8ZWZqO9XeT/unpPXeyJpFG31R/NPWxmzWVM1YDJRfntG66ISX6uvZax16lKaORUyOSwsIwblNPN9U0YzptmKDK5ZtQitcSTXnWMQQ/lwoCQSAIBIEgsBkEyFybReEH95HFJtXdF4lSgz84oQ9suuO3bToiSBy3UTkjCPbldWTNq0bQZM5c5KkLQuWLZE3L20WpiCF3YiXC6DxroiQuSnaU5+11rAgbJLzy6EbMp7YmcpKhVGAcS4jFEBBSpUIKFF2QOVUXEqOOzQoCQSAIBIEgsJcQkAImEmYeNcdXj/WiRjinkzwpURTcSL2TGAoSJ0hGZvswh3RVgRlrgOKXwRoUW3jW5k1TElskaxekUmYzSJaFQJ7U70jVpiic+ZvH7SbIp1E78xiv2UQTcqFUyJCy4xfJmjZ5HxzC2ghZ76WPZ/YSBIJAEAgCEBBBVu8lT83LvlfTD+/omFwpvexxip+iyiZsmUL5/FbvxUGlavbhppy2NGc9hRtJc9lpnD6vWQIk0foSykbWhnaQRvuRJkkqhI2IiZLfo8Xl5bOFypG1IR6mcZk3PSVrVobwOw97kax51ELqrJCQdf5TBIEgEASCwF5EAEEb0PG4xnW4cRoGFz02/IMDbEIluezueSs0kx52DtKkCs6khteStdyz3LBBHcTJJcvloBWQLZK1BDpBch62MLrXImsEbaanZDkv3VBuofIpWbMmhA0UsNEMZ5WYuBWy3osfw+wpCASBIBAE1iEghC0KLbSN98zEkM6lHa5gWrQaAZsW+ZsbTu5zJ2TNs0byeFJhN89bmngtWTsZkuWyu+jL2vQrxV9TspaPvlMjWJ409x9pI2vWgxy1cLvE+a2WeNaqvm2a4DlDgPg5Lz5knf8QQSAIBIEgsN8QoAqKF6V6tUBzRDmu6rnUgF291W1pdVbtzTnlXavRulGLLt+i1YwZADLLXa8TRZETViimfUu+2OQPLVrTNipEKzwtpK0YTRk6i0Ju2fxOMXsbFAZA1s6F0PVym2DieRXkYvPC4wwDxW0sDdfymNy5XLbkOyJ3rOV8WUEgCASBIBAE9hICePESrVBM2vi9jeN41vjMFEheM07DYxxTvPqLjdQ5xvqszciWKtZttZasndh4LoTupCyDo9HvrIH86a0QzRxQo8VYFW/dS+hnL0EgCASBIBAEjiICfagWnlVw5od3jntrGMezh2cfxT2sP/WlLlWX/8Qn6peGob54gQvUKz7wgVlIICsIBIGjjMAwzNors4LAUUdgHIszhoAic70NtJH147dxXA4JAkHgACAwDHXrA3AbuYV9gMA41g81HQ3FU1lbRABZi59nBYEgcAIiMAzxck7At/243PI4ni1upU4pa4sIhKy3CFheHgQOEgIh64P0bu7tezkIZP3e91Z99KNVP/qjVV/zNYfw/s//rPqnf6r6ru+quoDxHJP1oQ9Vvf/9Vd///VXfQElEIvqLVc71P/9TdalLVX3d180fP/PMqv/1v+aPfdM3HX6epWR9r3tVfUAtN+mxr626ylWqfv7nv/pgz7/1rVX//d9VV1L/vYP14hdXffazVb9M16WtP/mT+fmtc52r6md+puomurar6iEPqbr5zau+WZ35ZAHgH/6h6lrXqvp6NeZtPe95Vec9b9VP/dTWN+lNePzjq/6t6bd5M25606oLX7jqVa+q+umfrvrWb52f1z284AXzN+xnCbZuSNW85S1Vb3hD1S1veeja3rzHPKbqE5+YP+ZcnvdmLy5v7N//fdV5zlP1I2RnsoLALiEQst4lIHOaIyKwn8n6//2/qr/+66qnPKXq3/99zlP3JtHV1mmnVT3sYVWPetTh39HvfnfV/e9f9ba3zb/bn/jEOQ/h2Ne8purLX6669a2rbnCDqrvcZc4n5z531dWuVnXHOx7OuUvJGiE84AFztv/85+dE8T3fcziR9k2eeup887/zO0d8r9a+4GMfm1sZFyVO2tY1rzknZI/9139V/e3fVv3ET1Td+MZV73pX1SUvebh147DPfKbqU5+q+vZvnxN8Xw9+cNU3fuPhhLnZHb/udVWPfnTVr//6HGgE++Y3V/3QD1W98pVzsFlClmvf737zffgXiT/nOfM3+i8oxLbFoHjgA6v+7/+tOuc5528c6+yP//ird+Xxv/zL+T15U7OCwG4hELLeLSRzniMhsJ/J+h//cf5dzTu+7GWr7nOfquc+t+pyl5s7Y7e5TdXrX1/1spfNnTfrc5+retzj5t7yrW5V9Yd/WPUbv1H1Az8w/xth47H/+I+q7/3eOVk/9KFz7xv53/nOVT9GmqytlWT9kpfMDxrHqic9ae5V3u1uc9L4+MfnJ/rwh+fsj0gf8YiqS1+66uEPn3vjNm+94hVzz5snifB5m6wUj7/nPVXXu97c4njTm+aGwY/TM2sLWTvvd3/3fB9/93dVz3/+/NwI9GIXm5MiK8Q53/GOqmGYX89NClO89rXz/QK7kzVrB9CiAaIGn/zk/Ni3v30OsHubLtdilDBgzn/+uXHCQuLxfvrTX03WLKxnPWvu/V/jGqvJ+rGPrfJjn/BgtT3hCXOjxH6t3/3dubUlygAnb+iLXjTfs/fHmw4DxkOPctzpTvMPwUtfOjduftDIlKwgsASBkHU+FscKgf1M1jxgPCe6iSdwk+/pK1xhzlFnnDHnHU5dJ2sO6B3uUPWd3zl3zERSfVfjqhe+cB4B5qB+6Utzz1v09573nPPVn/1Z1c/9XNVVdVsfiayRGWJCkk996pysbZKnKGT7p39a9chHVj3jGfPQL2Kyme/4jvlNIYo///M5yQlxC0sjcgR/+unzx1gprBJe79/8zdwrZW0sI2uPffCDc2PhJ3/ykFfKYz3llLn3j6xYPYD7/d+fk5/rIHvnv/vd5wTtXyT2xjfOgbzZzap++7fnxgSDwRvjOn0ha3/f975V5zvffJ/uC9C83kXPmgftjXPuq199blgs86zh596FPexZqJwxwxq78pXnRgGr67a3nePLe2cIsdSufe2q972v6oIXnO+d0STs7+fZz5574aw1r2etuUZWEFhEIGSdz8SxQmA/k3XH6K/+as4teJCDhb/uetd5BNj3LOLuZC23fbvbVV3mMnNH7+STD32n4yvf7d3RRf7nOMecfxA17nIuzuQRyRqr8/gc/IUvzEPRiIlXe5GLzD1LpCaEKyxsQywDoWIEjwiRuk3xlsX4kdO//uvcOnGuW9xiftPyzoh+q2TNK+VVs1AQotzyFa94iKzt094BgmiR9tOeNvecXROY9nnDG87BsXeEzUhh/UzJWtjDufvekeKNbjSPOiwja0aL0DayZjkh48UwuPsXqvcmKSq47nXn+Q7nFgVA1h4766y5QXKJS8y9aedGvownlpznYIHARRS8J94bePLUkbwIRlYQCFnnM3C8ENjPZN0dMxHgf/mXeaQTmYo2KzYTvfQYDxrX+Q5eRdaiokhfWJzjZSFzdU6+rznC97jHPGQ+XSvD4Lw1+Vme2fd939yL4y13slaAJhw7JWveHyJBPhe60LwYjEc5JWsE5G9WhjDyxS8+9xzF+o9E1kLDyPaXfml+owgKeMINCJlFA9TuWXeydsM9Z+14oLg3C9C82SORtTfiOteZH4dIXUvofB1ZewNFE/73/56H7xfJehoGh6fnGTgiFUIhDBs58SlZf8u3zNMBrDJpBB58yPp4ff3s/+vGs97/7+F+uYP9TNYqunEWh02UmDctetkjsL6zP/KReZRTKBtPIGWOIefvQQ+aO4wcYD/45tWvnv9Ic97+9nOO+KONGVwK1xaJ2nt8xJx1/yBw911Akh3BOimvuJM1d11oWDhWLllR1eUvPyezKVkjIUTH80M8zsMjlPtFQKvC4EhJOJ61Yg+8WmTHI+U18rBV3SGyTtbi/fbBewWuSnDgeL1ryusiXKHzI5H1NGfdMTkSWfPYWVBC8DzhdWTtwyDXbb8qzX0gWHDudUrWMGA0+NAoaHD+kPV++brae/sMWe+99+Sg7mg/kzXeQri+8zlhOAb59m4k/KgSXIGwImCvVTvk+xoHSr8qGuM1i3T+6q/OeRDB41MRWPVIIsEnnTTn1l/4hflzfW2arFkOyEZe9StfmZMrb1NiXIwdGbIQkKX+sF6eLkw7JWvWhptFMEK6Ks5ZFeL/yzxrRMsycU3eOi8cuWolQ9ZCw7/5m/PwtZDElKzlbhVeMQwQH4J284CW6GcAIMUf/uHtk7Vwhb3JZQtfMxjgJMKArHn8wiIMmEWy/q3fmu+fwYPM5fBFCXjMcGHswI9R4YPgA9FTD4wUqQlh/JD1Qf16O/r3FbI++hjnCnME9jNZ27/op/TvO985Lxzm9PVeaCTuOR6x723RaDVUar2QtXSwCKuCYN/dz3zmPOrseOSMXzmMyNrCH9Kkqs3XkrVcKEJEItOFTG1YDlYoWPW33LPHnFwI2u8qslkciEhRGCLzekSEbPwurI4sEbDXCY87XmihL6Tl/JbQOk+8WxoqurVuySE7r2uyRpAwD72HwF0fmQrnI1PEL7zMaHAsK8d9+tuehSjkwBF4XwjX8wh3ikmvcndNi2GBcOXwnVvxl/XPs5kp84Kzvrw5esL7m+P17s1e7VmKwOsV5HUSd14kzlCCldfDx+t8KODqHn0whPe9ZnEvh7+j+etERyBkfaJ/Ao7d/e93soaU71vf3d/2bYdzge9x38scUN/lNEGkdq1eAY6YPWfhUN66vx3TO4vUe3Uuka7tr/dYFMyO3Wc1VwoCew6BkPWee0sO7IYOAllv9s15+csPVYVv9pgjve7/A4LtDFX/V0x6AAAAAElFTkSuQmCC">
          <a:extLst>
            <a:ext uri="{FF2B5EF4-FFF2-40B4-BE49-F238E27FC236}">
              <a16:creationId xmlns:a16="http://schemas.microsoft.com/office/drawing/2014/main" id="{2D02A7EC-1C4E-4044-A1C2-6F54352D6420}"/>
            </a:ext>
          </a:extLst>
        </xdr:cNvPr>
        <xdr:cNvSpPr/>
      </xdr:nvSpPr>
      <xdr:spPr>
        <a:xfrm>
          <a:off x="3613150" y="131394200"/>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0</xdr:colOff>
      <xdr:row>538</xdr:row>
      <xdr:rowOff>0</xdr:rowOff>
    </xdr:from>
    <xdr:ext cx="304800" cy="295275"/>
    <xdr:sp macro="" textlink="">
      <xdr:nvSpPr>
        <xdr:cNvPr id="9" name="Shape 39" descr="data:image/png;base64,iVBORw0KGgoAAAANSUhEUgAAAesAAAGFCAYAAADdDduLAAAAAXNSR0IArs4c6QAAIABJREFUeF7s3QeYXVW1B/B1U0hIIQkJvQrSQZEiIKCIFQVR7AUbDxRUxILtKYICImAHVBBFUJ+KiAVBlCYCokgXEJDeQxLSSE/um9+ec8LNMBMmMyFOMmt/3yQz956zz97/c+/5r74acepdX40ciUAikAgkAolAItBnEWjED+5u9tnV5cISgUQgEUgEEoFEIJKs80OQCCQCnSIweEAj1h8xKO6eOjdqiX7TUYPj7qnzYl4zZfz82CQCyxKBTsn6oM1Hxpl3To9Z8/vmF/I16w2LO6bMjf9MnbtYrBoRseNqQ8ox/3h8drdxHdCI2G2NobHn2isvPOeJ2fPj1H9Pi5k9wOSzzx8dX7lxcrevnwcmAn0BgbFDBsTXdhobx980JW6dPCe2HD04vrjdmDjg8gkxfd6CvrDEXEMi0G8Q6JSsr9l37Xj5BY/GlDl98wv5nV3Gxnn3z4gLH5q52BuFdA/ZYpWiFZx869Ru31QaxWFbrRLv3HhE3DVtXjlv+3ErxXdvmxZfvWnJSfdNzxkev7rnyW5fPw9MBPoCAmOGDIgzX7xa3DBpTnzxuifiqzuuWgj7jRePL4L8akMHxovXHBo3PTEn7pzSLjjvvd6wGDKwEY/Pmh9XPjYryLa7rjE0Vh0yIFYa0IiLH55ZzvEd+5fzps6NBX1TJ+gLtyDXkAgsRKDbZL3WsIFxxAvGFNIyDrpiQjwyY37ss/6wWG/4oNh59SHlC/q+yyfE3AXN2GSVwXH0DmPiOSMHxWn/nhY/uWt6zJzXjIv2WjP+/NCseP7YleKn/5ker99gWPnd+OAVE+LhGfPjtesNK+fRiifOmh/vuOzxRW5ZZ2Q9YvCA+J/NRsY7Nh5ejj3m+snx+wdmFLLeaszgGLPSwBg+qBGfumZS3DZ5bmw9ZqX44YvHlWMvfXhWfPNfU+KRmfPL3x4kB202MjysfnjH9PLab1+xejzw5Px4yyXj43XrD4tBjYhf3vNkfGm7MfGLe56MW56YEx/ZapV4y3OGx2WPzIoHps8r2rwH3SWvWSv2PP+R/NglAssVAgMbUT7rH99mVLG0sbh9/ton4k8PzozVVh4YF7xyjVhz2KAi1H/wygmFkL+189g4+94Zsc96K8cP7yDcTokzX7JavGj1obHyoEacdOvU8sz400MzY+sxg4u16qKHZyZhL1efjFzsfwOBbpP1ES8YHduNHRKf+eek+OZOY+OSh2fG/939ZJz4wlULgT/45PzYduxK8dZLx8eVj82OY7YfE7utOTT+PXluvHjNIfGFa5+IM/8zPWa8Z8PyRfX7TqsNic1HDY6P/31SnPSisXH5o7PirP9MLxL8C1cbEvdNmxs7rDYkVjnzvmck673WXTmO2WHVOOLaJ+LFaw2NMSsNiA9cOSE+9/zR8dE2Er118tzYYMSg+O5tU+Nbt0yNR96xfpx2+7T480MzC8l/55apccVjsxaS9Ue2XCX2WGtoXDW+3Xz+wc1HxrE3TI4f3Tk9Dth0RCH079w6Nc56yWrlATRp9vy44Q3rxo2T5sSjM+fHRiMHxYevmljmnLz/BjH6rEX38N+42XnNRGBJESCUHrT5KnH8C8fEh6+aFD+9a3oRxh9++3rF6vSGi8bHkS8YHX99bFaMXmlAPGfk4Djquifi1euuHK9ad1h8+KoJ8ZtXrBFfv3lqXDdxdvz7Te3fkX3//Fi8bO2V4/ZuuLOWdM15fCKwIiLQbbJmUh45eEDwA/9kj9UKce/0u4fjhBeuGtdMmB1fu3lKnLTL2Ji5oBnf+tfUuGqfteLjV0+KX937ZPzvtqNjzZUHxmFXT4yJ79ogPnb1xEJ6i865emwxenC89PxH4rgdV40rH50VJ982Ne5487qx6dkPPiNZW9ewQY1igvvkNqPisK1GxYgz7y1kvc2qK8VbLxkfH9h8ZDHJffTqiTFtbjNGDW7EC8YNiW/uPDa+fvOUognUmvXh24yKz207KngCRgxqxBl3Ti/rn7sgOiXrNYcNjNN3Xy3G/eS+cg1kj8STrFfEr03/2tN7NhkRp+22Wrzt0vHx63vb3TnT3rNBPD5zQRG6d19jaJxy29S44MEZ8altRsXIlQbG/s8dHr+7f0YRWH/1stXjc/98Im5iTt9udHzmeaMLSR953RNFcJ8xL+3g/esTlbvtCQLdJmua7tHbj4kJs+cX3xOzFrL+0JYj44rHZhcfMoJab8Sg+PYti5I1zZWv6/B/TIq73rJebPiLB8pad1p9SBy3w6pFE/V1pWkj63c/d0QhOebk7pI1U/yR242ODUcOLiboNz5neIw68944dMtRhcSPvXFyvGKdlWPf9YfFF657It64wfD47Laj46+Pzipmcv7oVrK2ZmbA8x+YGV/badW4a+rccp64mgM3G1lMevbJxMeE3krWXACO8bBKsu7JxzLP6UsIdEXWrGmE9FErDYg/Pjgz3rDBsDhquzHFbSUg8y0bDV9I1qxngkJZvD637ehiOXvuKqxqE0s8Rw/iNvsSRLmWROBZR6BLsj7s6kkxnRoZEZNmLyhaKVL70FUT47CtR8W7Nh5RyPobO60aU+cuiO//e1p88QVj4pJHZhZT2WWvWauYyUnOJ+w4ppiTP3PNomSNBAuxXTEhDtuav3dEt8maWfuqymw9e34zNhk1OI7ZYUwc+reJJd3k2zuPjVV/cl/87/NHx17rDSvXfsMGw2OlgRGfveaJmLj/BnHcjZPLWh3787uf7JSsacf7bjAsvrDt6DjgrxOKOZ1Zncmfts0E+Im/Tyrk/btXrBFvv/TxspbXrrtyHHX95CTrZ/0jnBd4thHojKxZ114wdkiccNPk2HLMSnHuvU/Gh7dcJd5ePRf223B4rDZ0wNPIevc1hxaftXiVT2wzKn5734w4974n02f9bN/EnH+5R6BLsp4zPxbmUpKa/z15Thy4+Spx+5Q5xRz+mnWHFbL+9PNGFTMzzXidYQNjnz8/FvdPnxcf23pUCbby+gNPzisBX39/fHbc89anNOs3P2d4CeS6+Yk5IUCMD6u7mvVL1hoaT8xuFyZc7/ibp5Rgr2lzF8TkOQvifZuMiFFn3Rcf33pUiMaeNa9ZtF9RrefcOyO+s/OqsdWYleJv42eHuQS6dKZZI+tVBg+I03YfVwJpDr5yQgmAk8Jy97S58bwxK8W7//J4SSO7fO+1Y8TgRtz6xNyyDpp3atbL/Xek32/gVeuuHJ/YelR8+YbJxRJl+E584QWjY/txQ8r34Jv/mhorDYgSN+J7PnJwIx56cl6cdOu0OHK7McVM/uCT88p3Z//njoh/T5lbXGr/d/f0uH3yU3nc/R7sBCAR6AKBTsn6leusXCI763HPtHklzYLpao2VBxbtUrT2dRPmxPs2HVGCywRYyUEWsCUVQ7DJLqsPKSayfz0xt3w55y1oFqn69/fPKFMzT++y+tAigd/yxNzYYOSgErgmSOXxmfNj/Kz2yPA/PNB+fD08IDZZZdDCv6fObb+u6NLNRg2Oe6fPi7WHDSrSPlPb2KEDivlNUBjyZCmQQ8osPmVuM2bNWxD3TZ8Xd1dpWnzpG7UFyjQasTAl5XmrrhQi4i98cGYRLOyN6c4D6prHZxdf+carDC74EGZ2XWNInHHH9HK9N244PM6pfH35SUwEljcEfJfXGT6ouJdY0eoxfJCAskHx2Mz5MWFWuytr87ZcbPVSZHUQXB+dMb9Yuri6WMC40DZeZVAMbDQWOW95wyTXmwgsawR6VcGMnxhZi+LmX+7Pg5Dw0z1WKxAgc8E0gmqeqXBLf8Ys954IJAKJQCLQPQR6Rda05h3GDol7ps9dqJV277Ir3lG08RetPiReu/7wmDpnQfzxwRklRSULPqx49zp3lAgkAonAskagV2S9rBeb10sEEoFEIBFIBPojAknW/fGu554TgUQgEUgEnjUEBE+uO2JQzJ3fjCfmLCjxGsY6wwaVWCjBlvUQHzZ88ICYNqc9ONoQzzV26MBS9VMapNM7Jeu91x8W46oAM+eK1r550pwuNybgS4CJIK2lNQRqCeK65OFZiwS1tM7P7FxXGHum6yovukNVKtWxNi8oTeDLkgzmbulm/le2tOMQaCao7cm5C0qgW45EIBFIBBKB/oXA+zcdWUr1Csg8994ZxS36vLErxUe3HFXSh3985/QSaC1wWU2P9YcPijumzi11CwR0ymDacdyQeHjGvDj19mklBqrL1C1VhRQWGjqwEZNmzS8FQW6Y2Dlhf2XHVeOfj89eqhHP8jG/u+u4eMOfHyvF/jsbF++1Zrzsgke79Sn41PNGxfs2HVmiVI01hg4sAH7yH5O6dX59kEIpz191pRjQaMQ/Jzy9kxcpyXWkk52dzTuWCNs8OBFIBBKB5R0BZar/vNda8f3bphb+HDywEd+7bWqp5DlxVrsS9/aNh8cHrpgQ+28yomQeXf7IrELQx900uSiDiF7viZesObQEcJ9w85SuyfrDf5sY0+c2S4rTwVusUrRmbR7lTmsduaDZjIsfnlVyk1vJWt71duOGFPVdsQNFD5T/vHr87Dhky1WKhn79xNmhaALpQmeezkYrWUsPEcyG/PZaz7V1wRpSSon+4f4ZRUi4buKcOHiLkbHu8EElXUQ+dW1SMD+yXnlgI351b3sa2Js2HBZv2HB4bHvuQ6WZiBzqSx+ZVaqqbbvqSvHTu56Ml641NDYeOagUOXFNhVWYM1669sqluhmt/uDNR5b9GifcNKXknCJrOee0bGksBIK+2m50ef9i5PoTgUQgEehLCOA26bofumpCSed920bDiwVXU6nX/fmxUg3zB7uPi388PqekSF87YXapAHjsDmMKD0lhlhb5jkvHF47DwZ+/7omuybpukYmUqOkW8Jv7ZsShW64SB/z18XjhakMLcb7qj48uJOu5zWb8aPfVYq8LH419NxgeqwxuxEf+NjHOffkaxQY/YtCA2HrVwcV8THNH2sfcMLnkPXccrWQtH3r1lQfEkddNLtXDmLCZob+8/Zj4v7ueLJKH1Km1hw0stYu9vt/F44t2Ww9krXjLFY+2a8PyoAkAGgroNy1XlOChTKmmIJ/6x6RS/ez1Gw4reeTyRw++cmIxXdSNPKxDly/9fg/YbGTcPXVuKRwBYJ3ESFF7rj00nnv2gyVCPEcikAgkAonAio2A1F39JJjAP7D5KrHnWkOLMinNWSExvKAxlmwhLWPVJ9lwxOA49+WrFw5SqEu/Cn5vSq/mWZTabtUGf+8mI+K9m44sDTjunDqv+GOp6d/eZWwcevXE2Hn1ocUMrhY2tX92W1celcnY7T/6t4mlxd5FD82MM+6cVrpd6cCF6Nqlj4mlsf2SkrXypre/ad3Y/JwHi9ZLqDBWHzqwNA5QhOU9f3mqtSayPmb7VWNBKd0QpXXlEf98ovTE7oqs1TkmVBx5/ROl5rFCK++7/PGFZG0NgwZE0Zp/sNu4eM16w2LLcx4sZVdp9SwRV+6zdmmP2Vd7g6/YX5vcXSKQCCQCyx4ByuR7NxkZX9pudBxdKaQn7rTqImT9zwlz4jf3PVkUTeV76XOvuOCReMfGI4pS+vv7Z8Zr11u5NLTSqvkZyVrkGtJ9+0bDSy9ozTpeuc6wOP2OaYHEP/b3SbHDuCGFrM9/cEb89uVrlKpGFz08q+Qd63D10a1GlT64ej5PefcG8Rl+4kajmAcOuWpied0gkQweEKWMKM1aFy+N7lVUozXzm+umpUWfMqCagmz8ywdKdJ3OP6SRWybPKQ1BSDJvu2T8Ipq1ebXFvHm/dYIy/6LfPRxzFjQLWU+cPT9+cPu0eNtGI4o2TLPWjOP+J+cV7R1ob9loRPzPXycsJGvCySkvGhdrrDygCAevXndYbHr2A4v4rK/Zd+2orRTL/iOTV0wEEoFEIBFY1gi8daPh8Z1dxsZxN06Jr/9rSrE0f3vnVWP3PzxSrLhM3n99dHbhKzynFS1rMDfrd140NkYOGhDvvGx8UWj15DjupsX4rN93+YSixrOpI2ia4c1PzC2dtzb71YOFPC/aa81FyHrkSo04dddxMfSMe2OvdYeVBS0JWWtLyY/MzL7jakNivw2Gx4f+NrF0ytpvw2Gl7zWJ4/qJcxaS9RsvfqyQO7844lU17IJXrVlKlXZF1oSJq/ZZOz7x94nxs7ueLGS9zZjBceLNU0rN78dnzS9kTZvWoIOZ29oE3GkUUpvBYaNJyLsuezxevObQOP6FqyZZL+tvRV4vEUgEEoE+hIDKnue/co24e/q8wim4c/6CiO/tNjb+cP/M0tf91N3GxQevnBDbjFmpBJuprX/P9Hmlnr6YJ67Yr940JV6x9sqFj7hXu9Ssx89aUGp503aHtQVKCdiaMGtBnLLr2DjjjmklBwzrH3Pj5IWaNSc6df7o69s78UiVcl53NWupWjbBrKyG8HkPzCiSCc391N3GFhs/IM76z/T2XtF7r1VM0/ze6hBr23nZozNL5x/+aiRaD2bwWrP2mqYfu605tPS5RrSf33Z0idLbavTguPyxWYWsD99Gx66VS3DA5qMGl65b/OM1WT82qz1oQHCA0HstAVOz7kPfmlxKIpAIJALLGAExXnihHgLIKHwvXH1IfGiLVQq3/f7+J0sQs4BswdL1+OYtU0pk+Nd3HhsbjhhUiP4rN02Oix+a2TlZM2+vNay9UQa1XJ71Px6fXU589borl9Slh2bML85vDT40uHhkxvzSUF4nLZrrw0/Oj2nzFhQtWL7YXx6dVXKxdcG67JGZxXOM0DXG8LrB3y2YTE60a/32/hlF0jDY8XXy4Qv+z9R5JYKO9PH8sUOK810Nbk0/hgxolJ7bItlbG4DsvPqQ0nmLr9oQrf26DQTNPVmuxRKgocjjsxbEzPkLSvQ6839JXZu9oPi6NeZggpcbJ3XrtslzyjXlVTv++asOLq1CvT9l7oL49+S5xVWgVWidFL+MPzd5uUQgEUgEEoFliACFUkR3PfCL4OMn5zWLi3bggEZp7zx8UHvzp1V0g6rGvdPmlYIpqw0dGJuNHhwTZ80vpbzxR1Yw6+ImMnEjaylrmS+9DD/pealEIBFIBBKBpyGQZN3Fh0Kq2YvWGFq06us6KX6Sn6VEIBFIBBKBRGBZIdC44OLL2nOZciyKQCNiQMl0i1IAJkcikAgkAolAIvDfQqBx6aWXJhP9t9DP6yYCiUAikAgkAt1AoFOynjhxYsyb1x7YNWDAgBg5cmQMHTo0Jk+eHLNnL1oPe+WVVy7HOH6VVVYpv0+fPj3mzp0bY8aMiWnTpsWMGe0lPo0RI0bE8OHDF1nahAkTYsiQIeU6huOdVw/XMHc9pk6dGvPnz49Ro0YtvLY1tw7r9b5hzdZk/pVWWqm8NnPmzHKdsWPHlr/rOUePHh0Nids5EoFEIBFIBBKBPoJAp2R9yimnxEMPPVSWiESf97znxe677x5//vOf4+abb15k6TvssEMh33vuuSfe+ta3BrJz3P333x8HHHBA/PGPf4y//vWvC8/ZZJNN4g1veMNCIn3sscfizDPPDIT84Q9/uBx39dVXx+9///uF56y55prx6le/OpyLxM8777yyvgMPPLDM8/jjj8c3v/nNRdZlzdZDaDCfNbzuda+Lrbfeuhx3zTXXxJVXXhnvfe97y5p//etfF8J+29veVgSTHIlAIpAIJAKJQF9BoFOy/uAHPxi77LJL0UKfeOKJ+Oc//1mID+nRRGtt1CY23njjuPHGGwuBfv7znw/k/aMf/aiQ+je+8Y343ve+V+bYcMMNy54R+Utf+tLYf//9y9+/+93v4rLLLosbbrghfvKTn8Taa68d5557brlmTawIf7311oujjz66XOvss88u/3/xi18s10Oyf/jDH8o1CQ0vfvGLi4Cx6667xqRJk+LUU0+N6667Lvbee+94y1veUsjYen/wgx8Uwn/ta18bxx9/fNDwzdlR8+8rNyvXkQgkAolAItA/EeiSrL/2ta8V0nrkkUfi61//ejz/+c+Pu+66K97xjncUDbd1nHbaaXHLLbfEOuusEx/72MeKptxK1kh3t912K6dcfvnl8cMf/jAOP/zw2GqrreIrX/lKPOc5z4lLL7009tprr3j9619fyHrBggXxxje+sZyD/C+55JI466yzCinfdtttMWXKlFh33XXjAx/4wMKlIHHzf/KTn4wNNtigvE7Dp3Wvv/76MWvWrHjPe94Ta621Vpx//vmFsGnVhx12WJxxxhlJ1v3zO5C7TgQSgUSgzyPQJVm/7GUvKybw8ePHF6J817veVUzHd955Z3nd4JNmNr7++uuL5otkDz744KLFdkXWzN6HHnpoHHLIIYU0TzzxxEKu5ka03//+98s8N910U7zgBS8o10HSz33uc8txtGHkPm7cuDj99NPjpz/9aZdk3Ww2i3n72muvLUIG0mf23mabbeKCCy6IW2+9teyFdcB6U7Pu85/XXGAikAgkAv0SgS7J+j//+U8BZNiwYbHnnnsW8zENmra96qqrlvf8vtNOOxXT9mabbVb8ySeddFK8+c1v7hZZC/qikTNFCyBzDZq218xTB3ohascIEPv5z38e++yzT9H0CRC04he+8IVlPR01a0FoX/7yl4tJnJ+cYMDMbn0XX3xxsRpstNFGhfBp3YSHNIP3y+9BbjoRSAQSgT6NwDOawVtXf9RRR3VpBkfWfMVM1/zE22677UKfdasZnBBwxBFHFM2aBs4cPXDgwHKZwYMHl/n932oG9x4t+Yorrijk630DGb/kJS+Jz372s52SNWFg3333XRgwZs4tt9wyjjzyyDIXshZ0Rpu/6KKLYscdd0yy7tMf11xcIpAIJAL9E4ElJuvtt9+++IrrQcu+8MILi2aNrP/yl78UMmwlaxo407Mh0pzJnHaLJJ3HrG0wVzNFI03BbbXP2nu0ducKJnMdQzAZbfq3v/1tSQnrqFnTmAWn0cANJn1R5scdd1zcfvvthazf//73F9+1tWyxxRZJ1v3ze5C7TgQSgUSgTyPQKVkfe+yxJVBMOlXrYAYXpd06RFwzTwvo2m677cpbNN3VVlstPv7xj8c555wTf/rTnxaewgwtiIyWyxe+3377LSRrPuRf/epXJRjMD/N7PUSUuz6T9x577FFeRuwi0EWvEw5ox/znyJlJ+4QTTijr4KeuCf/kk08u6yRAyM2mWZvnZz/7WdHeDzrooKftu0/fwVxcIpAIJAKJwAqPQKdkLepbqlVtnq5ReOCBB4pm2zpEUw8aNKgQXF24RBCZoiPmePTRRwsp1mP11VcvBMpULqIbedcBa3PmzIl77723mLnN1ZoiVr8n57q1QAr/tvnM6zrWV8/Z+l59fdq49dLE5WA7z5C37W9af8d9r/CfgtxgIpAIJAKJQJ9GIMuN9unbk4tLBBKBRCARSAQiGpdddtnJCUQikAgkAolAIpAI9F0EGs1msz0UO0cikAgkAolAIpAI9EkEuupYMSIiahJfEBGzImJuD3cwKCL86ADSmw5f1mpN7R1Glnyo5NJa9HuOfh5LOI1uIos67Rc/gfXqHAK/nuwdbvLUWtdpTnt5qjvKomsQFdhxXwOqc9wD3VKmLOG+8/BEIBFIBFZgBJq6Ps1vf1Y3OnBM0/PTc3N2RMOzvBrlHM/1mRGNih+bulQNimgs5hnbXCWiMTWiKMo4yXO+Hq4/O6LpuT+s4l2vLeiKrI/UcEsr54pkb4yIv0XEEz24W5tFhO4ZF/WSJACjZukferAGp7wmIl4mC6w6/+FqTXcvwXyHt9WCOWEJjt8oIoSu/yQiCAdLOuS77RIRp7acuFZEvCgizq3uT+uchKx3Vse3Cgeq2MDu0og4qS3r7T1LupA8PhFIBBKBFROBJl54d0RM1q6ijSf+GtGontdNHPnyiJD/e2v1LMchz4+I/6kUowsi4i9tlbHVuH5HRKwZEV+PaODNDqOpScbnIhoHRTTlQGuSsXnLQb9ou94Vbdd6S0TsrmK2Ip5tz/U7uyLraypSor1h/p2kQbdN+vMe3CxJ0a+KiO9ExKM9OL8+RUFyrbVe28M5PhUR67WR34XV+UBT+sxN6u54ZRtRPpWH9sxn7RgRB7UJOR9djCa8uFnghnxb10hoIQTc0Im27gP0vxHx1g7vkfY2bvsg3VGtgyCWIxFIBBKBfo5AcwdNGBXArKyYOO9/Ixr3tgNTyBUZe94i44sjQuvJU6pzWFvHRcQZbfz2wUohpeQ69hURjQlPAdxcrVKWXhPRGBnRXKd6VuM27+1dzeH8Y9sUvcsiwnsUs28sjqxJE7UqL1HZxKe1Mf37q8WdV02G8EgmTLNMxN+u1PrXVxIDacVCkDWi3aIyC9s0Tc98TLcqo/yr2vSWEfEG5ccj4pE2E8TX2oj29Dbp5aVt1/h4RDzW1knz1SqeRsQDbcd9KyKc45r2xJwBzFaTNbJmGbAHg4nhqojYuZqL5umm/aZ6/wsR8Xi1Bjfylra5j2qzOHypInkmDBIQScr/zCOuYdzTZk34VUSs30LWcsTae4BGkLj0ANVM25ppy+MrYYgkVY/OyNp9oK3/X0XirBZqw1oDkiaREWr+ERFvb/vAXNkuKRbsCBowYGKRFK/4uv26do5EIBFIBPoZAk2aLa2ZUuR5TTH6YUTjpoqs8c3B1TP/FZWF8sm2Z+YhEY1REU28xdqKUHECTkPwf27nlgaSr0YTd3hGr91O1q2j6Rofqggb97GGmtfznHL25e6QNVJD1k5GSLRjJPimNtbXRYMqTyJAHtpknViZ0J1DMmB+psmRTg4kIVQaLlMBAv9BRFxfae6I+9fVZm2cNg+849rIbfvq/C+2SyzBfE36scFPVuccVpE64YE5oVUL7kjWhAaChfXQSJExKwDi+m5l8uAOcAMJDPZ6VyW0HFARnvUzUTAtf66SuNycbSPCzUbatWbtZiJNxMpSgcz5KsxxRCVsMK/4e3FkjWDt9+uV4GJYBeXJAAAgAElEQVSfoyPivkqac71PV+t0owkYfNhesx/CjfV5HVGf0zbf9H72Dc3tJgKJQCJAc6YVU5pwCa6hBB7VQtY4goa8RUSTksQ0zeR9TERMqriNxfLYiMbEiKbzP1H5uF+1qO+6SbGjFO6/KFk3WXzxiOcxxXONFqXz6MoV/anFkTX1nobqQU9a+HelQSM12hkSQ16OWbtNs/5KRaY0SNq0IS2MNm2DNFpkb4M2Q1r4fguJXNdGmG+utMxfVuZa5AlApIfUaYz7VeBaA4EBIdEq+ROYqUlC+1R+XaRWD2SNzOu1IU3gEDashVZt7cwXH6mIlb8YqbsOzZ7fnmbbGVlbD41/07Y9HtomQd1WSVc1WbshNPXnteHwmWo//rbG11Xa8tvaBIOnen62uw86msFrsnZzYYp0CQZMM65dm8HhxAzvWs9twfnBtuvBGtkTjJY0yC6/4olAIpAIrGAINPEIzddz/tvtQV5GszOypkTiNvFTFCVkf0CbH/rhiOb7Koul5/ZuEQ08UI0m67Pn/Wc6kDVl95B2H7g5ynXNScFC/t67anFkvVeLGZwNHeE6iWZGA+SAp+ojH2Zu2i9tGrkhZCb071XaKtIhjdCCBUcJuKJZI2vkikgJA6QcTnvnev3qylxNm0fUfoBBQ7cW5mm+WOSjDirJhyBg7QBwvVayZhFwMwoabVo1/y8CFwSH7A3rcBNYBWjzzMwEBsICoaArsiZYuNl/r/ZPw2ZNqMma9szUQbsmCNHGkTtiZ5GoBRP7r8fiyBrWiJrPxTrtm4WiO2QNN/eQ0JEjEUgEEoF+jECT9ZdlGDF/UeR1C8F2RtbctriFmxaPcW8iZVZonEhL/2q7W7fx40WBbbLAfrYDWf+wynL6WETjyYgmEzlSZ6LHcxdGNEqkW2eDltnqs3YM0y3/KrOrxTA1M70yIXcka35XkckIjj+g9qvSLvmCmWGRWE3WbPM0w49ViwEW6QXx2TTtD1GTZj5f+bNpxTRu5Ntdsm71WbsUskb+5mcORtq0a5HriyNrhApQkYNupj2dXwkObpgbSTJrJWuY0XzdYCTL598dsrY+gQuGdfLNu5HmeEklsPBH84X8sbIqIHJWhs40a8IWM4ugt0uqn378Rc2tJwKJQP9FoEkzpkhS1rRvrK2/ntPqZFOi8Jhnvucsy6vYKsdy2wogo1hSwlhgPfMFYlNImbTx1JCIRpVJ1SlZ/6iKnxKkJm3Mc9u5OIm7lGI1qSuydgGsXqc51fcSUSJtGtyulaaIrPmzES8NkckVgfL7IlNaJHMvyQOhMNkid3NbCE0QOdNEad20UwAhdto7fzdNHWDmpPVy6guS8mNziNC8gsVE0dGwAcu/XQ/CAY2dsNE6WAyQLbM4shbM5uaRtJinESyHP9M84YHJ39+EGb5e1yT9ECpYAuRVS7niLzcP0/aXKzL3t6A4mjDfvg+DNCrnu0FM1+39PtsHHKxNkJhhTmZ8lgXrdJO9R7rzHgzN+9tKEGD1OL7y59u/D4Dj3SMmfjgRNgRM5EgEEoFEoJ8h0KS0sG7WwzOeIsSti4QpnriHYuTZS/M+L6KJjD1DuYEpPbjG89Q5LMQstObdqt0s3jAngy7r6sERDc/majQ9o38R0bg2opjKzYUr64GzvtQVWXOCI57OCpAgNwRsMXzWSBVB+Z3/l0btPTZ3WiATNsJFqNpoIWa/+x8JIxwkYpF3Vj+i6WxSsBfJBcGZUz6a86zbMez7CE96GSJ2TRIS7dgPCagezOUS11ujrVvfMzehgpZuIGFmbxo007f5L69C6QkJSNx8NGn7sX4maTfU3143H98+P7+Ib4INnzHpjUme9k3wYEUg8MCvikIsayDUiLavB4HHfp0jopzgwErBwlHv1QeGBu41UiPcWlO3WEQIPPZgbYi6Nyl1/ezLndtNBBKBFQeBpue49Kh6eL56XgvsOj6i8VBEE6ch63siGrW7FPGKx/IMvzmiwUrqNbwxNqJR1QMpQWmbRzS4hL2Ph54b0ahTiL2GF+5v175LARaWaLxaD5x1a1dkvSzvBVNy7bNeltddkmsxfZCIEBzfcI5EIBFIBBKBFRaBEnD2p4hGHZDcw502WWvXjGiwqvZq9AWyZv6lMfbl9CH+CxosUzmfb45EIBFIBBKBFRaBok3PWDTYrCebbbI6D4xo9Drrpi+QdU8QyHMSgUQgEUgEEoF+g0CSdb+51bnRRCARSAQSgeUVga7IWkCVgClDQJfIbQFWPel4JfhLsJXzRc71dKhoJrCtJ81EWq8p0Ms6OiuxKX+O+UNg2OJG3YUFHp1FUpuDf7uztbZ0cCmBZj0ZAtEe6mEnr55cL89JBBKBRCARWCYIlI5bMoFkIwlEu1iRlsXlWdfkLH1KBJzwcSlbSzqWViMP0XHC4utc7CVdh+NFR59ZnQiIjkNussCC1sIknV1HhLiCJQhfhHjHIeJaOpUSpR2HiHW506qh1SlZS7oXaXJyuXsiPC3ptfL4RCARSAQSgWWCQKl9IqK87m0hzVYK2G+6UxSFZqzIBo3QBMLKacoaRRjSi6QdcaTTMuVWqw5GC5YaJMVKPpqa114XWU0AEI4udUvovE4n0pBoi37M71xzCKWXFiaHG1mrr+o889KEEaZUKUSs2Efd2tM5HclMHre0NDnSiLkeru18wCBxJT/tUySgNZifsEBjtm81veXS2YfgM8EDNHbrsn/vsUzYixQ0qVNS0OxZAw05zxqZqHZjHzR9RWFYNOwBjoLZpAWYSznUep/WLI9bqlZPemQvk49cXiQRSAQSgURgSREoWrUS0VJ21eCQB46DPtcdsna1uuuWkp6it5EVclakRJS07k7IUQ6ZY5GtAipIrG7QTaOV9qToOc1UTrXcM0U8EBtSRtDKliI0BM+MrHypBHHFO9RJVUSF1lrnCMtRU6QECSsdKq9YHjINvKOp22vedw5SZS3wOwEA8dqTuaVpSSlTyY0gopEH4nRNmrQcOuVM5dbJO3eO34XpK4Ki3CnyRriKx9gfd4JiJfajIpmKN2quK4hCABDarxANUpf3Bz/uB2lthBnnI3ca+c+qEqipWS/pdyGPTwQSgUSgzyLQpBxTbIdHNN4R0VQoi3J2/OLI+tSKJBCvaiv8uLRWhIEE960KfNQVuZQCVVoUafPFOgdBI1Ikp1qZoiEqgdGuJYv7XfK5amEEAVKEhHSEhehvr8ifhorcEbU6rObRdQuJarqB7JjtFU9XwYzWTOtU5aseNGeVxFSeMfwOCNKLPSrVyfzNTI2srcd+ED+TN4KkOfsfASs1p/AITVzxFOVJ1RAnjCBW5yFxa7R3goDfvUazVtJUuprSofaA3JE0YYAAUAsG8KnX6PpSx2jVGnooypIjEUgEEoFEYIVAoGdkjUxok7Q6fZ9pw0pfMtPWGh0yZMJdXCMPJmc/tPC6FzNSRFzIt7WRB4JTFYYGSrN2HKlCd6i6kQdyZDpGmEhOsBXB4pkaedBozaFSWW2mZwnQzALpam5BADE/Db2z2uCImLbvvFay1pRDmToaOvO5vHF7IbQgZuStpJyydUjYNZUHZaHgj1BTlqlDKVeWCXujlcOGJk1QUdKOQOT1JOsV4ouZm0gEEoFEoBWBnpF1x0Yeyq0JnBLcVLXxKqSHeLrTdYvmq3Ul4vVDC2UKbiVr87su37Af9VmZ3fmaa7Jmz6eN0koJD9pq8jk/E1kfXvmgEaZRtzJD1DVZ1wFmzOVLg6zVOWe9sGb1wAk/an93JGskz0/OzG/PBCRWBjXAET0S1y6NWdz/isWnZp3f8kQgEUgEVigEmhQ4SioFzv84BG8c2l2fNThoxUiMGZbJ+BuVmZsZvCNZe9/F1P1GOny2tHNaMh810tbBS7swZI0Y+Yhp6o5zPHO6Otq0VqZh/ZdplszctG/+Xhq+iGu+78WRNb8zPzETO63d4GtHjM4XPGY+zTjUyQbS0iDrumEJd4DgNX5uZm1mdqZ7gWR+R9ZM7twDmqhop0nTtlfWB6SNnGnlzPBcEUnWK9SXNDeTCCQCiQAEmgKKKZXiqXDE6yIaN3RF1hprINKOOcR8qUhPBLRGH1ifNiqIjBn5FRXxaRGGhGiTzLiaVjDdHllpihpXMO3WBdORMtM2oiYECNIS/c1XjZiQnjlp0sznfOfWQiNG8vzM5uMnP63yadNGkbuhqQet3RpEXRsEAgIAgrYn5nRtK2nprAfM1szsCJS2TwCxHvtkArdvvnth9tbAv67TF0Il0PBNy5FDzuZgvta31Dpp9fzTrmedhAYpbrR/WJ1b4eg+0KRZFpxPKJFG53+++wwwy293IpAIJAIrHALN2tV7VURDMHQx0f63x/LQyOO/jVFePxFIBBKBRKAfI9AXyFrvTv2vadc5EoFEIBFIBBKBRKADAn2BrKUsybGW55wjEUgEEoFEIBFIBPogWedNSQQSgUQgEUgEEoHFINAXNOu8QYlAIpAIJAKJQCKwEIFSI7wajVJWuiuyFpUsz9lBdVEUEdw9aaAtZUkhEulXIp17OqxHKHtPm1+I6BYRLmfNEJUtwluRF6Z4tbq7M3T/UrDF/yLdRaXfVJUltc86Naw7c+UxiUAikAgkAolACwJN2U1iuVSuxJvqityxuDxr6UuIWilOJKmClpSiJR1Lq+uWVCeFUeRY92SosW0O+dQGIULu+DEV0d7QzUkVWlfUxP8wUXEMVqqVSf+S0pYjEUgEEoFEIBFYQgSa0pLVIFEOW661FGGK5Le7WxSlbuShZKiCJvKsVR+jbesqpcqY2teqimmOQetU+1t+sWv4X3FyOcXKcNJuFQVxvvKecp7lNyuEIvfYMXKWFQZRJ1w9b/nKannL31Yjm3ZLkFDERA62RHJV1lxPCVT1uFvzxJG1UqHysA3nyutWAU0etlrjOp1Ya910Qx616yigYigRSiNH1gqtuLZiJvasEYfiKvLCcyQCiUAikAgkAkuIwNPKjeI7tTu+1B2y1gVEEQ+qOeLUllLkNgL7cdVpSgETJmUEq/oWsnYRRU900KrJTx1spUaRo6GTlipnam5L/FZUxd+6VyFvxKiJhgItKqL5IXGY0xqQpUYhOlc5ByGfUwkFCocg0Hp0JGuatZaf6oqb7/dVpyuat70y+SNeBVMUJIEVMnatmqyVXUXWhAXtNF9TFUxZwhuUhycCiUAikAgkAj2rDc6/rEIWUkS6yJR/VllPqVYITsMKWizmZ05G0MjcuTRXZIxgadSIXd1TcyG8LatKXMppKqvJfEwooLWfX5GfYzTCUB2Mds0Mrl2m6i6qhO1ZncMcTStHlsqXMiNoqGHuVrLmA6jzubW01KyEqb8mayTMP0BAUamM1s2nTZPXglN1NYTdmRmchUEjENXNciQCiUAikAgkAkuIQM/IWn1sjSNoxf5XixpxIkl/a89IC9XNqjuNPBAjLZTJnA1eOU6+3tZGHrRpxygp6vo07trcXDfyQLj6Z2sEQnOmUV/XjUYeNGsaP5O1wRSPhPnAa7I2r5Km9qw2uL9ZCmjhTOaabWi1mWS9hB/BPDwRSAQSgUTgmRB4GlkL9maJPqI7ZvB69rrrFrMx8y8tm09Y8FlHsmYu579GxoiNL5gpmZZKc2VCt4iarHWl+nfVKGRcpe3qEY2MHUO7R9ZqZTv2LVUPbJq96OvuknWrz7reF82/K7JWH1zzEQSuLSY/uz10JGuYsAKkZv1Mn8V8PxFIBBKBRGAxCDT11BC7JUYKv3Lpnt4VWfPV8kN3TLViBq7TpwSG6RaFePl4mbxpoptWBEuDvb6SCmjKTNnmZEZnxjY307ZGFTp3IWddqbSQJBiQJqSOCT7jmxbc5njmaVHdtF/pXPaA6EVz6wNNE5amJYqONl0PjS+06TyrA0oC5uxJ0w0BbJpq1D52+9Xxyj5o8NYlAO2dlUmf9k3o0CDk/io1jF8+RyKQCCQCiUAi0AMEmviQZVm8FIv0MRGNR7sia0Fd/MBM3R2Hnsv8yjdWHaBonAhVNygR2SK4EScNlMbKbC4cnUmb5okI/c7XLdpaeLpAL3PqiIX4ED7pggaPqEdW10OqCNy6EbauW+bgJ2fSdk1aNnN63eO6Xj9zPQ2db7t18EEzteuohYjlTBtyskW8M//XUd7S0LSwtGdrsA/R4q5vXqb9v/fg7uQpiUAikAgkAolAlwj0hQpm2XUrP6CJQCKQCCQCicBiEOgLZL1XVQlM6lOORCARSAQSgUQgEeiAQF8g67wpiUAikAgkAolAItDHNeu8QYlAIpAIJAKJQCLQA7IWhSZYyhC1LYRcMZPS/WMJh8hvAVkCr6Rz9XQoVGIukd89GYqaqEqmxKlhvsOqnO9rejJhnpMIJAKJQCKQCCxdBJqCtGVJSVMW0/XRiMb9i8uzlnqF3KRHibxWJlRlsSUdfamRR51nLVJcbrRobkVZciQCiUAikAgkAv9lBEprTKnH6ov8X1tWFv7U5+KU7hZFqRt5KEqidCgCp2krdKLUqFQrpUR1ntLSS6qWYiJSqaRFKcWpkYfUKBq7lDBE6Xzz6WBVVypTeMQxzleylGavUhptX+6ZkqQqqGlHKWUMAbumc5QYtSfpYVppWk896trg8rm/VJVP9Zprm0vamVxp6WOGnG1FWaSN2aM0MUKL36WdafwhXU16Gi1drrkgOeleJCPrly+nvrn3pLMpDqOAjOppUsyknamg9niVVy79S6GXHIlAIpAIJAL9DoGnVTBTt0N3yCO7Q9a6aSFIJIOgnleV7USUcqSVD1UkhCkZQX20Iu6PVUTqPOT8y0qtR1rITF4z8lekRD41AlbW8+tVkRLzIjPXU3NcMw+1wNUgR/oEAUS+Q1V6VHEWtcAVKlFNTJcuxN9K1s6TM21exE/AQLYIk2CAdOWXS0Q3j1xvAoDSpgrFKKxCyCCsMOkfV1VWsz/10gklH6mEF/XJkTchxI91H1kVh7EGFWpITIgaDnCSK35iNVe/+5jmhhOBRCAR6N8I9Kw2OA1TERFaKhJRhYwWTNvUBEPTDMRLy+ST1g2LFECbVYYU+SgRqpY3wtWZSuET/m+aOpJURk2TbQSNHBE9IYBWrBgKjZRfWQEWZnjz7V+ROa0WOXr/DxXhq6rGrK1SGkK0playRtAInlXAuggNBAGSi3XVLTKRckeyvqCqC45kCSfMEz+r5tHnW7EUmjoBSHMQmFkzoUVhFf4HWjmyd22meATOB0/IQfiEor9VfvT+/ZnN3ScCiUAi0O8Q6BlZMxUjXZ23ECczsY5SdSMPryNVr3enkQd/Nw2WBqz0aGeNPASQ6XTFdOx/2ioidf26kYdGH8qSao2J+BB2d2uDj6o0fFq6gDftOJG7UqLI3yCIKGvakawJBKqVaQNKSNFzW+lTAsJJ1XzKryJx62dS977jmfDVF9cIBUkjcv+rk04QYWqnfcP33krj7ncf09xwIpAIJAL9G4GnkTVlFFd8sTtm8Bo7dbGVGj2jIk9mambezhp5ICN1uGnOtOidK4JGcJpjIOUPddJ1S1crpmomZhonLd7xtPWarNXifltlrkZ0Zy4BWdcBZtaDfJm3kT2Cphm7NuFDV7CarJVI1TjEWvixP18RK5N7d8harXIYsSy47glV3XJm8iTr/v3NzN0nAolAItCCQAkww7VaSnOTvqiy4H6vK7LWW1p9cITbOn5aaaFMwhpcMIXXZI1UmXcFa9E0BYXx8yJoWqZgMlqoAC/n1MT5iUp7Zl5mBmZKp40yUQv+8r/gLn5dYew/rAiW1q/Zh2NoulKy9qgIkFBBi+c/rgdidM3Tqxdcyx4RrrmZwYHEdH5OVaPc/+tW1gVBbPbHny3QTBqb9zUCObnyj2tkgvxp6ebn46c1WyNTOWHEOq2buZ/ZXJMQbTdp1gQbezVvjkQgEUgEEoF+h0ATZ7D4amqlq+THIxoPdUXW2kYiRj7rjoOWqY0lQmd+1iBDIwu/I2p+aX5X5mu5zSKc9ZHmA6fJMp/7na+bH1w3LYFqjhekpisXH64WnEzCD1Zk5no0Uz5063YMc7NANQFfgsbMwTTPN0x7R7D14DcWhV2buwWXIV9BaMjU3IQKpG3fTPtIn4bvWFHaTO9I1u8EGUFxhBH7oZ0jcURsXXzySNiPeQkvCJzVwBrM47y3tq37tCq4DX7m7NhspN99XHPDiUAikAgkAk8h0BfKja5ojTwIDkiZwIDoCT78770pCJOf2UQgEUgEEoF+jACy5of9bw6mX/5jKUwryqBt641Ny/5jpeGzJORIBBKBRCARSASWGAFkzVybIxFIBBKBvofAO+Oz8WTcGb8pwTY5EoF+i0BfMIP3W/Bz44lAIvAMCBwVX4i58bM4OuM48rPSvxHojKwFSYnG5nuthyIiFy4GKsFcfLITujhGFLjAL3nT9RAR/rKWv0V0qx7W0yGCTuUyAWeC0no7RKFL47KuHIlAIvDfQOCTMTxOLPUeciQCzyYCoq/xk2wfHNI66kwdmTxSeOvhHJ9N59RBweKTFORS6KurIUtJ+W2B2qpyyjiqh6BoQdaCjWVbCVYWnDy9M7KWV+xCLljX+1YkREEPx4vsNkR1+xvpqhgm3Ujes9fUBjf4aaU4SVuSn4z066FymJQp8xjKmh7bFu0tL7njHN63FvO5vohwP/Xwng2rbqY2txxpr9WjXmu9X+uzrtqP7O96zY61Fvt1LaA6tt53fV59vDn91Pvo+hblO4lAIpAIJAJ9CQGZQLJ/ZAoZ6m0oRKIQl+F95Kn/BQ5QkdLfAqMpiJ79Cmwd1UbcaoAgX4PiqXhXK0/hDDzoOOdK88W1Mp+8h3e8J735qmpdrmk9py3ODO4kuclqcNdkatK9qgYVX63Sl+QOI2s5xQqFKNmpIpihuAhJoSuylvJVSyA6jDgXKNLBFA1RgtO5KpUhcvOJrha0RdNXLIWwIPpaZbW1qprbUqsOqdZgj4QCqVISzIGvbCqJRX60muAkGKldrAkKuZB4lAJ17jcqSUsOtrQ0Upc8ckVhrNVrQFe0RWW2HIlAIpAIJALLBwJ4Tq0P3EaDVpKagnZTtXwFuHAPEsZ9qljiAPyiIqZgYoWupCt7Dy/qMaHGiHTgVsusmhy6aSFqP61Dpy0FvqQHS4+mfBIM1O5Q7fOIJSFr5KTwCQkE8flRy5uJG1nXJEbCsHgmbtqtUpuKqXSmWTOfq4hmAEywm7k0yPAebVWd7VdU5gbEDyC5yDbif0VEaNOuBQBFVZC+PGwlTv2N8BVy0UhDlTI50ohbow5kbR9uTk3myB3o8LE+JglFXWjVaplzFQBXSdZ/Ve/LnRYBniMRSAQSgURg+UCAouWHZRhnURIpbDVZf7viHwqkoltIndat37QfBI+kNWDCAVynyBaZU/DuaYEBr+A1xN9K1n5Xa0RFUOfhQRq1Nfib8njUkpA1+/wrK/Kl2ptchKZiJQhWJTBlRm1YERAL4vtmn0eSnZE1wnWsAQyaLr+AUms2Jp3rK1WBEtXHVPyiZfMLnFJp1bp20eRtCOF7XbMOGjdt3zl1bXESEg2e38ENIfWQooCqd7e1I1zdv0hYAEPWBBVmCpq3sqFKpdLqYeJ317JXUlCORCARSAQSgeULAc94HEXppITVZvDOyJpVl3WV4loXzMJllEC8gQdYpPGJYln1oCGr/ImTWsmaAICbKJYqWhraKxMcNJXSw+JHS0LWWk6SQJCTlpYmoPq3kjWSZA5m06cV605Fa/XTGVkjSeYCAzGrJob4kDVTtwpmgsZIKoiX+dqG/Y10HYusAaYIiYpktGxVw1QG4/jnN6g1YpJQvT5NM5gwkDH/uUABALIE0N5rsrYWeyZB8UPwVbAc8L9bD9O//5niNRnJkQgkAolAIrD8IKArJHenAGmWU8Ws6tEZWeMKfIaMkTLXrBbQte+bIqds9akVX7QioYmUMqKtZE04qPtlsBYzozOHU3RZhCmUk5eUrNnsabV8zaQLF0HWVHWkyWesbSRTAFMxYlwcWbf6rOsNqdeNIJnTleM0J62dRs1HzLzdStaC3/S0RtAABJJN0opJMciXP9pN+FoVQMAqQILRwpKA4Fp+CBhM9kqNImgtOu2LFk6SUqeVBl6TtfWwGrhpSdbLz5czV5oIJAKJQI0AfhHchasoiK1D0DJuqBtZcZXSunEe8zfixjmUN9bVugEH1yvLc+3mrefsjKwpvuKsWJNp65RIwgPLr9dYlYtPtqvRMcCMhsvEzFzNJEx7Zv5mMhYkpvUlszBpwub4dJmml5SsESVi1W5SgBnSNU9nZM0fwKct5N5emDCYEtT01qpSZB8Cp2GbE1D8DjRt5E4qop2zGgBbLfOtK8nG/klA6nYTPNxEGvwBSdb5LU8EEoFEYIVAgOuUqxXX8BmzFmtn7OczlbZNIcUVNF7ZSshVrBJlU0ZRHdDMmosfcBbNmSsYn+FGZm6jK7JG8tyzhAbxUqy9uM0PBfgLiyNrkWx+aMf14Bum+fLd1hf3HomClEFjpc4jytoULkqbP8BCWkuKcqKLzBb23nEo08k/zrRNq+ULt3hNP7xHYECuzBb2QEigKZNKXI8fnK3fOnXZIhWJ1CYAMJMLGGPqEIBmkJaQOC2az5o0w9zOVC4/vO4YplkIoYHGbS/+F/Rmz0if5p0jEUgEEoFEYPlAgL/YTz3qZk7cmwKqKYCe87KeWGEpfvVAvDRrpmq8YHD9CmKu+RGv4Bs8VnONEt+ss/UQJY6/1AehEOI+BF8PGvaf+lMFM+ZzZE2CafVJLB8fqVxlIpAIJAKJwLJCgGbNStwaINaTa4tn2rjSjnty/sJzGpdffjnz9go/zj333PWvvfba3Xbeeee/7L333h0r1Kzw+88NJgKJQCKQCHQPgfPOO2+dnXfeefy4ceOYx3s8brrpppGTJk0auscee/S6UVXjkksuUWgkRyKQCCQCiUAikAj0UQQal156qQ/yW+kAACAASURBVGCrHIlAIpAIJAKJQCLQRxFIsu6jNyaXlQgkAolAIpAI1Ah0Staf+tSn4q676iYiEdtuu2184AMfiHvuuSdOO+20eOKJkvZVxgYbbBA777xz/O1vf4v7728vRjZo0KB4xSteEf/zP+qKRDz00ENx9NFHx6hRo+K441QSjbjwwgvjiiuuiIMOOijWW2+9uOCCC+L3v/99nHKK7LAciUAikAgkAolAIrBYsv7gBz9YCHillVaKJ598shDxnnvuGRtuuGGcf/75scUWW8TAge1NqEaPHl3I2THrrLNODBs2rJxz0UUXxSGHHBIveclL4vLLL48//OEPcc011xSSHjx4cPzud7+Lb33rW3HUUUfFrrvuGr/5zW/i7LPPjp/9TEpZjkQgEUgEEoFEIBF4RrL+3//930K8EydOjDPPPDO22WabQsY33XRTvPGNbywEbQwdOjT+85//FLKmTSPvSZMmxRe/+MU49NBDY/vtty+/08AvvfTSeNnLXhYHHnhgIWvaNK2a1o7Qk6zzg5kIJAKJQCKQCDwdgU7N4DTr1VZbrWjPs2fPLuSLoJH3z3/+8xg7dmw0Gu0p2tttt10h4p/+9KeFwGnjznn88cfjC1+QqhZx0kknxUc+8pG4/fbbi4b9zW9+s5D1+PHj44EHHiia9fTp0+NXv/pVatb5KU0EEoFEIBFIBDog0CVZ81Mj3jlz5sTdd99dTOC04CuvvDI23njjhWbwTTfdNEaOHBm//vWvY/XVV4+VV145Zs2aFTfccEPst99+sWDBgmL69vu8efPi5JNPLn7rf//734XUnUNzdz3aeZrB8zOaCCQCiUAikAgsikCXZP21r30thg8fXgiWFsxMTYv29/7771/8zvW48cYb49prr4199923aN205BNPPDEGDBhQtPHLLrusaOo0b5r0W97ylhg3blwh69e85jUl+Iwp3ZxJ1vkRTQQSgUQgEUgEuknWr371q2PIkCFFS77qqqtKJPdWW21VfNb80HWAGa2a9v33v/89nvvc58aIESNixowZRdPefPPNY9q0aUVrft7zdCGL4qeePHly7LTTToWs3/zmN5fAs09/+tOx5pprJlnnJzQRSAQSgUQgEeiuGfy+++4rhzabzYVBYEiYGXvqVG2r28dznvOc2GWXXYrmTWvmy6ZBI3RathQw/mqmc8MxiHn99dcvxyDr+fPnl9cefvjhJOv8iCYCiUAikAgkAt0h60QpEUgEEoFEIBFIBPoOAlnBrO/ci1xJIpAIJAKJQCLQKQKNW265JWuD54cjEeinCIwfP/5f/XTrue1EYLlCoNHklM6RCCQC/RKBv/zlL3v2y43nphOB5QyBJOvl7IblchOBpYlAo65utDQnzbkSgURgqSPQKVn/9re/jQkTJpSLybVWJ1xRlM7GHXfcUdK76tSs3q5Q048//vGPJY3rRS96UYwZM6a3U3br/L/+9a+xySablOv2dCgAAw/R7dLcciQCfR2BJOu+fodyfcsGgeYqbf2ldoloXNj59ZrrR8RaEY2/P/V+84CImBzROKfltddUx53e9bqbipS8NqLxm5bz9omIiyIaM9tfa0qf2iMi/hLR+I9XOiXr3XffPfzIs5ZOhbiVCFXBrOP48Y9/XN7/xCc+0WtMlSI94ogj4nWve125rjQvXb7UJH+2h8Iv8sGllPV0yDc/66yzSt75wQcf3NNp8rxEYJkhkGS9zKDOC/VpBJrvjojXRzT2e/oym8Mi4lB9qyIan6nI9PqI+G1EDGl7b1JE44SI5tciAuk/FBGbRDTe2QXxXxARoyIaL6rm2rTt+J9GxGsiGo9HNLeNCO0n/6SxZVsLjuMiGrd3StY77rhj6ZqlEMqDDz4Yp59+eumehcB11KI5KiuqiYf3HnnkkdK0w1hllVVKbrYqZqqdqWJGO5d7rbWm/53vXD/1UCBls802i3PPPTde8IIXlJePOeaYQtTvfe97i/aOBJ1LiHB9Frz6Oqqfmc+15YM7jlbuHGs26vNowHLFnV+/5hzlVb02c+bMsvbWOV1/7ty55X2FXxSFcZx1G/Zo/OhHPyqv1Xj06c9nLq7fI5Bk3e8/AglANK+MiK0j4oqIxmsXBaQ5ICKujogtIuLUiMYnIprv98iPaHwnorluRLytImi/axv5WBvdfCUizoxo3NxhvpdHBM12jYjGdhFNhH5URcq00iltPx+LCIGf57f9/6aIQGAXdknWNETVyZC1Bhuvfe1rC1GdcMIJpUmHCmcf+tCHSg9qBIv0NOY444wzCll5DwEiNV23dORCsG9605tKoRTaM23cecZ3vvOdhd266s3pj/3+97+/CA5f/epX45xzzikkqpiKrmCI+ctf/nJpELLlllvGO9/5zkKwhx9+eFmDymgsAgQK12FW/+xnP1uqrZnPsXvttVd8/OMfjw9/+MNFKEDISp6qXa4C23ve855ynFaeOpAh+k9+8pOlEMyxxx5b5jLe/va3x8c+9rEk6/zqL1cIJFkvV7crF/usINA8sM3kfFmb5vzNTshaxyqEOavdLI2s69HkG35XRAyLaHyu/dXm6hHxunYCbyDmltGk0dGgvxoRJ1dkTTNFxj+MiP0iGuOreWjzO0cEjf/4iMatXZL1y1/+8qKpPvroo4VE3/3ud5cSorpvMYcff/zxRdNGxv/6178KmZ166qmFsJHilClTYp999onvf//7heCQ9xprrBHqiPtbl653vOMdC327nZG1RWsUwg+s1jhtGMHr5mUdXlMBbeutty5lTGnTWnASHpAyy4DjmaSRPHKl8RIYfvCDHxSTNyImRBAokLVjaPTmRNpM/Lvttluolc4kz4pAGPjc5z4X//znP+MNb3hDqPZ2wAEHxM0335xk/ax8mXLSZwuBJOtnC9mcd/lCoLlJ52S9kJj5lDuS9f4RsXdEPNyuSSPa5svobhHBZ3xwROPuFnI/qK0J5biI+HZEXN5O1gvnv6IDWTsfUe/apoV/l5bdJVkfeeSRxbRLQ9VBizZN00VwNG7mbT5e5Oy9z3zmM4XYv/3tbxdtWO9qfmdEhtBpwFppms88fN3Ifo89+NA716xpsnvvvXfpxkVDRqxIn9AggEsTEEKEwUyt0cjaa6+9kKxXXXXVOP/88wupGvzSSFcA27333lvM469//euLlm/9yFqTEYRsIN/HHnusmL1ZGr7yla8UQeOVr3xlnHfeeUVAMI9BU1fzPM3gy9dXtL+vNsm6v38Ccv+VJtsDsnZmUwT0WyPi1ojG5S3kK/hsfkTjjGr+Ldu8xF+viHdOmxn9hIr82yO5o9mBrBeS+O4VYX/rGX3WTmHapmUyNSM2HbTuvPPOQtw05Zqs1QdHjhtttFF5f8899yxEr8XmM5E1U/aBBx5YruX8+roXX3xxIcpWsqZR03aZvX/zm/aAuppgCRi1Zs1/zlyvP7fuX7T3WqjYYost4vrrry8/iJ85uyNZu7a1b7PNNk8ja8IMFwDiZoF461vfWrTwJOv88i9PCCRZL093K9f67CGwJJp1k3l7SETjDxFNgVe0X2TPV01jnhjRfH5bANoLWsh6l8o8PjciBlWm9X0jGrctStbxRHXc/W0m+Wsimmu3a9xxepdkTWNlHqZ96mHNR4t4acZIGCkhP2TN/M20/Mtf/rL4f/mkkS+SQ4Y002ciawv++te/Hn/605/KXLR0GjWTt9Qxpml9sWnatPbPf/7zZV2IWctOa6NZu2ZN1iwAiB+x3nPPPUXgsG6+b93Adthhh9LaU/Cc1C1k/Y9//KN0FnvhC19Yrs8/bu8dNevDDjssfv7znxfhxTrMbc4k62fv65QzL30EkqyXPqY54/KIQEeybu5VBZxNq8i0xQzeXIOhNiJOq8zazNn80O+tAsSYW0VcSwliImf6FjA2KiIGtgenxdntPumFqVqVZh00bYWK+MalhFnHJa7VKVmfdNJJRUusI5+RGRIUfPXDH/6wRHUjM0FjyBhhM0MzO++3337Ft4zI+ai1zTR23XXXOO644wrpMhcjSR27ai3aMSK3b7311pDnzZzN/yy/m8n9G9/4Rul5rQ82YcF8TNJXXHFF6fjluLe97W2F5G+55ZZ46UtfWoQNpmqBZogZmVq3dTFpEyL41wkDTOSOcV1aNq1a3jXfOFP/ddddV4LRXFPAmmsxpxNM/I64CRBM7vzj1pcjEejrCCRZ9/U7lOtbNgg0Eeo+EY0fVeTMZH1iRAPZMlOLBt84onFe9ffothzrw9rTtoKpe3obYa9c+atFhX8rIrSnRASbRzROfWofzZUqf7ZjqtFE7GdFNKZHNGneO7RFob+6St+6NqIxe7mpYNZqBl82Ny+vkgis+AgkWa/49zh32BMEmgLHmLSf6gfdk2miaOzStGjOvRrLDVn/4he/KDnaNN0ciUAisHQQSLJeOjjmLCsaAqVi2aNtKVmCwXoxmkzfK0c0Hu3FJOXU5Yase7vRPD8RSASejkCSdX4qEoHlA4Ek6+XjPuUqE4FnBYEk62cF1pw0EVjqCCRZL3VIc8JEYPlBIMl6+blXudL+jUCvyFrBEFHal1wisrx9SL+SA93VkOok8rq3Q2EVUdmivUePHl1KgMp57mqI2ha9rWyqwiqahuRIBPo7AknW/f0TkPvvGQJNVcrU8BYt/tEqPUu6VXv6U8S8iDj2qehxLzWlfzlGbrYmIL9sKzV6eFsaWEsls/h+RGj9uG/Luhx7Yq/IWlcshCnlCUGr+KUimMpjXQ0pVnXVr56BFKVeuZrdSo1Km1IQRR636mOu39lQilTqmWYdmn8omJIjEejvCCRZ9/dPQO5/yRFoquf9qSqPWlnQN0fEl6rULXnUhhSvj0Y0rm3/s7lZRdTHVnXG5Wj7oelK1TLquuFKbkrvMpC7Fpk/6zVZKwLy4he/uJQNlV+MBDXw8PvVV19d8pXlJ+t3rdKXqmdKdSpsIk9bLrPj/C3aW96zuWjfcrcR+7rrrlvqiNfj5JNPLqVHFUORS20oYCLfW7UyhVzkijuf1n3QQQeVWuUKpyhyooiLRiA5EoH+jkCSdX//BOT+lxyB0sJST+ob23KsNfPQuOPnEY0HK2J+VXtd79YWmU1tMMe21RJHxLRurS+3faqndVM+9iEdzpH2pZ74aRGNO3pN1ohTYw9tLZUY1RCDyVlFMKVAkbSynAqcHHLIIaW5BkJF6IquSMU6+uijS9cqhKogyXe/+92iKd92222lQhjT+mWXXbawn/ZHPvKRUsnsVa+CSZS+14aKZchZMw5rqbV95VHNo8oYjVyTEtp5jkSgvyOQZN3fPwG5/54j0HxNZQK/JSI+q3BJRHNEVdzkDV3PW0qUnthuBldPvEnjVITlcxEN5UZp4oSB97VVRbu3re+1vta9S91Ckl/60pcKWa65JjN7FO1YxyuVzpCv3tiqiqmIpoLZxhtvXLRl59QNObSvpJHTjpG1Bh1KePJB+/2UU04pVcSUDTVayVqbTGtQNU2nrPe9733lXFq869PaVRXTFSzJuucfyzxzxUQgyXrFvK+5q2WBQHObiNgxInZq76TVuCWiSYN8yVMtMztbR5Mm/sqIxocrYlY3XFlRrTBVQkPWNG/m9csiGqUTVa8161YzuAk/+tGPxmabbVY6a+m4pUmGQcOmDSsviqz5jdXw1mCDJj5z5sxiOtdHmu95cWRN665LgRIOaPFXXXVVaSiiq5Y1ubYypYQEWnSS9bL48OY1ljcEkqyXtzuW6/3vI9Bcp73Gd+P+iFI6FGH7m5Z8UmW2ZiLvZDTf2da7WsGVH0Y0NP5AzHph/6ON5C+NaMyvXtMs5HkRAs4a+l0vfbLW13mttdYqJmvaMJO32t00XyZo/mf1vEWSn3322bH66qsXstZn2jFHHHFEOWdxZE37/ta3vlW0aH5vNb+ZvtUWR9Ze+9SnPhWbb755OU7nrCTr//5HPFfQ9xBIsu579yRX1NcRaKrb/fqIxucjmqu3NX38QET8pSJrAWP81Z34WZvM2szk/9emVVetMQtZq0f+g4jGlU/tvESbqyn+xfq1XmvWArWQJ3+xoenHJz7xiZg0aVIxW+u+5T1+55122qn8ztdM29X3Wk9s5EwL3nTTTUsjDY01FkfWSJkPm09clyznmvvTn/50EQZcn4DAJ77PPvuUZiNJ1n39C5Dr+28gkGT930A9r7l8I9Ac1tak4+PthB0z2sl3YROOD7VHdTcmVxqyDlp6WWuF+c0qbWtKROmudVxE47KI5v4RcWVE4+4WsiYQrBXR+P1SIWsdqLTMlBJVD/5nP94Tjc20jUyZu/1PC/a/9/mVBw4cWILN/M2k7W/vS7Xytx/kzDdt3np0vLaULPMZ1lSf4zVroL3XPmuEruNWjkSgvyOQZN3fPwG5/54hUMzfCKfZnorVqEiwBIbNY7SuyHrrNq1ZF66L23tgx4Dqet6f2aadz6u6bC2IaCxoIWvHNZ4yi/fSDN6zTS77s/jBDz/88JKXrU93jkQgEWhHIMk6PwmJwLOJQHPjiFg9ovG33l6FGfyvvZ2kr58vBYzZXGT5BhsIssuRCCQCFVnvnkgkAolA30eg0feXmCtMBBKBRCARSAT6NwJJ1v37/ufuE4FEIBFIBJYDBHpL1sqnvadKCq+3+9W28mvXLWbvJ0eEiLnejrUi4o1tjntmvGlt5duEv7eEvvd2+i7PV8f1pe15dfHHLo56cUSsFhHn9GAVa1c1Z5WnM2ZWe/tLD+bqySljqvvZ1d56MmeekwgkAonAcoxAc/uI2CqicWb7JppbtP2rStfstkYcv4to/OqpzZX3VCMT5d3JaP44ooE363mkdPHPntBeAKVUNFM4Zb+IuKb9+d+Y2FuyVsT84La8MiHnCpYrVi4vzGK7GvdW9VR7c+OUSxMGf3V7flusGhFvq7qY/Lk3E3fjXJgRUvz/eBfHu0nPqYq7d2PKRQ7ZPCI+GRHnVh1dhK2/tq2by08i4l9LOlkPjickHNFWPP5dPTg3T0kEEoFEYAVCoOk5r7qYZ/L1EQ2NNZAs3jms6pClccU3IhqVklriwLaPaEjxahlNKVyHtCu4jZERTbyFtKV53aA4Z1uhlfdHNEWQu963KoX0rIjG7UuDrEkFl7eXRSth6cql1YvUncRGSR13VKtG1ntEhAotiPW+tvctTvuwOe1VXIpm/opqPsQvR+3Cll3/T9Xh5Mdt+W5TK+KU8/aiquWYCDytykhDCFV3E0MIPeIbX5Gh0HtasJw2PTPNRZoRfi96zw2hIb86IggmBASS1POrtZUycC1DxRl7FoJfkzV8WAHk4zlfuy+F4M0hOV2NWPuuB7J2Q9WKhZU1uqE0+p+3FYLfu5pfhxZ4q55D07+owlKJOte4ua1cnZq1cCi1Zau2a9qtmQvmtGgfGELWI21rhufX2vauZN5HKgFMjVvrV4D9rOpYx0tdILR4zd5yJAKJQCKwgiHQZEHFUay2D7aTdRP/iPA+NqLpGbxGe1pW496I5gHV85Jm3ZGs8Z3n8oEVWTvPc/jWiMYjVSUzRVU0+vh4W/OOd0Q031R16frj0iDrAyupALm58C+qhzgS8d6/K+mA+eDUisyZhxEGiUJC+XcqzXFUVWLtLe0J46ETiebXpBlkydxtOF4LslYCV8INqZFqmBEQNMkEYT/aLvkUAkK249pNGkVA0JNU5xTr+HQlLMiZI2TQ1t0Ymrw2ZQQI57ghCN066iEnjEatbBzCpAnrFUqIkGO3UbV+a7I3BK1oO2GEMNBK1mrGfrf6kNiLajY0bD9y9dw3hErIsD6J9453Hu3bdWnGR1WC0Weqe+PahKTRbRdjwkHUPhiEDhYSNWr1V1Wg/rMtAtQ91T0gGRIMXIvm/8L2aj1FKMiRCCQCicAKikDpRb1HRdaelZ6RnsN4hOKkRSYFBv/hvf88naxraJrT2sl64d84QMtNitXLKkXvy+0kXjj16IjGDUuDrE1Km6wqtpQLHFMtWJ1TGjeiddHPtxHaXRU5Ii8+Z5LGrDaiRQjIAHFdURE1jfD8StNU1q29k0f3yJoGyjeuzZjm4PdXJI3kjS+0gUEoQLwkJ1q069MgEb910JCB+lBFuI6b1AVZI0iaJjKlGTvPnF5HiMzLbgiTiWvaG2mNANJy45SYc3NIcQVT8yFsuNLIadcGMmUFQMq0b1qxJuaaoRMudqssCXdWworr07hZFQg5iByeJEefA3Ob64OVMEFAoP1bn/PcY8LT2W2++p0rwcZaCSyEmByJQCKQCKygCDyNrHeNaLwrosnqqJoZrZny4jmt6tiUJSBr/mrNQMyD9D1z31pZNillFNDTlgZZt5rB3SjaM18y4vOAR8LGVW0kfUbl36bJIiAmVtqlwuhM1AgcKZ/+DGRtQze1EcxvKiI0P7JB/jRa89RkbT6aJwImHd1erYdmq6l1K1m/sjrX+qyHaRlpOm94RYTM1rTTjpp1Tdamr33W3ANM88iOwOKmdIesFXZ3gxR6J8ggdn1NrZVwUw+WgpqsWS6sC+6uA1PF5MUSCFqjhf+gvTB8KDYPf/cEqcPGfmncrWQteI9lwnzm8CFKsl5BH0e5rUQgEegKgaeR9YiIxglVK0tKkucrZQa/4AyB1Nu09aemLHUYtWZdAsk8cydHNGZGNCmWSLrqld34dSUM4LXTnw2yRgRqn9Lw2OwRhAc+siNx0FxJEez17PGOZQZwnO4igpuYFWy8K82az1v3EhHgCIf5nKkXsdEYmbARG3M0skSQSAuBWR9zBa2babwmawDTiF2b6d57fOeEAmZ02rFz+XSZ0TuSNXJV0J3mSphwDs2TD8IaER8S7w5Zt/qs6xtNiyb8fLsyodPSaeA1WdOWWQuYp1kzmKoJSsz7TNU0dJo0Hz4pEF7896wfiJ75m8BTkzVTD2Hm+kooggctPMk6n2iJQCLQzxBYhKw9h99VmcTxGPcjksYrlEPDs3bHiEarclW9tZCsncucLnDthoim5zSlSeyUkqXfawtk43bknvzG0iBr0d9s7XVkNG0QUZAaRLTRKhEbjRT5ImcEYlFIg/bHlI7caKfW5PXFkTUhgC+YNENjRaRIVSAbSQZZ8z8rlo6kfln5ZRGbtZJmhMQj3pqsrQMZC5ayF5o3szdtkimCH5sAIvDL/B3JWqg9DZ7g4Ka5eYIPEKBz3TSae0/JmnZL6mKatn7uBHusydrev1fFAlg/PA3CC4LnWiCI0NqZsbkAmF2Y+0Xzm48QRKBgHZG6xXXByiD4jADDP5Nk3c8eU7ndRCARaCVraDTFR7HeUmAEAh/boZPWjHYzeNOzduOIhmdvR7LGTebAZVyZ+EpckddZTXEJF6nn94W9JWuERVs1aT2QNaJAWN5D1oK6EAIC1LCbBux9vmB5xMzW/kaMoskdRxP3NymDL9i1agJyLRsimYhoRtbmqv3myJTWXmuhSNec5qEVC26jddLkBVkhU7+L4CZkIGy+afh4jwnY+mjN1uAc77W0OSvr4b8AunVbE62V/9gNpblbq7VYh2NcEx6t0pd5rLEWGGpczYGk7RkWfPAEH68RCrgTEKsgNHutLRuI1n2Ao2t63/qthxRoPmv1t+ualwBkDvNaMwzqdbsmYcm81mrulm4x+bVOBBKBRGBFQ6CJx5i+PVeRNX6i+IlrGv9Ub+qFhMwEfnNEkxa+QUSDy7Ym6+q9hfN4huKdx9vnL81Aal7FlfdFNGb1lqz76h1B1rXPuq+uMdeVCCQCiUAisEIj0BTYq9Vlr4tarahkTUOmrUuZypEIJAKJQCKQCCzXCKyoZL1c35RcfCKQCCQCiUAi0IpAknV+HhKBRCARSAQSgT6OQG/JWjCV0pN1uLrtMj1zunc1pDD1toe2oCr5xJz8hkAt6VFLMgRsqbImJ7y7wz4FYUl8782wbtHwgrkE2PV0qHZjjk5y+co9EfjX2Xut1xPYwG0gGlwgYMch7U6FMoEOnQ0BFNK7ejIE+pn/7z05Oc9JBBKBRGDZINBUdnpMWwnQumy2IDPFoATiKhdaZUOVhh8CeG9vq/Pt2dxhNJW3FkB2WxVMJoAXh9aFse6IaAjmrUapE/5ARGNKb8lapLN8XBsRKV2n+aiu1dVQaETxjt4MSejygaV6IRhRyaKdv7IEkwJM2pZ0p+4O65bepBJbbwZ/ujQsdbVFYfdkiOJ2vhQr6WQdhzQxN7qz91qP9WHxAZIPXpdzbX1f7p964qLAOw4Ri1LDlDztySDsSRWra7f3ZI48JxFIBBKBZxGBpueUuh7jIhq6SiJqabMUHYoXLlG1U4EpqbrNKvX4oLbuWnVRMC97TlLSKIoUJLUu5FE7T3aN8aeIRqV4NnGNYz4d0bixt2QtxUcdVJqV0pkWr5CI1KSuxtLoumVzCp4gWoSNcJTHtMm6acUz3Tx7d54Ure4OFddEmSP53gxFYBRQkVrW07Snl1TCCYlu304Wo+oNy4Gbvbjhg+MDJ2WuM4sIjAhC0tA6jt6WG+3JPegN7nluIpAIJAJLgEBp1KGGhbofP6kKoag3oeiJwlpSulg4pfF63lKeWF7lTk+NaFTloZsUNDUuTqiUIjyiQBjFk5JUl5GeHtGYEdHEoapWKpX9+ojG1UuDrDuWG5WjLA/XJlTZ0oRDIQ3/Ixb5wL+utGtVsxQsOaUtsfy9lUlBqVHHKqIiobzuuoWg6+F3BEXKARKzOKGBIMCsLQEdcCqJ0bYVLDm2koDkDJNmmM5V+pKPrbCI0qAKh5gDsIhZ6VJDkRfVwhAkkElRSqe6hvxuN0YDDdonoYUpRDUxxUXqgRAVYXGs9SFJZE1Co70yh6uzrciMojEEH5q8/XRmiYCTJiT2IvdPkRfaumu4+bR/62NSUYhFrjiJzwdLgRO53T5shB1rcF2CAy1aERgfKtipzU6wIPnR5K1f0RoFZGjV6uHCDkbqkztPQRh4sbwwr9PwSgUOkAAAIABJREFUfSgl/Ctko/uYc1lEdDtrvbdL8EXKQxOBRCAReDYRKGStQAliVQ9c1y3PQy5GbS0RN4Ku+zF4rkrX8ky8JqJRKTlNFSgdy+WHH5zjmcoCquCVZ7M2m3jJn57r+IaQ8IWlRdY0N0SE5PiRkQJCYDbwO0JCKny9+n8iNwtkxlVFiz8UqTCHam2JwNVVJQQoQOIBjySYSusuWx7uiEmJUpox/yxC0qELySIc5UURmvaaNH+at4pd5mV61h2FJo70VaNB3AAGoGR31zq0EjCUQCVQMPMjKz5310SMCM8NoeUTRpSPo6HyZyjjWZtBgO4mO958yqDaJyEFOSIze3AOoncNhGj/bmzdgMSdRHJ1ERQYKtgCIyVBnavIib0RCuDNr0yqc30404h9eNwvAon3lBb1gVQH3f8sFyRKc76/qh/uPlqvQi4EAoIPAcP6nWdPhCzz2YdOZQQqH2ofen4ZODlWWVT7YAlB+DkSgUQgEeijCDytNrhnHBcjF7CqkhRQCiMyxoUUzv0iGrowIl+WTgoMRYzr1t8UG6VExQPhDnzjWauaJp7yHKYcnrK0yBoBuhhtzUB+tDTaKrt8HYyFQGhqddct5lXEShIhTZBMEJxi5oh0ceVGkTVN2UAYzLRIw4aRvb/r6mK0XeDVnaKU10S41t0VWfPFWgcN24+boF43AQN4ruF1pIWgSFlAdh1CicYYTOU0UNq6QVjQ75o/vzaD07xJVCQrkpQ57V1rzrpZCdIkibWas2Hsw8DPzAcCP5o+Mqb1u8m1GRxZs6AQmpAi8nQtdcFp7ASGmqwFRPC/CJAwF0FH3Vt7c79cA7nSwFXk8VpHsjaXe0mwIRn6DJiPhg53WjdBxN+EvCTrPvp4ymUlAolAjUCXjTxYQD3nPFs9y8+IaDwQ0fT3lhENz8yarD33WRVZnwVaC1jrUNmsKHustPjTs5RCSFG8+Nkwg9O+kBoSFe3LLFx1FikPaA96D3IPcNodrZR0YaM0WwTeHbJuNYPXiCJPAW8EAISFOJmBXb87ZE0DFD1tfbRS5yJgpnKmYvtyXVou4qGxk6yQ7JKQNUGE5MQSwEJAsCBNqbzWHbL+WXUc7GirzC7Wao81WavLbv9Li6yVciWAuE8C0qxX5D/BrFWz1qsb0RN2Lqjes0aCGsEGkds/zdv+k6zziZgIJAJ9HIFFyBofrBfR+EZEk8uX8iOi2zi7ImvPuk1byJq1mfWUu5DLU/AYJc1z9J6IxqSIpuA0ShTNm3WXZRkfskb+YGmQNXu+SHCNNAx+aiZZmjQpwQPZIhAh3zXt1zGIpPZpImsPbxtGBD0la3OSRlxbeTdaKT/qM5E107Sa5rRKvl41vgXKeR1x2yMCQtbA4x9mShbZTkKi3T4TWfPVMoOQkpj9+S90IWNWRmTIrd774jRrWr9uY7C1T5GK1mbtNHAEKZ2gNmcvLbJmxiYIwNMHjSDG30xT596AjQ8oszmrAEEGpgQQ+DO3Wx9LAysF076giiTrPv6YyuUlAonAImSNt1hIPf+4Qz2LPde5Gyk1nnsC0PwgY/Fb3LXM3HiFkuWZzY3L2soy7Ti8yB1JefM8Nbg1Efx5vSVrEWs0Q4RGtTdclIZsbqTDJOw9D2YmUETzz4qsmaG9xsyMeGzSsV5D3OZC8nzcNsyHangP+REEOqYb8R/w49aRzXy+TLHIkEbqfWTpd9dHMEhE204+VsFo0sKYf12Tadj+kA1zt+taPzMF/zYy1BzDvpiE7YXQgNBo+HX/bP5ZEhlpyjlIljmYQEDY8SMiWx6fNZ1TXZu2bP18HYa1VH6MhXvkPkDWPhCkPGTN3cBEUzckQY6kNX5xZOqDxRLBN08AcX+YxMUa2A9JUOAarZlkRxrk7/ZBtVYfVMFpBBD7dK9o+NZNcLFPfnWxAwQTVhUfaqZz1gv3UpCdD6efHIlAIpAI9FEEmrTirSIaFFEGRnxBEcEznvEUL4pU/YzzLBdnJS7oue3nNREzzRkX4ADPXIoh1yxL878iGjXHVTg08YN0rjt7S9a0LQ92F68HqYCp1EAWdRcopGpjiIyaj1zqICUL9eBGCI4heXgf6fgxj2tVkXLlPddE7J2lG9HkHENicQ3H+huAgrH8zXQtIpk5m5ZoneZH0EiIeYNP1TXqtVmD860T6Vina3jf3IQX+/c3MrZ27oB6WIP5nQP7eh6/e818fpxrLQQYa7W+eu9+tzZ++XrAxzAfLGHid8fW+Pjb9e2J9Gcf9V7MZ37rZ/mwHnNai/9hWK+LSdtc9ms4xzXgVGPsGHtwjnPrOVzb764PF9dxr5B6jkQgEUgE+igCzep52aife2iOC9SzT7pVVVCqWXOP12ZGNCkq60Q0qpTikpKFR6bppNW+2Wb9vJwY0ejAZ6Xb18yIxtzeknUfBfYZl0XD5fhH1EzZORKBRCARSAQSgaWMQJNyqrWm2Kdejf5K1r0CLU9OBBKBRCARSASWJQJJ1ssS7bxWIpAIJAKJQCLQAwR6S9bs+EqO8t/WQ7Tb4hp5cLLXkeM9WHI5hX9ZoBW/qMH2Lzetq2F9/KU9rcPdOq8As3q4rpSpzmpqO4ZfXNBc7W/u6X7zvEQgEUgEEoFljkBTgHRroyrxNRprzIlo4gJxRfdGNCZHNPEMPsSLhtfreh/VS00BzgMjGniyw5C61bghoin2R4Au/7dhjvt7S9Y2IfdWRJuoYxXLkKYCHF0NlV7kV/dm2LCIY85+gUoc/Rz4Kpd1NiStK3kp2rm3Q6S7YiSGfcsjF8FXR8O3zi+ATRR3XTCmt9fO8xOBRCARSASWGQJN0d11hUVkLANI5o9IcAojYvbsxy2ykGTcUM4orL9rJ996NOvCWt67ZdHI71KO9MMRjT0jSh1xqWEixg0ZNX/sLVmTIqQ5ISNl1USuSadCYl2NpdXIoy7NSdJBxILGVAnrbEhNqoui9PY2q4hW3zzpT9LACCctbc0WXkJ6mJJ0Ur1yJAKJQCKQCCxXCDQppLXlGL8gZrUsFIOSciqdlzKoXLWuWpQ3JUdlRD2mtWX7dpvScaU5qycichyxnxrReDCiiUflZL8rojGk0tj9rUqlYY7HlgZZd9XIg6la4jfN2+YU1KB9S4uSf6aKVd0oQt6v8pi0ZI09lBIlWSBD9cLlDNtcPTo28lCg5PgqR1putyImAJb/CyBkLbnc9ZktED2t/PtVfrU1AUdFLpqz84Cripla162DcFDfPGH5ipqYBw6uwzQuJxtJ12TNjGFfCoaogMYVIFcZNvamJKsbQjqrm4csVx/pXGwikAgkAisuAk0as3ofLLh1ISwErbaEIlnSWdW7kJo6K6LRwYpb0rOk4eIg/IWDDq3M6Wp64D4FpqR2uQ5+pMVfFNEotTqWBlkrwylPl8bMPK1ohsIcyFWSuNqmqoLJ/1WKVKEN1bUcR/VHVApweI0U41iaqvZg8nFr0lP0XFUyw2ZJHTYBJNqtQhsad6jbrYgHAFVMUxQFueps5RwEaU6kKRkdaEiWj4B5gxmftcC6lC5VZaaub+7arlf3zSZRaUSC4OGgEpub6hrmshdmf8IJE4j92TfBgUBBSrNmhVf4RphHFufvX3G/C7mzRCARSAT6LAJNhaheWnXdwgsUSnW+PdMVPvn/9u4E7NZ9rhv47za8SpFoIkJJhEqTlF5NqIRMxRGvyszbIFPKGBlDxpw4yTGeq84p8zwcMiTDMYsihJDyigxxv89nrf//7Hsva639THvv53n2939dz7WfZ6113/f//q611/c3fn++7/EJiVAaGOSer3J4GNzNjWY8SI/+RdVwm6oR71CAxAOcRX9zbHGniDWRLs7gKbtB1sjReah/WWL5VLxYC9NBHoRCeK99kIf+M2QtfN5VwBD0Zgd5mPMpH8BDZrUIR/xRazgXjmcssIAoa5G+XNQGdzwS55V7rd/tj7UkjM+4kBcX3kb6fSFYXr/FCuJJk+AkgOJvHrb7dgwjQC83CVRvLKvLdezFGyvXLrRCL12+PysIBIEgEAT2FAIjBwtfnDGfojUia73TD2na4AYi/edGvpnT1tZIOvo7D2mDT29oVBiNgKlAGu6B4ElsczhpjjexlBm5iywzFE7eDbJeDIP3QR59yAQPVyU2Qra5PshDmByZie3zxOlrm0DCy96qNnifZ+2aiFpOWe6c4bCKrF2DdysEDiwe8WbIehoGhyb5uZc3eVH7ILLC8+9k7fW00emUqx6EF0lRFX9IPWS9p/5jZjNBIAgEgcPIVcHXnaoG0VGURZL5W6uGh1XNlM04X5w7XU4fmZPtiISvNBnkQesbD3L+RE85pfiPIUDRDE/wxjlxwt8Uzj5eNcuZ445d8azdgA2oWLN42shLEh1JqdCWoxXqNcMYMSKsPoZSO5XXCV2zInjbmyFrYW2EKFQOKDcuLK5CT5JfDtjeVpE1j15eQPiCB26PmyFrIQ4GhcVTFlp3PSFxuXdvgtBFJ2shd967a8mFe+MZEt4Ub2jIOt8MQSAIBIE9i8DMu737xjQt6U1kLWWJW8xBQMI4y4wF+uGcU3yIC4S7cRKSFkWVXsVtPGccgTfIO+MvS40UzXFcYf6F8zs35+4pO/WsbcBwB15x16pGkoqpWAvC2jbqd4VTCB1hq5YTDlYlLR8s3Ox4N6HsXXhb8ZbXu3lhgD65yU15DllLyisYY6kIIehdI5QOQPtA5Hqghd4Ro7wA71bxmPy3KSi9T5qHrwVLbhyBCq1L9CsEM3CjL9EBe7J48sBG/ATXjeW0f6FyVhbQAW5vQvQME0VzogyKzmCggI30qdx5VhAIAkEgCOwpBGb90z9ZNXCy2ppN4TIASnqXAyrCKqLLyzaTgc73o9pca+HwZ1SNPGQ8hHfxjtYuBWf9nM+oGm5UNeKv/9NqwXDJqVXDR3dK1jbFTRfS7gsx9UEe8sguLK9MHAS5sVL6cAdEZzO9X00owGuQMK8V8flB1EARsrY857y9+Vy+uGuv2o/Xu4Zz2yMvX54AQTIe7BcJ84Jdi6EAC/8yPITqXU9InTEwFT1R/deX67ovRWfui1HiHB53nOu4J0YI8rcve/c8Q8KeHC8c7ppZQSAIBIEgsKcQGNtgpmFB3GrEBb7nP17VB3yM+OO8VQNvGBWK2MpDc/L8LbJ6jqqh13hN7pQHP3As+3APtVMfqxpmjvBOyXpPQZrNBIEgEASCQBDYOwjMcs7nX07OW9tlyHpreOXVQSAIBIEgEASOOQIh62MOeS4YBIJAEAgCQWBrCISst4ZXXh0EgkAQCAJB4JgjsIqsSXT2SSOKoVRlr9K3pt6iaKq3bu3kJvQ996WoSzm8nrOsIBAEgkAQCALHGIERR5KwJuJlKQx7dSso1vKrQPlNc7GUvkYCV9epGh63fLPjrasGoigKybyWgIrOqudUDe9vvdvawChzqhZ/vqrxVWStNUkbkypmPWCUuShwLalgm0lrutADdwFF1dpanCzDOd41FzufVZNnBYEgEASCQBA4hgjMKsFpdZCMtnQ7aeU1yEOrri4fgzgePKnk9tqbVA1kuCdrNrDDFK+HVg3nq5rphWvn0g2l00mHk2N1FRFIITeqPYyq5qnryJqEml5lbUUawJWeO8jF9J1p4LY6WWvwVsauh9oN6ifWGqVFCvlrVdK/TEtb+bqeaEIp06VsXQuURX2MMDodbv3Orqftyn6cE5n7lx45sZE+I1uvW1dM0yqlZ9trlNlrFXvdpCf8GL7puVQQCAJBIAjsLwRGxHla1WCqY1sjLQ/qZPdscqMUOCmOnVk1G6lJF+TmS8ia8BfOPamRNU7Cic+rGt5QNSJm/OWaY9Xw2CY3qjf7RZshay+khX1KEyOhPCY0bsOUyCiuEBchs4lcaajqbSZG/rx2ccM0ekgbqes95kV3je2OwpSsTbMiXmIMGQuDd6+HTUjitU38nNcvJPFTTUHMfhgZPHE92K7z4nYdM6iFLQzXcHxWEAgCQSAIBIE1CIyGLlGnpFrG8RP5JSfdtMEdOpvIdZFG1oRTDHV64xKyxl+i1e9vZH2FNm3y9KrhrW00JmVLTian1b9ez8t+5zqypvTVF4UtP2Q2WQcmZ/ndCYmY9DA4gkXuNkyIRJ5bPP4aG2T7qKbaYkyYG6fQIpzAWz/bZFlAjUGA8Ims2Ov0ONNLePzvbxrfgJDn7uc0LcveqJZZcgrIX9iBFBwizwoCQSAIBIEgsAKBUYT3XxuZ8oKpUuKZT80HeUzJejZ1ETeSFDXYYyEMfjbN8cKFwYW9jZF+fdXwwqrRbAycyQl1/vtVjYZAcVT/cDOeNRUuHivy5ra7gHA3dTB56q576ndEfM824pKH60ZZJTzZLu25jqynnrXEu3PyhEmzbZWsFcn9TMst+Nf0K2AKvzMqQtb5DxoEgkAQCAJrEBjx2/9UDV+oGg1fEvL208h6ltOWZpX2VRT2ghYJlpY17KPLcE990k7WjkX+PHEpY1FkmuCuc1bVcHorNuPYrtQGl2PuOWshbewvb6zgS+7YzGfkTSpT6NsMzvs1cua92iCv25AMz4nDm/+JdDdL1irMDQGhuU26zY25po0bkrHoWZteQg7O3oXaDRQRsrdnkm8q84QrhMzvErLO/9AgEASCQBBYj8DMsz73XBd8NHBKhbZI73e0nDWn0qRJqVpkrVjMwp/XrBqkhxfWOPWs24Cn4b1VI+e0T+X676rhyVUjvuJkPmIz1eBeg/QQpvJ15GtjNoOAhb0l31/UvOgnt9cJkys2Q5QGbXDnj0TW02pwRoKYvuNO35hc9Yy2D8VpQuqLZC1HTVBd4ZlCMjep7UtBGcB5987HWGAAxLPO/9MgEASCQBBY51kbGqWlmNNHq1veWriac9qrwYWt77cwlONz8zD4LJ/Nw+ZAtnU2WasGV6CtSlyxda8G1w7mcUXZR6wGX+yztlGb1HstBy00YPCECnF91k6ILHm2vF6ELt8sVO51kuTK34WfH9vK3Y2NFN83gaqvxT7rN7epXEIMroHsEbHj+k3IHzAIkLA9IGQFZkhbSAKgyNpejCtjfMhfy6lnBYEgEASCQBBYgcCszxrn4RjO35ltzjQve0WftVONt533WY8850tXDaLMnaynfdZ9fLL89rb6rPfjW2fCl3mhkvE8dEVtfe70fryf7DkIBIEgEAT2NQKjHPSFq4ZpIfW27uggyY3qTZOkl0MXrjA/W0QgKwgEgSAQBILAcUBgVpR2rqrBGOUdrYNE1jsCIgcHgSCwBxG4z6zW5Ip1r9ns96wgcMIiELI+Yd/63HgQ2AcI3HvWs/qbde9IDu+DdytbPIoIrCJr4iPdktVTTdZzlT63XLG2KoLjO136uPsSNtAaRi3taC/VfARUyKtuZrnf87d+cwVui0slO1wUte0k/CGs7/yq3HdzaXNTqGeP8N2J9rrqfEWEWUEgCASBA4jAqHBZS5bv80/Me66tWfHZxauGD1SNWo0VYCt0nj05569pn/Xo+5aAmJRt49Xhv6pG38f45J+qBjzkcJXi0rkf6+dYRdZao5SNO1DMXUX101ZoaivksonTduFd0letAtxyTtXmr2yTTXbh9CtPQT5OJXu/9pGu5Y1RDYjc37nkxd40fenORwt9O8ub9Zime96UcrZzmq86htLbSa39TUU9Afmd5PbvuPFBe9iu7CwnCQJBIAjsKQRmhOw7zvcxIqaQ+dImkkJL5C5Vw62rRmSu60j7leV79plVA7nrtkbnISGqlZkTRp3TebVBMwjeVTU8s2o0e+P67RwMhFM3rvHRdX3WhEN4XHrAFG2ZBkL9a3Ht5tStD2+0eF23XUD7F1F0CmZatY7mYsHobVNFvpnFc9ZzzitdFlEQmYCLN4p2+XYWY8CkMxGOH9vOCVYco//8Fq2NjpWnrW4nPef2qa0vKwgEgSBwwBAYyVPrKiJbrecakT59gwuv3X4uUTVcvnnCOIsjZ2lh/vmqgSZJWyPHk/AJnsE3fpAyftPafNP2nU81lL7In2wMqLre3Diol29GbpSFgHhciBzofZo4CfI2RtNzvEiqZS5ukIeeMU3jwtpC6A9uHiJPmRcndOqG3dB0TeVGPX7bdvM8N94vUXU3r1dbz/RftmZyhOHcdMv1apt6Yr8PalO7NKa7YfsVwn5489xZSQaOGA6CsAwbYf2IFiBiGufu8zoNSFbQvZuCm9e4tzMnN4AEvbYbNchaKNsbDuv+Zuk3J1GH1Hnnv7HkE/577dzIlQoOL/2WDVMWHby9mQ9tZMkLZ639SnuDjTP1AdNsT0Ndv58PivcCSTME9A0ykIRhfFBYjvDQh04Hlwdu0VmHHZydQ2jfcJaXt4hLf90B+4+a2wkCQeDERmDUB/1pnm3znn0fGwrlu57gltGYND0ma/R9eMGq4dETovZd7/v7A/Nw+vD0qhEp88TxiO9g3EKwC1/dsWo4qWrEpwRV3riOrP+6fSm7iIMRpokgSJGQCaJAtohZczgCJLtm3iePnBVivCXLQUhdGB0hIhNEqNEcwSCLvhbJGumyajSUIy8341omfbkecuV5G+bhpk5tRP2apqhmQgphFHsCLpF0ZIqwhH8ZDXK3PHj5ca9jZCBTRgovH8kjOtdCfCwd+0GwRFq6weFciB3YyPlazZgQGqH9Kk/hOQYFxTf94IwOk8cMSaEAN10+CDRoicvAkpFk3wRpSKe6b1634+me24s3H+E+p2nVwtrEFgYIowLpw5TojcftQ/6FCh1ChgnDy/vA6Hlke8+896IrjA/YsB6FfeDJMIFVVhAIAkHgACMw4gPeMydRKJvT8qYlZC01esVDuW2QjDxxTiGuks8my33L+QzsEa/inc9WDVetGnEufiMGxgs3bnPt1C1fzEKkEt+IxsxoxCN/zYND9Eh7OnWL54UIuPCOoZXKq5NM5xUfSW50FVkjUQTIM7V4uLzGZzcNcqRlb8LTCI48KWJyXSBY8shnNJlSv8uxk0sFOulSZI2E7RvhGS5udjbgWVP25pyOk09fJGtGgB+P9zC417OKnNP5NMjz5llThN6dy769iTTP+6KBLk8thI6c4cpoESlgiJC7Q5684Zs1jO3ZwBIkLOrgHn+tXQPxMr54zD0MbrAKS8/7h7RJw9oTwwEm9txzJ65rz4yuNzZMfT4cy9gKWR/gr6jcWhAIArMJWb7bDdiQa8a58swLZD0S5jrfoYlcy5CbDf9ofDX4Lm9rxFtmW3AKhdfvXzXiJpHQTU3dciLeFNceoQljC90qPEMmwrl9RCYS40X64r9Dex0X32u3Q9bICGGyLvq4TIQsT8xj5n0KCbt53jYN80Wy5nFbIgC8ZAROGN3jjA7eOjJ0b3o67Z9FI0zP2EDwkvzC8AjSvd+qec5Tz3pK1vbEkzfwhPC7AgLGhetuhqx5y6wv+4MdsXgfEBGAzZI1g0au2/u1jqwZIYheuEcUBPkiZ/ggfJhJR4gEGMjCW/deIH7vKWMkZJ1vsyAQBA4oArNqbc6iyuxJ6nYpWZ88/14c8Mlkzaq7fc/iLt/tvm9xJ4fOYA9TvXCUKOh06pZjOGRrp275gkYWyFHoF2nyrJANAkAcQqsuyBMUmr1JC6V27xTRCdEqUtsMWbMoEKKFKFgpLAt6384tLKuajnEgLI2sje8UVufRe0y4oXvWwrTGjokAIHMep/3K57qWvDPQkC5wEZUcPC9Y6B9IvRrdPTM8Ht8IHKBTsnZ+c7KlAuAhDI78VVzzkr1ZSPNIZC2ULVTO6+fVs954vvBnDK0ja6TunhV8yZUzGBhNi2RtjwoIvTcMIee1L+kLoXZ4MkqQtvOIOCjCY0TIUwv/eF/krQ1YCVkf0K+p3FYQOLERmHnUHBffiRw4nKh960srPGvcc4eqoRVFz0ha5Nf3KI4y6Mq5fCdzhERbcYuoJs7wHSxqjeeci7PHUXr8qpz1Ka1CjRfqNQrHeLKGdgjHIilf0EiNVyqMy0OTt5Wnls9E8EjS8UjeFz6XX64aAMheBdy0wtzmkYbVvUkepZtDDIis5QlmIWTHs3RYKq6jaIo3TodVOIEni7DkpS3jPe0b8SNsYVzkY98sHuF2IXx5BedzLYSJKJGVtACSRmJyv/qfFRv0pdhLCxjchJLtT7ijW1PeaAUG+rpd3/3aI89bft2SE+Hh+mAoALN4+IwY5/amMpK8ic7NQIA1Uve4KIjfETDvl+XGKoSJe2GEKCKDH0sOWSuQkO6Ah3v2XjsPwnYfQuf2KGxuPjmcRBvgKe/OQMoKAkEgCBwwBEY8xbnpU7N8h76wavh0m2/9pKoBn7Q1+t48/VB/9chZu+RGXvuvqkY1S5xQS9Haw6pG36uiwTgWvylK8z3MyfJdjAfVe71qFVkjZV/klpPwQnt7T38OESMTLUxymwjCFzgyQmimlLiY41yHV+oxOU+vdRzymoqK8Ej7YmEwCrqoCOsEqfjbfhzHQBDqRcD24xrIzjX70G836wex9mI23rU92r/jpq1bjA/RBASv+MoPDBC2kATPtbdueW7a9tTHeiJAgNuD/DUsEbY9izp4nfvwGFJF3gwEy316Q3n6fTIY64x15ZzOwfhBrh5znNfD2DFy3ArGHKvOANaet09kb/X+aq9hgPhRuQ+Tfn8wc5zRqIwvRoLCMsVu8PDe2AcsGSVZQSAIBIEDhsCs2KsTrHvzPfqhquGLTRTlclWDdGdbo+9yRNzFTaRUCae03PTo+/KcVcPESR1xi+9y+XDfrfxP5+FE+o79oOvtd7nRxYK0A/ZBye0EgSAQBILA/kVglu++wOH91tu7m/1O1grKpvOwt4dCjgoCQSAIBIEgsOsIjCKp56gapEZ3tPY7We/o5nNwEAgCQSAIBIH9gMAqspaDlle1FBjJH/f86eJ9ybGyHuSrd7rE7QlzHGlJxCs628yQjy7/tmyghnuUT+757SNdN88HgSAQBIJAEJBX1pXU+LHfi6k+AAAgAElEQVQP9+jAeG7ohc0LaM30xoXGW73T2RXj/141OJ9zq49Sl4TjtHZ9ZRVZaxvqFc0qrZWWU8VaRsgq2ZzUEI6dLhXfvS963blU6GnDkrNetxgRvRVMW9fiUpWuunk3hpDs9N5zfBAIAkEgCOwLBEZKj1TIkCsuenbV0Phx1MZ7+6pB6++SNRKvunrVcLeqUWEvBTMFZa/cUDB7eZMh9ZiCaoVqBK3etU5uFGGrHtYjTW5TW5SK4MW1m4M8Nlswpjea1XIkLxxZU1BjcJA2XVyqrFXcpZp5X/wHySaDQBAIAscbgVHHkLZl2iKi0Npvn1g1vK2Nu9TOaohH76iabHhUZ0WbQtcOwqdnohsHByH/57euIz3ZHGDOpE6mk7c6yMMQDeSnlB3bk5xE1vS6tWwpO9eDLDSu6VsblfYkPdZ6cxGm2ccMAP3Ti3rYy8ha3zRjgaevj5gXrK+b4eCGec7K611fw/l0QteUrPXJUd9iwWjZorWt5YuXLmrAkvEmaHXyJuiD1gNHuQypA879EjjRdye8TtGLNeVYb4JUgWMnk1aO9wcr1w8CQSAIBIHdQ2DUvnzuquGsiRf88arhzKoR70mv3n8FWeMdTnCXmKapoS/7rY3o8SlO4WBSAsVx0rRvWkfW5DHleRErBTEkxIJAugjYSQl3CCULhRuioSEcoSItFgHBcy6/Y5CsnrFbtxw3j1YDOKuhr0Wy1kNtYIVBEiwY1yE8YqgHgkW8iPOeTTWMbrlr9tXJuvch61HWR8yacU6gOD8AuzqXsAOLRwN7J2UCKwRIhOh/p03j0tNsP8RR/M740C8nrGF/WUEgCASBIHCgERg5fARMOKQ8ZIqZJhO+/avJehbyphCJW8y1MA9iStYmHZKqpvuBH6ln4lzzGp61jqwpXyFdsmcsBdKeNKGJZCBdBEiQA7k5ubA5Nx55+Z1etxuxMa9BiMhUftvrbZSC13Te8yJZ814Vkwl5A4GoCgOBilona94vlTIqWjxwMpqLZG0vvG5g2h/5TkYCpbZO1vbDQLEHz3W5TgIsVNIogFEKI1EKyHc08RFasM6r2EAUwN5EGrKCQBAIAkHgwCIwKxRDtniJkqSoMkVLoez/WkLWorOcQpzCqZXbxldInEQ0pUiOoci0yC65UecmFrZSbtQBSJDcpNUHeaheE27moQpLI/TpIA+kaNMIWExf8l1xmn83ow2+SNZ0U5E0uUwjOf3NQydZ2sna7zxluqpulgoXWUzzlxGwsD2VMPfCM0a6/mZwCMt3sjahinWkWEDYgWrXdLKWMDotbaF+kqimeTFCvGHeJJjwru2BNZQVBIJAEAgCBxKBWf805/UaVcMdqkaRZAOeRFnxh9kJP1Y1IGFRbY4eWVL8YnEY8Qnn13lEr6l7UpfEo2+rGk6vmk3oMv/iqes8ay65i3qxZDevmSdNNk3eWa5YbhZZI1EFaKrf5HyVmyMy2tHOoyBsM2TNEJAHtpAiAHiyiF/+mxVyJLKehqB7GFxOu2uKk3mjw22P2yFr0QYRAQM96Iqb2uU+nRdRC52HrA/kf9DcVBAIAkFgFPHlUZu02CPH6ppwl/ZjyzxqNVA4kwMpEq3+SQ6a5ywdbEwxrjCcSYGZfDcOFIFWA/XcFs11zoetImthX4yPMF1IVRuS5o4jbSFgwyV4qjbEA6VDjbiRshCywi3qYn1YhAo5JOc1wuCsCpaEYRN98eht0KI9LRxtNCePW85ajplnbIgFohSitychdkQprMDL7QtZMxbokAOok7b7QtYE0nnlSJtnLuwArB5ZYA0pWNP25bVyEzxo9814AG6fN+pxb4h9umZWEAgCQSAIHDgERpyjzVjBsWUmxXOrBpzV1vjmquGKVeOCNrinZ6MwT92oHr9+1Sh1isTb0Kbh3lWzinFkLiKtmE0K9/mryBrpyS1b8rFcdxuyFH2xIsTUWQ1OjKSQIU/cVBIN3fK2xFSEBZCmOL3HELbXGhQhrD4dhNF7ol1HmFoIHbm7OcfzannICFEemyGBsHn4csYeZ2T05f76+EYRAkaEdi/34h4M9lAUJlLAgGBcMAgUjgnl26P7dw8MBNaPKj3hDPcm1C6krh/OHhkS3pypAXLgPqq5oSAQBILAiYvArKgMl3ThMFzw7kMiJzNC/tmq4aVVM2I3dWs6BxsX/UjV8LqqEWeJTOMjfdZN6GumKS40jquc+wuRG936J44VJMegmnyFQs3WT5ojgkAQCAJB4KAhMPOSv/HwyVzbu0dkrXgsa/MIsHi0jIkgZAWBIBAEgkAQWIHA+c5ddZ5zVn1ShHZHC1lzv7OCQBAIAkEgCASBPYrAsjB4G+k1a0nqS6K7DdNeeif9tfK5y5YYvXNMn3cdj09XG7y99BxebzWh8z2KaLYVBIJAEAgC+w0BHIaPlo2y9Jz8NP7q7bpT7uqP+9frvH4Vl3Xec54pl/XH+3Ff9bplZK1ASquWwqm+CKJMlcGmb4RiMYlwxVlTqc/pa27T5DpbxdvsKf3Ri1XTKrlVYy9blNDcIFWXrCAQBIJAEAgCu4UADtMqTFVzuhRa40TyoPjtjFbMTIQL91kep/et+FlPtMJkSmUKsKdL/pp+iRYvleTEU/o0S91IlDO1c0mz6m7yWtodXvv5ZWStEpyUqKpvyipk0VQ5a28SMlc1zXqQs1WNjXS1ONH51uKkKlpel4XQG8TdIPERLV99aZlC4r16+1JNxpQCmGpy52B5IHjWDplPSwW263u836jydkult2tSPfPjeZXqCsFIpGYFgSAQBIJAEJgigNOe2dpyFQ9Pl7ZkGiK4jfQ2cSwtx+ZB4DrdRBZ+60OtereR9qvezoX0qV26Fp4iuoX/dA7RIVEtrquITsmdWkvx25uc9x0Jca2rBr9zO4j2t8XTVoyG/ZGpvmlKXl6nQdwGCYLoi6YWhmw9r0dsFVlrLldVbelZRsiI1zX0n/GkkbOhIcROlMEjcNcnRuJmqJvR7VY+r+3KvlybrKiyeEYAC+aR+XwGgSAQBIJAEFhAgHIlkqavsUjWeENL8WVbJJikNa9ZK7FQOPET7cM0Ouh94DAaIGSxETxdb0vb8hMar725tf+6nvZhWuK4rbcpE1vhCItoI3j8+YStkDVL4q7Ng+ZhI2jkrL+ZZ83a0JtM0eUBbYCH3mQe9J+v8KzJgSJcC0kTP0Hej2qP84x57sIQLBfEDAAhAt4+aVPXEm5gwQirAwfJAxlJ88KRtz1mBYEgEASCQBCYIkDRksynnPMiWRMBo1ZpAhaHlcQ2xUrOIUGwpzSHleqYELqQNYEwziQO6mSNLxE57XDeNUfW8CspZyneTzaxLRFhSy83+VKOKN59xVbIGlkKkSNf4ifyyywE7G8j3Hj5ZhaEcIFwthCBGLyLLQuDi+/30LhQAI9ZbpzYOcUweXC/UyDzr0Z0IQESpEicDKmbu257Dc/fY45D5AwMU0yojIWs8x80CASBIBAEFhHgfPbZ1MvIGrdJ8+KSFzT1MmMucc3l2gwKRE9u2ywKnjZRL+HzKVkzCpC08Dmi58QS4OKFkxQ1frmTtRy6EDwe5XmfthWyNrjCxnjOEuomiJAGnZI1EHi+QgNy0TZHmtPPMrJmqfSEvlg9JTGWCcIHCvKnpSrUjvBZJKwTwiRCBQyGPj5TzsG8at6048iZyhnIAyDukHX+kwaBIBAEgsAyBHjI0qaLZI1AFZPxvEV0yWyb1ih8Ld0rv4x0LQVnctPC4+ZYULyckjVe5EVT7bx7y0eLFvPSHeNYXEkxFKHz4jnCZLIfuhWy5tY7sZw0K0CMnpdrPrR8smo4+W0xdtYBi0Fsf7NkLWZPfxzZywuYtuVmJeI9bmY10CTljcR0Lf8qNHMdHjnyRvbIWs6aYRGyzn/OIBAEgkAQWIfAIlmrp5KGxS14j/Mnp4y0PSbsTRrU38LeIr3C3khYGhZn4SdOpDYsY5V50LxkoXC1XFK5vQUM/zEU1GsJjZMgVcfFAcWn91hH1tx5IW/uuKUcXX6YW+4CLoyshaZ50MreHcOL5XU7Tr74/m1kpU328WDOJ1/tselC/PLOrmtoBm9bJbeZnoiXdyy07vpGWgopEFQXnmDpMBDM0gakogChc+F1Vo6QQlYQCAJBIAgEgUUEdDuJ9OIVC4dxNBWSGXOpNgs5q6f6s+YNq5My0KnzowIzOWb8ZDqk40WAeeNC5qLDuA2vIXiOZ2/vcl3H4zIOqv04Tjido3rGOrLG7H6eNbkrfWKKvVgdE2HyGTEjRXF9rVK82fe2ym1ki9AVksl192VTNjNd/ZxAcx0AtUHes3MIMwiLu76CNudzD2aDCs27FqtGPoFxYWylcwnfG0OWFQSCQBAIAkFgEQG9z0hUkbTFCeRBq3+S01b/hF/UaQl/W0LUOpX6UhTWK7o7lwmd40YEb+mndh38NdUU4Xk7VuW3JfStRkxr16z9K4M88qENAkEgCASBIHA4AiK/HNXpVMjtYKTLiZPbx2lu5xyzY5A1Nz0rCASBIBAEgkAQmCMgIqvwa53M9mawEg2WDnauHS1kzd3OCgJBIAgEgSAQBPYoAgmD79E3JtsKAkEgCASBINARWEXWirgWJ2IpY1eCTgatLyEC4uV9KolqOWXm0/P21zifwrC+6H2b8dknj3jedZ1jx7M/8xYHgSAQBIJAENgFBISyFYWZd4GbCKD42+N+x1n40WOEvTr/4cbp9C3c6RjPd57DqY7zHC5UHO15r/OY83rtuIqsaZaqbJuOtNRmpf9ZU7cNONbQDJKjLmJCCF1uQucauqmOqdamk6r3zGAQfWg2g5j1UCtJ166FuLVdqYTTl0bMJCsIBIEgEASCwPFEgBqZNir8pFKcOJh2Kzog2rC0VvXZF7hQyzE+RLDEvLRwWchXK5d2Z/yp7djxqsD1U+vTdi76IArS6JrgTNXm9zB7Yx1Z6yczGKMvrVf6wJCrzbo4eTV9aDROO1m7gPYtN0WoxNQu5e4kQfVJey0yJxnKqqBsRhOcKoweapaJpnC90llBIAgEgSAQBI4XAoRNECflTM4qTiSRzfF8aHNIiXXR97hJa0fuwlxamXt7Fl40MET/9lubJonBHtqXkTMRFWM4VaBrOzbx8szmuGohe+Y6sub18oIt/76vqZPZgB5qIW0jwfSAPWdC1hTFeOX6mlkRpmZZSuGJm1A7s0iKElNB6javTxr5u+HZlJHj9e7kukEgCASBIBAEGin3qVu8XlLXHFa907gL13E4RZQ5mTS/OZ+cWwJhos8WrY9fbP3WPGvOMEeXAhppbQ4tTkXuXbbUv4wAAmQnryNrL+xl63S+sTu33mbE4nnFcsx0UV+7DbJG3BrPaXsLt9NN1RQuJECj1fCNrCAQBIJAEAgCxwsBHjEy5fmK/HJOkXMfkcm71kv9xA1RMBO6RIRN0CK7TaZ0KirW74GnjvgJpZAxFYnGxZ9qYXTOMI8b57qmiPRZ68hannnqWQt9I2aKYshb7xgtU5qmQt30wuWsN+tZT8naZC4qMW7YJimgeYy1kRUEgkAQCAJB4HgggCOpl1HJVPBF0cyELmSNDymUyUXLZ0vvElFRFCbd+9LJII++d7VfItJy2zgVITv2eU1+27RJJK7P+1JN/vRjJnitI2s56C6r1i+k+MvFOolKuhsDJgnuRrZC1n1Op7y2kLtwgqQ8j90NA2AqaXo83qhcMwgEgSAQBE5cBPAg79YMax4uWVLeNK9ZGheRC4HzwM3BUHjm7z6so0/dgqA0L76U6pXXvmwLh3uNHx67xfFF/AqtXYfz+sB1ZI3tWQh9mYZFeFyCXRweObMquP3IWkL8SGSt+s2kEaPAVL+pFJest0mC6MLuSJu1QddbaHynCjIn7scsdx4EgkAQCAI7QcAkx5u36DHnFGmr5DalS60VjW+eLwdWNJjImOcNjlKXJcWL0wyaknv+TCsc0yml2EweWz3XK5sXLUTOSfav8wix4+K7rCJr3i7Wny6uv2EaLI2+bJKVQUqNxaGYTLxeDF5ImxUhFGAJmStB5zlb72rHAsLxNtdbxVgTkvq8eDOus4JAEAgCQSAIHGsE8JWQNu5TXK3GCmkLY6vZsnAUB1NEWNGZ1wpl63DCe2qxXtfanI12tvCkY0yiNB2SZ266162aV80LR/icWxy7snXrWAOS6wWBIBAEgkAQOGgIqMEy8vL0nd5Y5EZ3imCODwJBIAgEgSCwHAHpXTload0drZD1juDLwUEgCASBIBAEjj4CIeujj3GuEASCQBAIAkFgRwiErHcEXw4OAkEgCASBIHD0EVhG1nq6NGZr0VKhpvxcxbZG7sWl/UrJOc1TIiqfaKXpBnPcpVXEbfcuXJt+OBF1lXNZQSAIBIEgEAT2GgIXbrKgJk6S2NbObFjV7TdEVG7ZKsfx5HQRPVEFfqWmKXK7DbGxk5qyGblSPdZ6sbVvzdYystb4rdT8rq0f2glIjypFX0XWytJdTCO3PrQLNrLWvqXvzAQuS5m6PjPl6zar39pjhndIxOs982MMGf1UE0+0hzmfc/vxWvqppNmygkAQCAJBIAgcLwTojVxrQ4HzT5pmeCfr72oTt4y/1OY1JWu8aygISVKaJQTAaJT8fVMAJVGKrB/S/l5L1vrI9Hvpl6YupreMzNoysiaW8vFmQZgWoj+b+AnP2qhNgidu6Hta3zRVMhrjV22P6682teRXWrO4MWG0WJG0HjUg6Ls2tYskKSvGOfW+ZQWBIBAEgkAQOB4IIF2tWfjs21pkGVkTEzOISt+15xfJmmOKiPVpc0A7WevXJhKm35rImGEfZ69lnjWyNRZMuTl5UYLj3PllSxhcCJwnjNSv3uZUEzPpZH2FpntKms3v5Nk8byzYvTbC3N/czmFCiZtzs4yDRbL2WmEDqmkskEcfj3cn1wwCQSAIBIEg0ELdBEuQs9QvhxR/3bgpdBqjydlcJGuTtJC76V0cUWTNYaUFLgUt7YwvCYetJWtPOoiq2AOat4vA6Z2SR5suZI39CZKzBn69kelZjazJq9FBpa3qnDZkohZLhPuPcIUQCKIjb6Fx07Z45ItkTSHNTbgxEqQh6/x/CQJBIAgEgeOFAJlQDqQQtlGXlMukgc2+pvWt7svv+O60tsnrtNdT95QO5rxKIRupKTIt5czxfXIjfxFkQ0OW5qynN84tZyUoHtPUTQ9V8ruvTtbPbSQtB23TCs141v/ewumKxL6zyavJP9uc+djkSadkzZsXHjAfe5GsheSFzEPWx+ujmesGgSAQBIJAR8CIZylfaWDFZfLTZzROU3sl/cs55UnjLguXkiT9SJtfLRROVpRHbeFNtVrO+SNN+czsjbVkba40YmUhCIvzZh30tiVkzUrg9Zr1qWocSbvoV5pnLYzupgwCsfkpWfPajd1E3sIJ/lbcFrLOf4ogEASCQBDYqwj0gmf7w5fy03gP0UoxX64VkRnwoUKcM8qDVilumWWNqKfjoEWcdUIhakM8OMez+qx1fdbmUivmUlrOoyZKLmnOa+7ryhtx9V9trr7ctSla3fu+z8YFedxi79dveWni5EIFNih0rurNxsX9hcuF2k0xUSHu5uTAhRiEz1WUEz5X+MZwUGmeFQSCQBAIAkHgeCPAIUXWQti9GBvZ6qKS2kXUuO/xG2Hxz7bNColLHfO237nRKfV7jdue0RzWyzTOw6tryRqxiptz0zE9b1leereXqjcePMPBDSlZd4OIPisIBIEgEASCwImAgJZp0WjRa61fyPq1vU15LyiYqYpTyMYq4THbnBj/slaxE+ENyz0GgSAQBIJAEDgMAWStp/p4L1VxrAjl78Ljku9ZQSAIBIEgcFAQuGR9c120LlWfqo/Ue+qD9T81HpRbOxb3gazJi2YFgSAQBIJAEDh6CFy7rlHfXNep99Xj6pWzQquQ9RbQ3gth8C1sNy8NAkEgCASBfYnAfeqGNdSF6sv1tLrPTFY6awsIrCJrbVhyydN1ZpMfFa7uS8W2JnD635dovdjas8618JoXLVSRb2GLeWkQCAJBIAjsewQeP+s7VkIs3blfvOqrNe2QDr9OpZe2GRaqvA2Z0iWFA72WIqelUIxs9lvb39TNfq5JZnuI6Bhe/Mcmq03d04yNV7SebZ1Qiq8tImMvXkXWFMTol04BVQSmVcsFge1Yz5NUe3V7XJuVC+o/009tQy7upt697z9suYEgEASCQBA4kRBQ7Ew75BytM0q7MdUyyp0/3jhQyzGJbJLY2rUYJURStChrZbbIdmtjplJmGBVu1JutApzCmXYuomImTfpdobXXfLE5xH+wjqyR8qcX3hVa4XS939w2Q/dUn7Smba9H1vqzL7rRI/2appNKpSwrCASBIBAEgsB+RYDzimx51jxduiLmVJgOSS77Hk2a2/3daEOFjFCY8dLvXXLD2pMJjRlIxRDg4Oq/1rKsbcvsC966czAEXPNz68ia6Mh/twsZsOEE5NUUBtAqZR0QKyFi8rKQ9X79DGbfQSAIBIEgsAYBaV1TH3nKxL6u2JxWsyyki3nIpk9KFdMK4X0biUnsZHGRzRZtRsZ+eNaUP3nT+JU4Cl6+U3vctUmVnrGOrImQ63u2SJ4ZnOHihnJwz4UFXNhwD5bBD8ezzgc+CASBIBAEDhgCUro8Z86rsDjBMBHmZWRNlQy5Cnsv0wr5taZOJhJNWtSS5/7djfz29ZrH7bwGW0kdU+w0NvrO68iatfCZdjKa3cLbJEfNoza6C1nr0T6pDeRwgYTBD9inNLcTBIJAEDjBETCEStib3DVlTXMuVpH1XzbeNBZz2eJxy0er4+pETWZUrppU6fOq6gdakfbr28wNEyvvv5OctST6TdsULAM+/B2yPsE/1bn9IBAEgsABQ0AHFEfVSEw5aNMm1WL9bCsAkzIWdRYGlxIW3u5TtBahIPjFM39Je0J4nWOs/kv1uLD3/Vvdl9nYitnUhf3eOrK2wWk1+H3bJBDufQ+PI2ii4wrMeNkh6wP2Kc3tBIEgEAROcARwodHNQtxaspCnUZjIGkdq5RLCxovI2nAOeWhLXZex0SrFLWR9sfZalePy1Ljz8+3cwu3OgVcVtRm76TqvWkXW4uqLfdbas8TW9Yv19eF2UtXf+qxViUuUn6+Fx00L0UeWFQSCQBAIAkFgPyJg0NRVG0FP968IzIArIfK+TKEUyu4pZBXjyF6ltyWE/rj2u0mSiBh59yVMrnXaMRxj51J0tnbq1n4ENXsOAkEgCASBILBXEDCXWs5b2/OOVuRGdwRfDg4CQSAIBIEgsBIB4ijanHngO1oh6x3Bl4ODQBAIAkEgCBx9BELWRx/jXCEIBIEgEASCwI4QWEXW128N3cROFJpddiPBrlhscV24VcjpB1NcZpFRUyGnl2yWGN/mcm7i6ITQu5LaNk+Vw4JAEAgCQSAI7DoC5mBo5VK1TRp0Gu6mZjar5G46Jf3iqslJkRIVU7itQhzH/kRr+/q69rfH/czWMrJWak5WjcKKeDuxcn8j4cV1lVZmroLtd6rqHU1P3KAPTd80U7e7lK1/dyN9FeZZQSAIBIEgEAT2CgJ6ohEx+VHroU04xfhPbc1UPxWY/XZ7Xd/3L1TV6U1YjBOsqtxALMfQLDmt8S1ZUr3bK8lavxi90rs2nVMnUkquhHxxsSgQNQ9cSTrlFW1fP7ohPH6XVtJ+zfb41zapNjKmrAql6TxnZe+sEa//h40bo0P+sVb6ztpw/u9rTeIS9WTY9LgRN88KAkEgCASBIHA8EECuuBF3acPi0JINNejDMA/O6gc2xmhSM8NjfeFLxz2m9Vk/vR1r/galUK81apqTfPZa5ln/fGvkvmFr5kbWv7UCCWSNxDWDOzEi1XPtQm7gfRvh9Fu2YR+UWoTF3YzGb43gNMf1nLkpTeGfav9SgEHYiJ6yi724YRNO9Lw9qFktx+MNyjWDQBAIAkEgCHQEEDXvmVOJ96RtyY4+v6l8LpI1+W7OLVW0P2gpZ+ROA1xY3PF0xSmarSVrueLbN3EToieXa+O7nACBTheyNteTt+zCQuhk1oz7smmbvVITLP+VjbGZBmpTc6GGZk6n11yrkTVt1E+085BvWyRrpH+TDV1yTedeJ8SQFQSCQBAIAkHgeCHAu8Z7D2ihbuFsKWCOqHD2U5d41svImiOKT4mn3K/NuPYYDp7VbB2pGpzXLExtMyTV6KGauNVXJ+u3NMJWmCbXbJoIIhaPv3kLbQuRI1oTTHjXLAcedCdrXrnE+u3ajS6SNaOBEcGC4cmHrI/XxzPXDQJBIAgEgT7MCqlS7aQd/s8boWzzqp/dIsH4jfc8rd9aRtZPanBSLePYyoVfYUPdjOMqrL6WrMmKIlMeLTFxm+A1T4dpd7KWFBc+VwgmdP3JRtb+NlzbDFAqLjxuYWyELESO/DtZ2+TXtAHfNMYXyVrlnNFjIev8JwkCQSAIBIHjjQCvWgU4XkPOeIu8NscTl12gRZbpgtMA7+vtbeY1L5rmuAh0J2ua4M+pqvO3ui6kbdLlWrLG6A5SyMVLlihHym9b8Kzlnz0vtI2kzd/sBWOS5bxoF+SdsxTcwJSsbUphmRtncTAKePMh6+P9Ucz1g0AQCAJBYBUCPGv8J/+sMFrdlQlaCFvU2qAOBK7mSzszh/UpLcKMpPGk1ixhc+3Pqsr/qDmkurH8zRgwKGstWSv2kjh3QWyvYk1c3tSRvgzv+MFWnX3jVmYuxm4up+T4G9ucTnnr7qUb/+Vv52dhWD9cVb+88SOcrl2L161ajncv4X75FiI3jeTK7cZV1GUFgSAQBIJAEDheCHxD0xrhSeM8/Nc5kkaJ4mhetxSvQVivaRs1wesirUBbftsxnF4kr+haYbfW6F5dfsSc9bEA4GqtGZyH7ccGbZRXnxUEgkAQCAJB4IRH4EgFZscKIOQs1y1RzwpRYZ4VBIJAEAgCQSAINJdbGDsrCASBIEd7HeMAACAASURBVLD3ELhyXabOU+etV9Sb9t7msqMgcOwQ4FnTI80KAkEgCOw9BH6tTq6P1dPrJUtnE+y9/WZHQeAoIbBXwuBH6fZy2iAQBPY1Avetq9ZXNipi713mDWQFgRMWgVVkrfqbCMl0UWbZyWCOv2mVcfLSu7k0kCuf70vL1x0XWsym11Nar3ldKT2R9Z0uFfJ6xPv6dKvmo1yTFQSCQBAIAvsXARxJZ0S3kzYr3UyGa+hg0mKsq+mBrVf6p1oblj5rapsmRk7X3Tc6oG7Q2pSpcDoXiVHn1/kk1YObaIp4TPsWztVG/dlVZK1tysQPfWN9vWRBjHyr8BshRmJ0txe1GMB0oXQTTYBKOQ2Qi0v7l/42A0f0de90Ad/gk99r/XUk5lwjrWU7RTbHB4EgEASOLwL4hPOqLYv6Jk65c1Pn1HL1/g2xsEs3mWxOonbki7WWZm1d04VTTeqi7PmZ1luNh6SiX9zma9ArQeCcyr9tjiDxlFPWkbXpW0Z9WeQ9eaJ/2LxjozNZAb/YFMqIkBM70RNNEtQgD564hm5/65t2E4rZaI/bBHJFtAZ1sEx+bONCFMqsdzerhOrLz7TXazr/eFNDUzHel3NcsvWAe+xhTSXNHkz/ov5C2KWf2/PGkwGOAAvlGBPAkCygPrjx+M0amdMxNxmFNqvGd2+UMWizJvWFxQBwXwaaeEO8CXrk9Ko7Xr86NTfXIj8HF21rFNwyr/v4/ofM1YNAEAgCyxCgvmlKJB4ym9rvpj8S9kLGtEZEV7UaE0nRR403yWlzImfqYxujM829RsjEv3jmyF8UWFTYa6h50ifRb02yW1/2SU1ABXc8cB1ZkxXtIesPtbAyckGsmruFtSmssDxYGgiMWotNsjhswI1x9RHjlKyR8XMbSSE2s7CNvbRBLj9vlVoasqYGQ92FZBsLhgZrBwAIyBqRzvRTm+CKEDTVNHrmjAb5LoTumhrPycMxNhAqsD1O15yxQURdyAOIvGVA3bQpzxjz6X7pnK8ja2EMxoLzsbzsjRCMN4qVZBQaoRdkPlWEy3+XIBAEgkAQ2HsIcEZNz8J9yJgqGbImfMILfmEj4a4FzrsWDu8Lb3B2O6d6XgqXcJiF23AfLx5/0BvBnQibbPfd1pE1EulhawT8zA2vkkct5MsTFEtHZrzuHqv3OhO4kK3jhaKR5iJZ84w953xu4hGN5EmtPbiRv9wvsubZ8uARNgOBt8546AtZ0y8nWWrJtQuDuyaiBjCiZli4eZYSkuapd7U1Q0EMGTH5C4GKKlCYoaoGYN6y/ATLiWEhHLKOrD33XS1aAA8Sczz3bli4X28MmTkSrVlBIAgEgSCwNxHgICJnktk45Vub87iMrEWZOamXaseI6loiyrgJH56zeeLO1Z1eY58RuetwLsmRkie1OH2/v46sJbcRZl/IxwmFtHmiJnJ1smZt8Lgt5MTlZzmsImvSo7x0g0AWydo1eOqsF2Tt3JLuCPtCjTSRXV8IkGwbz9tCsA9vRV5/3AjR4xL6PG0RgGVkjYR5vzxi5yB7iqj9GCrO4kGs8vjLJn5Nw+CsMEIvhpZ4M0QJhDmEvhkDvHeScrx3x2UFgSAQBILA3kMAR5p34QevSKHiI3yHrPGc7/HXNidOKlRkGc/gmz6gw6zrTvacYFHoZzWnFk8Jf0vVimhfthkEuEboHZ/edx1ZIxPE2xfiQWQ2yrNWhLabZM3b5rny4AGDEJE1gmNpKNhCskLJiHVK1uZk99C43yXs5YURLPLnRQu3m7nt/M6DJHnp8gauLZ/M6ul5+U7WDA4eMNDtg/Fw1yWfqSlZf0fLbQvtKzbzBiBsb7aIhBC8sIcB5UL2ohNZQSAIBIEgsLcQUPVtLoY0Lp7gKSsAe1FLpxoZzeGU3sRVap6QtMpv3ON33Ek7HIeYsCUtanqklKxwt0g0rnjXRk3YO9rfCFtum6fOQHjkOrKWy1VU1hfi5DEKFbMcbKATzW541kBhlcjn/ksjZ9e8arsRpCq8zYNGsn0xIBSpietbwGPVCDGIDiBoZK0AQCEAwJC1cxkK4hqiBqwcHq97U2DWyZpeOW8YabtnRgRDYHFNyZpBwajh9dsP48YegM/CYhAoUGBYGC2aArO99R80uwkCQSAIQABnIFXV2zxihK0QTFT45I16qX9r/MPxEplVwHzRxo08ZWSsxklY2/e9eikLj4hOS/s6F57gXSty5sxx6kSMjaXmxX94FVnzQhef696feHsn8ekErv47ohJ7d7wfr/XjnDxTjzlH/5037dxIixWCHHmy8smI1OsdazlPr0zvHyXHO19fXmMvfqbH9se8tp+j78W/nu/36Jwem/7dr+Gx6X3367rvxXM4T993/7ef13N+IvaQL4UgEASCwN5EwPd+/x63w84jfu+81Dlhyif9MWOhhcoR85SPOgc5/5RrFx8/m1P2koKZgiuFXZZCNYSdyVt78wOcXQWBIBAEgsCRESC8pVBM+nVHay+RtRsRfra0dgmHZwWBIBAEgkAQOOER2GtkfcK/IQEgCASBIBAEgsAiAiHrfCaCQBAIAkEgCOxxBFaRtYpvVW5vaa1KqqWXaV1TWtEHphT9ne1eqbIo8nKslqXtLhXmFGCUs++Ghvd295HjgkAQCAJBIAgsQWDUkkXWWoHxG6sGbV1tjbqntHVNF90NOh7TRfBLEdsPVg2nVY2UMomq/FvVQGJ7tpaRNbESil20uil/2Qi5TZJqi0vrk5YnOt+mhCBn6mIqnCmF9Ybw7bzN9FG1T2k2721Z2zlPjgkCQSAIBIEgsMsIjCq5CZpoBcalTXFz0IbFZyVV3QdM9WuTmdazPV249YatE0pPt8px9Vt/VzWc3aa8jKxVZOsL01umr9gkEd4tUY/FpT/MZvyQ9TT4gtoXSVLHaxRH/kjdIvep3L1XyOnlJlxC/5sKDAsDMetJ9m8naw3i1MuAQ3BEY7le7KwgEASCQBAIAscBgdEkyQ80zQzy2rQ9HlI1kLpG1vi1t33hQ1xIAKUrg5Lpxnt6uf2rqPqjTUiL4NhNqoaztU6WkbXZzD/dSNeMTUos9EqXLWRtkogTmjBiwpSQOaESmzPEAomb68kIcBPUv4iKXLORst81gOuvJjGKuJ/clMW8huAJq4OICOOB9BpRkWWSn8fhDcslg0AQCAJB4MRDYEbWRLRwGh6kUPnEqsEIzMkaTVokkU1l88lVw5eqZiFy3EqyFAeaHWEKpHQywv5M1XBY6/Iysua5UglDnPLUvGBjIeWNebzThawf1WRJedGInrAJVRZk7XfKZAi4D8f48aYURjiF9WBKCbI2OIOqmDCAcALFsilZI33hBufxXMj6xPvfkTsOAkEgCOwRBEZRYkOaDKQiZiJlfNISsiZljRvvUjW0Oq4ZgZP0/tOq4W+qRvwmv03BDIlLK8t/f7JqmA3UOlI1OLaXk7YJczrJgU6lMTtZ64uWCOfiawBXnIashauN+OJ5m0RiMywKJM16QPCdrBWTGZHJg2atLJK10DzNcJqqgAlZ75GPbLYRBIJAEDjxEJiFuTmz1DcRt5nX9zicrEfpW9MkaYY/omr4fNUs1y0SbdLjTauGTx3CbiSvjbjpgZOmPrVqmBVvryNrxWXyyYrNsL1QNisCkfbVyVo+W1W4TfjXhCtkLTZPH5ugOTJGzkLZCNn0LpOoOlnT8VZZx6tfFgZXeU5rNWR94v2vyB0HgSAQBPYYAjPSxVec2vO0KPMfLJC1gjL8+bSqAd/xXYXPhcW/uFE9Ph1K5Tka42rAOLW87xdUDYh7LVk7GUHxPl2LVjdSlkifkjUCJWwuj8xb5v0aaoGsedvy3TxsIy551zYxJWuzQVW8sS6ExnnuxM4XPeuQ9R77qGY7QSAIBIETF4FRuxYnVvU3z9rELOFrUx8/38LbyFpl919VDU2Vc0bWuqXeWTUYOtXWaN61FLLxys4hmvz6/pp1njXiFdJWMOaErIKeu+5n1wsmBy3PbENy3Fx2E0b0k725ec42IZzO9af5jbTNhva8pa9bftrNfls7B0PBcUZMXnGj0MwAcCXtKuiIm5tglRUEgkAQCAJB4DggMAuDI1TRZ/MscJ76LFXfX5hXhY8Xbq85q2pQk8V7RuxC5x+sGpB9J2tRYwVnarZ43G3U88BhXutZ94lZ/XXTcZm7CYwwuBsWUvjG1jDOsujzqXfzWjlXEAgCQSAIBIE9jsDMEEDRa1u3jsdN6L/WniUMLk8uIZ8VBIJAEAgCQSAIbKIaPCAFgSAQBIJAEAgCxxmBI7VuHeft5fJBIAgEgSAQBILAKrJWNKZyjca3pe3qoq3w6zP7FDYFapL9CgG61rhqPpKmdMj7UtC2bnCIFrOXrMDA+YjA0DPPCgJBIAgEgQOLwEgGG6e8/dDAjZEmid7qd1UNpEgX1qgX+1xVw4sOf2K8WFVd9tDjZxemvbVqwFkrC8z0df2fueTZjMjIqan0lk+eqansw6X16wptQphKdEvlnQo8g0r6IpF69TX3p5r9gSue15ZGjU3+PSsIBIEgEAQOJAIjLe9rN/UyDh4NEd/7JmqZmqXy+zeqhqZLMlIGxR2kvK3HVg3UP9sa8QbdEsM/dEdpAdMZpRL8blXDB1d51l7Ag1SJhqD1QN+2kbeT+916VZsgwvO2GQVipnXpk75KMwbciMUKoR3uNX53LGEUC1mqBCeEblFuIYDunIZ99Mf9DiCLmpphHu6hTwTTCua81q+3di8930/dAGcZWbsm0Raetl5w19OiBniN7FdqQ0n0fLOEyL91suapu0eeuUljdFzpm/vX4BI4sLLgd/aYs0NvTn4LAkEgCASB/YfAyOnzPU+Jk+PH4aPweaOmD86xfdr890FbMyrFW3jsxhsco/eaStn15mQ+mqWhqBo/EgYzD4OTrFW6i4Q95UhkbUO8RTOqTd6yEBmtU61WRn3ZoNnTXduUZOg/tAlcBFTciAEePPVbtr5s50HoSJ+oipt2HK9WX7dzec7mkexj28Qu6i70yXn8tFaRop40xMmSAQIRFqEG1skLWk83knXTpE+dgzyqhazdC9LXKgYP50HcjmU96efWA+5Yb4jrX6TtkdALrdfrN9J2PMxgotdcr7rm94mc3P77aGbHQSAIBIEg0BEYcZPoKm5s7VUj/Y/eH43vqJCdUjUsGRM94q6HNcfz841TOYQ3qBrojLc1UhHFk2dspKGfsI6svQjRUC4jIUqlhccrRE6ljGgJ6wG5EU2xeeMxkaKN37x5t3LfiAtZ0/PWDH7p9toXNkOAAcADRe4sDF41lTPHGN6hidzN8W4BQklNroCIimsKNdAj10iOLB1jGe/5uZZDECVYRtZ3bqIrvHyedZ/fTSrV3zx1+35PMxgQsGvznO3LnpH7XzQ8kDuM3KNz04TNCgJBIAgEgQOBwIysOWj4kyQo71kkFt/gI94xsZNfqBoW6p9G4e3fbc4gxxJHUO3EU/c9RNYz751MNw+b4Nib1pE1D1f83divJ7QJIf5+zMbmjM50coM5rtvIWticB8yrtGlFagh2StY8a6FjJIiIXZ/XzhIRTmBJIHD64ULeiJsV4ly8XAaBPfCEETyQqJxRRqNq5tqO4Xnz1hkXXvfEFn5fRtbAs3ckbCHaU9oeTfhi6bhH+zOoxLV5/D23QBNWKJ3xwktH+l7TwyMMiqwgEASCQBA4EAic7VlzKEV+cZTIrJx1V/HEV7eqGprS5ohHRKAN/hBF5sxyPg3zoC3uPPhRdBh/dfVQ3MNhfNw6snZx+uA2RD4NIal0RtY8bXlaOqbIime9GbJ2A6aKqJajUobYkLVrIXXEa+Pi+8LsvGhEjKxZIW5ESJohIQRNjo2MqbA7Qpa7NksUiSN1MqUkUVk3mwmD94+SayNe12YpmTcq9N3JmrHBIgIoDXQEL4zhGHlzeW/RBUUDPG6hjqwgEASCQBDY9wiMnDgOLIdNdNVIS9//vG3OorC17/2XHQqDj5xUEekHtHQvblO/hVMtZM2Lxjdqnzisctf4kRN7vyPlrIWCvZDC2Fua14ugkZ+wswsJcSst3yxZCw8IcwtL/3EjYZ6qULbQsZv9/iVkjeh5y3LGQvKK0iTrn9tC0dqlEDpv3ixu+WzhaflrNy+5f6Sc9TKyZpzIuytCWyRrRoPr27NwOLIWhldN7t549iwoufisIBAEgkAQ2PcIjIhVgbMUsQizYVQi0BxbeWzRVE4lPhBh5dx5DAdph5Y6/qGWZjah0uJcCo8rWEbsuM6cDZzoWg9fRdbi70LONsJyQMQquOWou1fsWOFr+WM92Lxe/cdyuX2INnL850Zowt5K0xV3ITmi54q4/I4MFXu9sZ1PHgChC4nzqm2YtyzfbQiIGxZuQMau69zI3p6QpjC0kIJcQK9oR7bOJaTQQ97CETx9gLaJKDPgnEffGwvKhJTeW65YANAw6GFwr/W8HmvPixgomvNmsLTk/u0nKwgEgSAQBA4EAqOorXSvqCke8iPSqgsJeeMTfIAPL181PLxq1petrgqniAS/uWpomh+jlq6bVA23qBrxEvLGdyZScgg/vIqseaIIqIuIO7lwN/L+8qEquBkZ8rIROrLyu38l2B2v38zr3RBC5Wkapel8ju09264n9Owxr3Uty/m81vld27l7tRzvWhjBQvR+R+L27Dg91Ajf9Xnazu9crumxTsquJd+92D8OG/t3bc8JUQhjmLDies7tef96vu/R/ty76513gtmB+IjmJoJAEAgCQQACIx7AHZ+rGhoXjTqTGhcoLptViV+malA75Ri8NGzMsdahNFkjHvraQ4/Pxmgi7c9WDTNuOpZyoyrakDXPcz8u0QW5de1qvPusIBAEgkAQCAJrEBhFYb++athxdPVYknXe0iAQBIJAEAgCQWAbCISstwFaDgkCQSAIBIEgcCwRCFkfS7RzrSAQBIJAEAgC20BgFVkrHZcItxR8KTvXR7ZsqZqWDG+C5dvYxaFDlLv3RaJTfnjVlC9KY55XeLa4lNb78fyypU9cEZylqI2Uaq8Q38kN6Ed/8TZOoEhNRb1/VaYrZlNFb29ZQSAIBIEgsOcQGPGVYua3VQ1amRWQqf6+UNWggnuyRkM5dBApSrYarw4TXh2vVjVM+GPUxqV4be3ULW1VCFqFm+ZsS69129Bhu6Da4jValHa69HK7tqVCXA/a49oAjcVzkxQFiL7rxaUCTyk8IZRlSzl8B0UVngpyrWHavnayiLP0JvetnEf1oN5y/yJrYixU1PTxZQWBIBAEgsCeQmB8ShP10v3jB9fQ/eBo0Sc5Z9VAG6Stsbf69i4l+iWnTkZimodxu6rB63qluWLsN1QNM05cJ4qiR1jLE49Pv/TzNvqtX70EL43fZNRWjY3cCsTEQ/SvWYgLYWkUX+a1A4hXrXR+cenzJgF3+xUXR4L6sy3eLOUzniwltp0sREvgZTtLdML74U3UXE/cZck81O2cOscEgSAQBILA7iAwchRpf/iO1qolokoMBRHTHTEPQveQr3RqlshX23Fv9dWShYCvWjV8rmqkskkl86Sq4TxVo35tCmmkSRH4jJfWkTUVLhaCMLdGbwIoPF3tS/3k5NA8R5NbI7g+ZxKgboCS1w8079BrTCERMuDVauGihEb9rPdy2w9SJpLS9+YcyBoo9sN4INfmb03oSM116a86D09bozpRFWRNBYYUqHA4WdC+kDUjpC/64KIGjBH7tH9WzclNSo78KRUa4zYJrJMeJcVKZIVBwVjp49Icz7vWT663rqu0MQrshfIaCTmP2wMZV2IzWtu8mfRi3Zfzs8x42UIm1G/87RzOZaoYYRgRhCmGu/N5zFmCQBAIAkHgCAjMNL85hwRPfA8/qWr4UNWsb/rGK6Zu+e4/rWp4S9WIg/GP1q5HVQ0XrBoNiqLAyaF8/2bImhoZcjWrGiEiCyFvyiu8UERGgYzACLUuREIvmxiI57u2KSERXjJLAdkjc03eQgaIzojJvuiNI2ULAXoNrW1Wit+FtwEj5G5wN1KjDU5P1c2ahiJ8j9RFA+zhHxvhT0FH1qwhi3AJYjdzWi6bziuP3cQTEqYsJiF5AFN2E+qmOvODTbuVwQIfBCy3gEQt1hHjw/2TQZVDNwubQUADndHCyGDoULpZJGukT6r0Om2uNqlToZd7NqU46QHzTr2OHF1WEAgCQSAIHFMEZuFtIWxOFk7gMfOs8SGFsoURmaPI699XDfgBv3NcOxe+umrAJW2Nvus3Rda8QqSFzHjX8tfyqgi1q5uRDu3TRITBbYDMJ51U3i0PvMuD2jxCZXH0qVukP3nsfSFBRoKF2JEQ79F5HcOTlahH1ogPWQsvAIy3ywMGlvCxCWCMDcVywtPThaxJm1ru0R4k+hGrvDVPlveK6E3/cs/mYJuA4sdca9dlMFypRRd44q7rzbBX6YEubSq07XWmlcGMB80IIl1KUhVpL5I1/GHl3hXTiTgYI8rT5rUzShA4Lx4WWUEgCASBIHDMEJgVjXFgP1E1PKNqlHb1fY0fOZvyzYtkLaL8mnkeeuQE+u7mKIoUc+AuXTUorkbkmyZr3qwwuMXD6zrfPDnh4D5PGoH3nDWPUTyfALnwLOJDXrzKzZD1NAzeITeIg+dsQheSdd4pWfMwed8IFZnzXJGmY5C/0ZVCyotkPQ2De07YQe5ajgGBk5KzH57+OrLm+SJw1tUiWbOw5OBFEuCGaGnG2hMjAIkzJkxggeE0DM5S83pRCrO0GSIh62P2HzEXCgJBIAisQmDEH1Ka753npUcOLQeMcyuSrNDsS0vI+nVVg4pxZMwBw62OQfAcvqtXDZzBLZG1fDLS0uKEuHm6SJeX+vo2h5MHjawNvBCiFdKVZ0Y8No44De+w+e2SNcISJhBGlwPnnU7JWhgdYTIK3PgzG2kKbQtbGxKC+KYe/GLOGjLCD7xZhoZQNxF1If9Fskaa8va0zo1CQ/IMF5rhi2TN2EHGT23nF8Y3dYznLn1g7yIS0gfe/ClZv6GF9T0vQsEQCVnn2yMIBIEgcFwRGBGx7ijf7zxiRMuBxQEcPBFkaVGvkZL9hqpBRBUBn1k14ES/+74XhVUjZeGp763q7Vyb86xNjRIGVmktlKwPWTgaIdqERDrX/cnNc0RCeoLlq3vBlY0LLXsdz1I1ucIw4WF6qUiMx9huYrZZOdhF7XChBpVyCsCEjRFd95aFweWIEa3rKHDjgTMoELsqOkn6/nt/i3napp8sLrl3EQTgM04c796EJRgenncuZG2eNqAZNPBA7PLXQiHuzxvCI0f6QuawcA9wcj7PqwpkRZnBLZfvdYrh5M7hzdCwD/dtcIkPAtLm/cuPqxbknZsBnhUEgkAQCAJHHYFR6hG/4RzLv4qbpX6lO3HnGVXDWVWj7+vvrhqkUVHFDQ5ViC9udFRgJrrb1sgJ/WTVIDy+shpcHhrxWggbQfYJV/05j/WpWEhGVRtvERnZLGvB347znNeK0bNGPO8YzyPYvhyzTARFSTxCRPr+Rc4Kvnq8n4XiOs7neXt2/m5A9IlhR7qO5+2x77dPAOvX7uX3DBaRA/kIhWiK7xSj2T9Lanp/IhOw7FPBXMM994leXu/8Wrf6c/YLL1jbi/t2T/2+POde7ce57TMrCASBIBAEjjoCs4lYvtd7N1WfLOlvj5+jamgp5NlYzG+vGlotlmPnU7S+eslhD/igrVlF+Vf6RC8n76R81G9xly7AUxZ+F9b27zIFs1261MrTyDWwlHi2Ctn+qHnLR/u6OX8QCAJBIAjsGwTed6Gqc3991cV3ZeqWUHJWEAgCQSAIBIEgsEcRyCCPPfrGZFtBIAgEgSAQBDoCIet8FoJAEAgCQSAI7HEEVpE1FS/54CNNfdKLrIqZeIifzS7KYprJKb70pe2JlOh2FyUYbV0qtUmUqlRXTp8VBIJAEAgCQWC7CCj0onipKBi/XLW1K/fJjbp1DILyt/Zl3UAKj2lk9IXrFCbjTEsBGplpWiCO0bqrk0nLNNVMj9Ho0EWkpfij67TBp6Ioq26y64ZT4Jr2MR8JFC1PVLj820eE/XKT5USy21kAAoQbNlGrS5Bu51w5JggEgSAQBIIABKhj0rigfWEGBKEuxIucEauC4z9vj3s9XtOho22rL+1eXQJbF4+WYK2+Zk3Q6cCD2nxpbjienoeWaSSvVfdBWyFrzO/kfQOmcpkBbUiHm9Ffpo/YRSwbUyVt8dK7fGm/GX1qbp4kp6X32Ov1YusvNuCCdCgxlf+sKuMzCa64Di+eR4+gz2ptXFRg7I0QCrJmoeh91o98m3Z8PnpBIAgEgSAQBDaLgDZcfEIXQ4susta6xdsm9oWv6I/ctWlvEDbBi3iHoBdP3ELQjnE+MqI8dQ4lnmII8LKdQzSb6AojgCYJwTESpg/YClkTStEzRkzEEA9E+xeNiAmFUOMio0bZi+42oQ8XR6hUvgibdC+a5WAKlv7pXtIu9G5Ih8Zyz2kypyuO6F3PTQCNbCd1MjdJV5tiGY1u/dGsFWB6nV5sFgkZ0PtsqKo9ZrPvTl4XBIJAEAgCQaCRK9EpBI3j8EtfRK1Ecs3D4EhaOBDfcCbpZCwuBC/07RiDsKic4SrKlgY+EdvCs343G+NarT34lK2Qtc0SAtGXTctaPJ2XS5wEcbM6ECvBD2QrL02e9JrNtRc6MHzCQtY2yRO2cYtWNpET+uLC2fLX2srcnBujSoZ4GQKI2kLcz26WjPNPydq1jMt0DqIjIev83wsCQSAIBIGtIoBMhbkXyZoTaa413unLuEsDlkSZedb/sXAx0WPy2SSkhdFFkEWnedxqrH51rng2c0BxH+VKofHXboWsbchGWBJcdAM1kLWQNclMc5aRI3lQG0LGCr68nnXAa56SNQ98OnVLyJq8Gk9Z7F7Y2/Ia8qBC34Cx6HUjcF64G+a187ynZC3EQO4zZL3Vj2ZeHwSCQBAIAh2BAe6iUwAAETxJREFUVWRtjoRCMgJZQuHmZPCQSURL4fpZmLp19khj4XP5aqTsNX5IdStKEwbntUslkx+Vgr73OrJWAIbVLdqnyJXXS/ua5yzBjqy7N+1CPGMbRNwIHHnztOW65bKnZI1ExfXpfFusB7F5rr9QgvPy5E2pkpfuZC03Ld6vAs/vBnyI9xu+EbLOf7AgEASCQBDYTQRWkTXZUCle0V6RZsT70vYjbaxYWuSXDLVuJwtv8Z45ofgOactxy21LMRuSxQEVKebwmhMhMnyPdWTdtbtdwAVpX2uJ4qrT70a+yFoMH4nLGfO4edBeI1RtM4ZPIFfe9ZSs79dIuWuBO5YH7To8Zee0bJjl0sla+TyjQFxf+Ttv274Qe8h6Nz+iOVcQCAJBIAisImszGhSNWfLTwt9yzULaeA9PSfl+byPyTtYKsi1cxnsWne7S30LkHjfUShqZQaBo+vRVZK1cvI/tclKFYQrBhLWRqjnNwt28Yv86uTyzE5stbSlHF5cXs3dDQgY9P+1v5e5GafZFwPz9zZt3g9rC6H67lvj/jzYvu5/btCkGBbK3D4Vs9gYkPdfIHZiAYZmwaLKCQBAIAkEgCGwFAfVanEKpVvzSlwLo3s3kMZFeTiTixmW4C29xWlV8WzxxDmlfiqzxpGM4n9K/rucx/IgDObmfi4LZVt6yvDYIBIEgEASCwOYRUBWO6HVO7Wgha95pVhAIAkEgCASBILBHEUDWBEOygkAQCAJBIAgEgT2KQMLge/SNybaCQBAIAkEgCHQEQtb5LASBIBAEgkAQ2OMILCNrVdyUwvRYUxFTlUYXVR/14pI4JymqIk5vtYpuGuBf2ShXJ9G2leEei+em4qLJnKRob+/a43Bme0EgCASBIHCCI4AXTZVUBf6eNqNiOgGSGArNb91Lf11Vr94QD/u1xrMPbmqdJnu9ux0/g3MZWVMP00NN9ERblmlYWqGIjy8uJE7yE6HqFUPSb2stXIRTEPd2l75tkqWEU7603ZPkuCAQBIJAEAgCxxCBl7RrkcjWysXRJdHdF5EvQij415AqczEe24ZZcXAJqxAfw5/IfiVZY3weLY8ZWZqO9XeT/unpPXeyJpFG31R/NPWxmzWVM1YDJRfntG66ISX6uvZax16lKaORUyOSwsIwblNPN9U0YzptmKDK5ZtQitcSTXnWMQQ/lwoCQSAIBIEgsBkEyFybReEH95HFJtXdF4lSgz84oQ9suuO3bToiSBy3UTkjCPbldWTNq0bQZM5c5KkLQuWLZE3L20WpiCF3YiXC6DxroiQuSnaU5+11rAgbJLzy6EbMp7YmcpKhVGAcS4jFEBBSpUIKFF2QOVUXEqOOzQoCQSAIBIEgsJcQkAImEmYeNcdXj/WiRjinkzwpURTcSL2TGAoSJ0hGZvswh3RVgRlrgOKXwRoUW3jW5k1TElskaxekUmYzSJaFQJ7U70jVpiic+ZvH7SbIp1E78xiv2UQTcqFUyJCy4xfJmjZ5HxzC2ghZ76WPZ/YSBIJAEAgCEBBBVu8lT83LvlfTD+/omFwpvexxip+iyiZsmUL5/FbvxUGlavbhppy2NGc9hRtJc9lpnD6vWQIk0foSykbWhnaQRvuRJkkqhI2IiZLfo8Xl5bOFypG1IR6mcZk3PSVrVobwOw97kax51ELqrJCQdf5TBIEgEASCwF5EAEEb0PG4xnW4cRoGFz02/IMDbEIluezueSs0kx52DtKkCs6khteStdyz3LBBHcTJJcvloBWQLZK1BDpBch62MLrXImsEbaanZDkv3VBuofIpWbMmhA0UsNEMZ5WYuBWy3osfw+wpCASBIBAE1iEghC0KLbSN98zEkM6lHa5gWrQaAZsW+ZsbTu5zJ2TNs0byeFJhN89bmngtWTsZkuWyu+jL2vQrxV9TspaPvlMjWJ409x9pI2vWgxy1cLvE+a2WeNaqvm2a4DlDgPg5Lz5knf8QQSAIBIEgsN8QoAqKF6V6tUBzRDmu6rnUgF291W1pdVbtzTnlXavRulGLLt+i1YwZADLLXa8TRZETViimfUu+2OQPLVrTNipEKzwtpK0YTRk6i0Ju2fxOMXsbFAZA1s6F0PVym2DieRXkYvPC4wwDxW0sDdfymNy5XLbkOyJ3rOV8WUEgCASBIBAE9hICePESrVBM2vi9jeN41vjMFEheM07DYxxTvPqLjdQ5xvqszciWKtZttZasndh4LoTupCyDo9HvrIH86a0QzRxQo8VYFW/dS+hnL0EgCASBIBAEjiICfagWnlVw5od3jntrGMezh2cfxT2sP/WlLlWX/8Qn6peGob54gQvUKz7wgVlIICsIBIGjjMAwzNors4LAUUdgHIszhoAic70NtJH147dxXA4JAkHgACAwDHXrA3AbuYV9gMA41g81HQ3FU1lbRABZi59nBYEgcAIiMAzxck7At/243PI4ni1upU4pa4sIhKy3CFheHgQOEgIh64P0bu7tezkIZP3e91Z99KNVP/qjVV/zNYfw/s//rPqnf6r6ru+quoDxHJP1oQ9Vvf/9Vd///VXfQElEIvqLVc71P/9TdalLVX3d180fP/PMqv/1v+aPfdM3HX6epWR9r3tVfUAtN+mxr626ylWqfv7nv/pgz7/1rVX//d9VV1L/vYP14hdXffazVb9M16WtP/mT+fmtc52r6md+puomurar6iEPqbr5zau+WZ35ZAHgH/6h6lrXqvp6NeZtPe95Vec9b9VP/dTWN+lNePzjq/6t6bd5M25606oLX7jqVa+q+umfrvrWb52f1z284AXzN+xnCbZuSNW85S1Vb3hD1S1veeja3rzHPKbqE5+YP+ZcnvdmLy5v7N//fdV5zlP1I2RnsoLALiEQst4lIHOaIyKwn8n6//2/qr/+66qnPKXq3/99zlP3JtHV1mmnVT3sYVWPetTh39HvfnfV/e9f9ba3zb/bn/jEOQ/h2Ne8purLX6669a2rbnCDqrvcZc4n5z531dWuVnXHOx7OuUvJGiE84AFztv/85+dE8T3fcziR9k2eeup887/zO0d8r9a+4GMfm1sZFyVO2tY1rzknZI/9139V/e3fVv3ET1Td+MZV73pX1SUvebh147DPfKbqU5+q+vZvnxN8Xw9+cNU3fuPhhLnZHb/udVWPfnTVr//6HGgE++Y3V/3QD1W98pVzsFlClmvf737zffgXiT/nOfM3+i8oxLbFoHjgA6v+7/+tOuc5528c6+yP//ird+Xxv/zL+T15U7OCwG4hELLeLSRzniMhsJ/J+h//cf5dzTu+7GWr7nOfquc+t+pyl5s7Y7e5TdXrX1/1spfNnTfrc5+retzj5t7yrW5V9Yd/WPUbv1H1Az8w/xth47H/+I+q7/3eOVk/9KFz7xv53/nOVT9GmqytlWT9kpfMDxrHqic9ae5V3u1uc9L4+MfnJ/rwh+fsj0gf8YiqS1+66uEPn3vjNm+94hVzz5snifB5m6wUj7/nPVXXu97c4njTm+aGwY/TM2sLWTvvd3/3fB9/93dVz3/+/NwI9GIXm5MiK8Q53/GOqmGYX89NClO89rXz/QK7kzVrB9CiAaIGn/zk/Ni3v30OsHubLtdilDBgzn/+uXHCQuLxfvrTX03WLKxnPWvu/V/jGqvJ+rGPrfJjn/BgtT3hCXOjxH6t3/3dubUlygAnb+iLXjTfs/fHmw4DxkOPctzpTvMPwUtfOjduftDIlKwgsASBkHU+FscKgf1M1jxgPCe6iSdwk+/pK1xhzlFnnDHnHU5dJ2sO6B3uUPWd3zl3zERSfVfjqhe+cB4B5qB+6Utzz1v09573nPPVn/1Z1c/9XNVVdVsfiayRGWJCkk996pysbZKnKGT7p39a9chHVj3jGfPQL2Kyme/4jvlNIYo///M5yQlxC0sjcgR/+unzx1gprBJe79/8zdwrZW0sI2uPffCDc2PhJ3/ykFfKYz3llLn3j6xYPYD7/d+fk5/rIHvnv/vd5wTtXyT2xjfOgbzZzap++7fnxgSDwRvjOn0ha3/f975V5zvffJ/uC9C83kXPmgftjXPuq199blgs86zh596FPexZqJwxwxq78pXnRgGr67a3nePLe2cIsdSufe2q972v6oIXnO+d0STs7+fZz5574aw1r2etuUZWEFhEIGSdz8SxQmA/k3XH6K/+as4teJCDhb/uetd5BNj3LOLuZC23fbvbVV3mMnNH7+STD32n4yvf7d3RRf7nOMecfxA17nIuzuQRyRqr8/gc/IUvzEPRiIlXe5GLzD1LpCaEKyxsQywDoWIEjwiRuk3xlsX4kdO//uvcOnGuW9xiftPyzoh+q2TNK+VVs1AQotzyFa94iKzt094BgmiR9tOeNvecXROY9nnDG87BsXeEzUhh/UzJWtjDufvekeKNbjSPOiwja0aL0DayZjkh48UwuPsXqvcmKSq47nXn+Q7nFgVA1h4766y5QXKJS8y9aedGvownlpznYIHARRS8J94bePLUkbwIRlYQCFnnM3C8ENjPZN0dMxHgf/mXeaQTmYo2KzYTvfQYDxrX+Q5eRdaiokhfWJzjZSFzdU6+rznC97jHPGQ+XSvD4Lw1+Vme2fd939yL4y13slaAJhw7JWveHyJBPhe60LwYjEc5JWsE5G9WhjDyxS8+9xzF+o9E1kLDyPaXfml+owgKeMINCJlFA9TuWXeydsM9Z+14oLg3C9C82SORtTfiOteZH4dIXUvofB1ZewNFE/73/56H7xfJehoGh6fnGTgiFUIhDBs58SlZf8u3zNMBrDJpBB58yPp4ff3s/+vGs97/7+F+uYP9TNYqunEWh02UmDctetkjsL6zP/KReZRTKBtPIGWOIefvQQ+aO4wcYD/45tWvnv9Ic97+9nOO+KONGVwK1xaJ2nt8xJx1/yBw911Akh3BOimvuJM1d11oWDhWLllR1eUvPyezKVkjIUTH80M8zsMjlPtFQKvC4EhJOJ61Yg+8WmTHI+U18rBV3SGyTtbi/fbBewWuSnDgeL1ryusiXKHzI5H1NGfdMTkSWfPYWVBC8DzhdWTtwyDXbb8qzX0gWHDudUrWMGA0+NAoaHD+kPV++brae/sMWe+99+Sg7mg/kzXeQri+8zlhOAb59m4k/KgSXIGwImCvVTvk+xoHSr8qGuM1i3T+6q/OeRDB41MRWPVIIsEnnTTn1l/4hflzfW2arFkOyEZe9StfmZMrb1NiXIwdGbIQkKX+sF6eLkw7JWvWhptFMEK6Ks5ZFeL/yzxrRMsycU3eOi8cuWolQ9ZCw7/5m/PwtZDElKzlbhVeMQwQH4J284CW6GcAIMUf/uHtk7Vwhb3JZQtfMxjgJMKArHn8wiIMmEWy/q3fmu+fwYPM5fBFCXjMcGHswI9R4YPgA9FTD4wUqQlh/JD1Qf16O/r3FbI++hjnCnME9jNZ27/op/TvO985Lxzm9PVeaCTuOR6x723RaDVUar2QtXSwCKuCYN/dz3zmPOrseOSMXzmMyNrCH9Kkqs3XkrVcKEJEItOFTG1YDlYoWPW33LPHnFwI2u8qslkciEhRGCLzekSEbPwurI4sEbDXCY87XmihL6Tl/JbQOk+8WxoqurVuySE7r2uyRpAwD72HwF0fmQrnI1PEL7zMaHAsK8d9+tuehSjkwBF4XwjX8wh3ikmvcndNi2GBcOXwnVvxl/XPs5kp84Kzvrw5esL7m+P17s1e7VmKwOsV5HUSd14kzlCCldfDx+t8KODqHn0whPe9ZnEvh7+j+etERyBkfaJ/Ao7d/e93soaU71vf3d/2bYdzge9x38scUN/lNEGkdq1eAY6YPWfhUN66vx3TO4vUe3Uuka7tr/dYFMyO3Wc1VwoCew6BkPWee0sO7IYOAllv9s15+csPVYVv9pgjve7/A4LtDFX/V0x6AAAAAElFTkSuQmCC">
          <a:extLst>
            <a:ext uri="{FF2B5EF4-FFF2-40B4-BE49-F238E27FC236}">
              <a16:creationId xmlns:a16="http://schemas.microsoft.com/office/drawing/2014/main" id="{3C4BC1C3-4810-4D29-8F91-33527FBDB1DC}"/>
            </a:ext>
          </a:extLst>
        </xdr:cNvPr>
        <xdr:cNvSpPr/>
      </xdr:nvSpPr>
      <xdr:spPr>
        <a:xfrm>
          <a:off x="10871200" y="122847100"/>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889698</xdr:colOff>
      <xdr:row>1221</xdr:row>
      <xdr:rowOff>62802</xdr:rowOff>
    </xdr:from>
    <xdr:ext cx="512884" cy="264560"/>
    <xdr:sp macro="" textlink="">
      <xdr:nvSpPr>
        <xdr:cNvPr id="10" name="TextBox 9">
          <a:extLst>
            <a:ext uri="{FF2B5EF4-FFF2-40B4-BE49-F238E27FC236}">
              <a16:creationId xmlns:a16="http://schemas.microsoft.com/office/drawing/2014/main" id="{09F4D985-20CA-45D5-A75C-508D6DEAD603}"/>
            </a:ext>
          </a:extLst>
        </xdr:cNvPr>
        <xdr:cNvSpPr txBox="1"/>
      </xdr:nvSpPr>
      <xdr:spPr>
        <a:xfrm>
          <a:off x="1924748" y="274154202"/>
          <a:ext cx="5128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32386</xdr:colOff>
      <xdr:row>1216</xdr:row>
      <xdr:rowOff>42606</xdr:rowOff>
    </xdr:from>
    <xdr:to>
      <xdr:col>2</xdr:col>
      <xdr:colOff>280147</xdr:colOff>
      <xdr:row>1217</xdr:row>
      <xdr:rowOff>78441</xdr:rowOff>
    </xdr:to>
    <xdr:sp macro="" textlink="">
      <xdr:nvSpPr>
        <xdr:cNvPr id="11" name="Arrow: Down 10">
          <a:extLst>
            <a:ext uri="{FF2B5EF4-FFF2-40B4-BE49-F238E27FC236}">
              <a16:creationId xmlns:a16="http://schemas.microsoft.com/office/drawing/2014/main" id="{38928F69-9299-40AB-9AE8-C02D0AD850AE}"/>
            </a:ext>
          </a:extLst>
        </xdr:cNvPr>
        <xdr:cNvSpPr/>
      </xdr:nvSpPr>
      <xdr:spPr>
        <a:xfrm>
          <a:off x="692786" y="273149756"/>
          <a:ext cx="247761" cy="232685"/>
        </a:xfrm>
        <a:prstGeom prst="down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67236</xdr:colOff>
      <xdr:row>1282</xdr:row>
      <xdr:rowOff>195218</xdr:rowOff>
    </xdr:from>
    <xdr:to>
      <xdr:col>2</xdr:col>
      <xdr:colOff>314997</xdr:colOff>
      <xdr:row>1284</xdr:row>
      <xdr:rowOff>30527</xdr:rowOff>
    </xdr:to>
    <xdr:sp macro="" textlink="">
      <xdr:nvSpPr>
        <xdr:cNvPr id="12" name="Arrow: Down 11">
          <a:extLst>
            <a:ext uri="{FF2B5EF4-FFF2-40B4-BE49-F238E27FC236}">
              <a16:creationId xmlns:a16="http://schemas.microsoft.com/office/drawing/2014/main" id="{7320CD77-DB69-420F-8134-EA7F2F3AD150}"/>
            </a:ext>
          </a:extLst>
        </xdr:cNvPr>
        <xdr:cNvSpPr/>
      </xdr:nvSpPr>
      <xdr:spPr>
        <a:xfrm>
          <a:off x="727636" y="286427818"/>
          <a:ext cx="247761" cy="229009"/>
        </a:xfrm>
        <a:prstGeom prst="down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0</xdr:colOff>
      <xdr:row>904</xdr:row>
      <xdr:rowOff>0</xdr:rowOff>
    </xdr:from>
    <xdr:to>
      <xdr:col>9</xdr:col>
      <xdr:colOff>304800</xdr:colOff>
      <xdr:row>905</xdr:row>
      <xdr:rowOff>104774</xdr:rowOff>
    </xdr:to>
    <xdr:sp macro="" textlink="">
      <xdr:nvSpPr>
        <xdr:cNvPr id="13" name="AutoShape 6"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439A1DAC-630C-40E0-8141-58660A7FF59E}"/>
            </a:ext>
          </a:extLst>
        </xdr:cNvPr>
        <xdr:cNvSpPr>
          <a:spLocks noChangeAspect="1" noChangeArrowheads="1"/>
        </xdr:cNvSpPr>
      </xdr:nvSpPr>
      <xdr:spPr>
        <a:xfrm>
          <a:off x="9512300" y="202584050"/>
          <a:ext cx="304800" cy="3016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904</xdr:row>
      <xdr:rowOff>0</xdr:rowOff>
    </xdr:from>
    <xdr:to>
      <xdr:col>9</xdr:col>
      <xdr:colOff>304800</xdr:colOff>
      <xdr:row>905</xdr:row>
      <xdr:rowOff>104774</xdr:rowOff>
    </xdr:to>
    <xdr:sp macro="" textlink="">
      <xdr:nvSpPr>
        <xdr:cNvPr id="14" name="AutoShape 8"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D94D25F7-2D99-4251-84A4-21FE1B4DF793}"/>
            </a:ext>
          </a:extLst>
        </xdr:cNvPr>
        <xdr:cNvSpPr>
          <a:spLocks noChangeAspect="1" noChangeArrowheads="1"/>
        </xdr:cNvSpPr>
      </xdr:nvSpPr>
      <xdr:spPr>
        <a:xfrm>
          <a:off x="9512300" y="202584050"/>
          <a:ext cx="304800" cy="3016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904</xdr:row>
      <xdr:rowOff>0</xdr:rowOff>
    </xdr:from>
    <xdr:to>
      <xdr:col>9</xdr:col>
      <xdr:colOff>304800</xdr:colOff>
      <xdr:row>905</xdr:row>
      <xdr:rowOff>104774</xdr:rowOff>
    </xdr:to>
    <xdr:sp macro="" textlink="">
      <xdr:nvSpPr>
        <xdr:cNvPr id="15" name="AutoShape 9"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F369440B-BB3A-4D7F-BDAC-DA014F3C3773}"/>
            </a:ext>
          </a:extLst>
        </xdr:cNvPr>
        <xdr:cNvSpPr>
          <a:spLocks noChangeAspect="1" noChangeArrowheads="1"/>
        </xdr:cNvSpPr>
      </xdr:nvSpPr>
      <xdr:spPr>
        <a:xfrm>
          <a:off x="9512300" y="202584050"/>
          <a:ext cx="304800" cy="30162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107022</xdr:colOff>
      <xdr:row>896</xdr:row>
      <xdr:rowOff>746847</xdr:rowOff>
    </xdr:from>
    <xdr:ext cx="8757723" cy="4225225"/>
    <xdr:pic>
      <xdr:nvPicPr>
        <xdr:cNvPr id="16" name="image3.png" title="Image">
          <a:extLst>
            <a:ext uri="{FF2B5EF4-FFF2-40B4-BE49-F238E27FC236}">
              <a16:creationId xmlns:a16="http://schemas.microsoft.com/office/drawing/2014/main" id="{A783FDCF-4F13-4381-A3BB-A115BBAEF06B}"/>
            </a:ext>
          </a:extLst>
        </xdr:cNvPr>
        <xdr:cNvPicPr preferRelativeResize="0"/>
      </xdr:nvPicPr>
      <xdr:blipFill>
        <a:blip xmlns:r="http://schemas.openxmlformats.org/officeDocument/2006/relationships" r:embed="rId5" cstate="print"/>
        <a:srcRect l="2192" t="2026"/>
        <a:stretch>
          <a:fillRect/>
        </a:stretch>
      </xdr:blipFill>
      <xdr:spPr>
        <a:xfrm>
          <a:off x="9619322" y="201000447"/>
          <a:ext cx="8757723" cy="4225225"/>
        </a:xfrm>
        <a:prstGeom prst="rect">
          <a:avLst/>
        </a:prstGeom>
        <a:noFill/>
      </xdr:spPr>
    </xdr:pic>
    <xdr:clientData fLocksWithSheet="0"/>
  </xdr:oneCellAnchor>
  <xdr:oneCellAnchor>
    <xdr:from>
      <xdr:col>9</xdr:col>
      <xdr:colOff>0</xdr:colOff>
      <xdr:row>932</xdr:row>
      <xdr:rowOff>0</xdr:rowOff>
    </xdr:from>
    <xdr:ext cx="304800" cy="299604"/>
    <xdr:sp macro="" textlink="">
      <xdr:nvSpPr>
        <xdr:cNvPr id="17" name="AutoShape 6"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2600FBD9-B4F1-460B-BE9B-B9DEF432CD7F}"/>
            </a:ext>
          </a:extLst>
        </xdr:cNvPr>
        <xdr:cNvSpPr>
          <a:spLocks noChangeAspect="1" noChangeArrowheads="1"/>
        </xdr:cNvSpPr>
      </xdr:nvSpPr>
      <xdr:spPr>
        <a:xfrm>
          <a:off x="9512300" y="210813650"/>
          <a:ext cx="304800" cy="2996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932</xdr:row>
      <xdr:rowOff>0</xdr:rowOff>
    </xdr:from>
    <xdr:ext cx="304800" cy="299604"/>
    <xdr:sp macro="" textlink="">
      <xdr:nvSpPr>
        <xdr:cNvPr id="18" name="AutoShape 8"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9976F7BE-7F0E-416C-81DD-85922365756E}"/>
            </a:ext>
          </a:extLst>
        </xdr:cNvPr>
        <xdr:cNvSpPr>
          <a:spLocks noChangeAspect="1" noChangeArrowheads="1"/>
        </xdr:cNvSpPr>
      </xdr:nvSpPr>
      <xdr:spPr>
        <a:xfrm>
          <a:off x="9512300" y="210813650"/>
          <a:ext cx="304800" cy="2996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932</xdr:row>
      <xdr:rowOff>0</xdr:rowOff>
    </xdr:from>
    <xdr:ext cx="304800" cy="299604"/>
    <xdr:sp macro="" textlink="">
      <xdr:nvSpPr>
        <xdr:cNvPr id="19" name="AutoShape 9" descr="data:image/png;base64,iVBORw0KGgoAAAANSUhEUgAAAzcAAAF8CAYAAADy0UVcAAAAAXNSR0IArs4c6QAAIABJREFUeF7snXdAzuv7+F8NDZXK3jOE7D2TaFllhGxF2SIzIw2FKAmJSIiUlGgrWigjlS1kj9DePc/vVxzjrA/O+ZyP4/s8/8k9r+se1+u6r/t+iwmFQiE/wa+iG69evaJOnTo/QW9EXfhfS6CkpISCggKUlJT+10354evPy8tDVlYWCQmJH76t/4sGvn79murVq/+U8snJyUFGRgYpKan/hWj/63W+fPmS2rVrIyYm9l+v65+u4M2bN1SrVo0qVar801X/1+vLz89HXFy8cl362X6lpaUUFhZW6u5n/L179w5lZeWfsWtUzLkaNWr8lH3LzMys7NuPslaKieDmpxxnok79RQmI4ObrBSiCmz+XlQhuvn4s/WgpRXDzo2nk69ojgpuvk9OPmEoENz+iVv5zm0Rw859l9F0pRCc33yU2UaY/kIAIbr5+aIjgRgQ3opObr58vP0pK0cnNj6KJb2uH6OTm2+T1I6UWndz8c9oQndz8c7IW1fQvkoAIbr5eWSK4EcGNCG6+fr78KClFcPOjaOLb2iGCm2+T14+UWgQ3/5w2RHDzz8laVNO/SAIiuPl6ZYngRgQ3Irj5+vnyo6QUwc2Poolva4cIbr5NXj9SahHc/HPaEMHNPydrUU3/IgmI4ObrlSWCGxHciODm6+fLj5JSBDc/iia+rR0iuPk2ef1IqUVw889pQwQ3/5ysRTX9iyQggpuvV5YIbkRwI4Kbr58vP0pKEdz8KJr4tnaI4Obb5PUjpRbBzT+nDRHc/HOyFtX0L5KACG6+XlkVcFO1atXKp1dFv99KQPRa2r93VIheS/t36k70Wtq/U28VrRa9lvbv1N0P91pabm7uT/Odm9zc3J/27fd/53D/97a6wjtWAThycnL/3k78Qy0vKiqq/M6JCG5+X+DZ2dnIy8v/lN+5qfgWVIXuJSUl/6HR9s9Wk5WVhaKi4g/z7Ya/s/cV+2XFd2B+Rt1VrEkV69HPeKJYXl5OcXFxpUPpZ/xVgOnPuu9WzDkFBYWfUW1UfPOsom8/zHduioqKfgq4qRgtb9++rfxYnugnksDfIYGKSfqTfOP27xCHqIzvlIBoHH2n4H6AbD+z7n7mvv0AQ0fUBJEEfiOBn3nO/Wh9E4WliSagSAIiCYgkIJKASAIiCYgkIJKASAIiCfwUEhDBzU+hRlEnRBIQSUAkAZEERBIQSUAkAZEERBIQSUAEN185BoQCAULEEBcX+8ocomSfJCCkXCBE4v/0hXMBj25fRVCrA02rV/mOwSGkvFyIhMR/59K+oLwcMQkJ/srorogFFxeXQOyvFPIdkvmeLOXZj0h5LkCtdVOq/AvaW6mff4ls/1wfFeNYgPhfHGvfo/PvzSMQlIOYOOI/8MCu3J/ExP63bRR+WOd/vUZV/F3431n/K3QjJvYjrzl/33gXCgUIhYjuNn7vRBbl+z8lgZ8ebsoLc8ktl0RRXvYvGW6hO2fj/kIDf2vD7x4gpcV5FJdLIV9V6g/LKM3PIbeolCrSVVGQl/2YTlBSRE5uPkIJSZSVFD/lF5SRn51LkUCIvKIy0pK/b6kJS4vJzcmjTFwcJWVlPprIwnIKs3PILxciL6+EjPQn47k8P5eswuLKtlRT+P7Li+W3jmHgfIN9LlbU/Kzr5aXv+1QBPlSAo4QMSspy79smKCc/O5tCgRCFakpIV5H4brkX52dTJlEVOZnvgYrvrvaLjOV5dzHsNorJ4efRbyz/zYUK7p1Cfak/3gf30ejbs/9pfYLid7gYa6HiFMOwWp/G3Lc0UlDwHE3NoTj6x9O13u+VIaQoL5diKubip7FUkptNbkkZ0jJyyMvJVFZZUpRHUakE1RS+ry3/ud0CIiwH41o2g2MOk5D+ZrgRUpCbjZi0ArJS3z8u/3M7P6XYYKRHfbOdTBvQ9FuyfUgrIDcnh5LSMoRCscoLnwrVlZH6YKyXFeSSXVhClSqyKFSr+nGdFJYXk52Vh0BcovJSvcTf4NgRvrmFhv5UtvnF0bHO981HQVkR2bllKCrJfZ8xLxS+l0d5OXKKishI/IkOy4tZPakvilOPsVSn+ZeyFwrIy8uliqwC0pL/HafD1ym7lKNLDUlsb4XjlI6f1vavy/y3pXp+aT/jVz3jRLglSmXF5BaUoqAgj3iaBz0cn3HKbQ21/84pXZqJ8aSJDFrmzcSuNf62fvydBRVnXqOj9jwCQyNpXUv6LxWd6m+HVYA03l4W/LWS/kIzhAIK8nIQl1FE5gfxCgkrx1oZCtXk/tDGExYXkJ1XiFCiCkpK1T6lE5aRl5VDsVCs0s6Q+sx+qtibckrKkJWRQ+7D3vRbyZVTkJVTaafIyykh/Zn9VGHL5RSWICUth7zCJ/uzor3Z2XkIP6yrP4vDXFBaSHaRsHJ//xu2ir8wSN9n/bnhpjSHSQNa4XenM+ev+9G57ve/fOXvMIYtT/SId53x7UIXCrkc6IDJUmfqDdpO8O7fAyQhqcesmb7KA4V6TXie8YpxtvtYN6Uv+Y8vYjZ2EqnUQPbVG2Q7TebE0dUoSxWw3Ww0285moCqvQHqpIu6njtG/0ZePKpRk3WH+6OGcy1agVm4+xQ00OXHamQayQg6tmILN8URa16rDzbcCnAICGaZah1vhbhiZrUO5mRoPbjxkzFo37GYP4XvMkd3G/bg/YAsOU3t+sfikBFgxfu4xGqk1QCAQolhrIvsOTaOaWC5u8w3ZGH4fNSUl0ouq4XriKINa1Px22QNbjFqR2MkVn2Va35X/78j0ONKRcTvfEelrR9XPbKknSYE4+r3GeaPJnwPIzWOozDjImbAgmlX7O1r0eRkCbgXbY+jXhESPSch8h7H/6NwWhu5T5oLHDOR+B7Bz0qMZM2gE91Qncz9sZ2XlcR5LmOXgR926jUlPf42550nmabXC38YAu5TeJPsu+0sOiT+SkrAkD4PO3TE6HI1hp7rfLMyK/NP6NKLRqovYjmr1zfm/J0Py4ZUsj65F6N7F3yGTewxvq0VWrVbISJUD9XA4sZeu8lLcDHVhyoLNyNZvQUZaOhM2emFlrEHpkxQWG44nBiWUnr9Eocc49h/YQKP3/PndP+HrFFr11OVw3EN61P+e1QRexWyk6eSr3Ew5SBPFbyyj5C2+6+exxO8KTZUVyZRvjLvHIfo1+QNzsbyI2VpNqTH3HLajWn/Z79yHDB+iwZCNF1mgXvu7ZfLXM5ayx7g/sV1d2D+nB38nbgsFRRxcaI7SDEtGdG74p019Er8NDbPHJKQ6Uhqzix6L/Lh6/gy10pypvzqDS35O1P+KLVhQ9gDrhV6Mt12BqvKfmPGlLxk5eDC6G6Iw61vrr4vxv1BC0askarYfz4Vr11Gr+9cmz+WDFizwluFMiC1/raS/0NGcDMxGdKP2modYa36FMn9TlYDr4R7svqXK1gX9+atvLObdCmH63AVcy1HnUtJefm9rLHx1CUMtA55WbQTPM2moYcKRfcuQo4iNk4ay/9pLGktK8UyyLl5nAuhSTYrYvSsxczhEgwbNuXbzCasOnmaetuqv5pYA93mj2RJ1g6ZyitwvkMb9TCQadaVJPrGRacu2o9RAhfS0+5i4+LDSqDcFD5NYMHYSl6RrUfXxU2przMBjzxrqfeMy9hc0+PdlFd5m8ZwAFjiY01RRiicnV9HS/h0PI3dR53uGxt/Xsp8fbnKfxdJGy5ke1VLpaOHPulFq3y2+ExsNcXyiS/z26d9cxmXvDWw+m02b8tskSE4gbPe435RRXvQSzVaqjHCPYba6CukXjzB8ylEu3Qvh+Mxe+NQwJcDWiPKcRwzv0Yu5Qbfo/sgDPZskjp86gIqcOHst9YisMgffzRO+gJDA5Zqsez6EqJ3zqVLyFpPBnehmd55pCjFozvFi26kA+tSUIsh1Gk6pGoRv12G+tiYKKyNw0G7Im/QgBk04hN9ZXzrU+FafUQ5a3Q1Ydcyfgc0+O3ECrh5bgfOlFuy2ngxUnN5UQUZGkvTQLWgti+DUmWM0l5PEY60+oWVGHHee9l1wVVyQQ7lEVapK/9Wl9JtV/z6DsBiHWXpk9t+M45QuXxRyI2ATBrYPuX3pvcH/Rz/BzWO0MjlEZNhJmv7NJzcVdRa9TqF7t9n4XolGtcYfnyz+XvuE5Xl4zBxErkkgi/rU+x3juwSHaeNIl5Ah7EE1HkXtpiz7Fv276jFpbwQzetQj/bIn/aZfIO2qB3WqlFAkrIKC7Le142u1k3vjKG1nXyApeAt15b7HFKw4uanwXiogU+Wf8dgLMhPQN3Rgjf9Juit9bU9/SZfOOM1FWHj70l6RytMbaVlpKH7O5P59qbf4ONYjVcl7fpaeWtsIiPHnzjZDNj7uT9Te+UiUvMNET5eOy31YMbLNt1b+RfoKuFHtPZSDsffp8Z07eoXnM6ewHIXv8BDmPUpEq5shLtev0q6qFA9SzlLYaAhdG/7BWCsvYo52c2rMi8ZG/1dwIxSQn5+HpEzFyc03ewT+khy/zFyKh4k6sV224TGn+98MN4UsUVGh3s4zLNVR/dM2P0/YjrrZIxJSNlO9rJi8wvcnN2KXnWm45hFJvlup9zVGT9lV1FssYsOFUPr+7inwh2ZUwI2WFnp2kZj2+THhpvhVEjU6GHHhWipqdf4aklw5tJSFh6WJ+F/CTcXJTX7e+7Xvu8a8gJjdc5ke05dbhyd9137+cRDmJjFpwiba92+J35GnRCUf4NePLAvLCtg9riU+7V0JXKpNWdYtxuoaMc83kS6ptmg7P8fnuCutqpbhbmlASLU1nJiryHDNKYx0j2Bm1xo8SXan7+zbXI7fTkO5TzZEZowL/eeF4hZ0iJ41JQhwNWHDdX0uuvXDqK8GautPsWpIM7IenabHCG8i4ry5aK2He+EoQl1mIF70GiPNoWg6BLJAu8XfuB78U0Wdp02jDRy57Eun2jIIKiJxioUoysn+EKHpP/HJjYCrbuOwFSxnpZg7SxKaEbR/JdUqxmbmOQbM2M/QzgqcDIhBst4gdh3YSNs6UlTE4u9wWknQhVe8vnMfQc0mLHbxRjF+IY4PdYjdOg5/B1NOvtVll8NokkPssfOIhDJJZBrqs91xDg0Uv9wo896+RkxGifANE9n1ajTh7r+Fm8LXwTTuso+LKYdprixNaeZtxvTqy9Kkxzj16c6wvaeZ3rcJCEoJmN2E0D6BaFzfxGGBAYGORpUG5buztgy2f0HQaVfqf5yDRczp3I2mtsdYNrRtJUQk2vXEtnwNC6oGY5PciuhD5pWhDIVp3vQ2PonXvmlMG7GV0Hvh1K4oWFDItD4d6OeagEm3XzaRHHbNsyA6M+djGESZuAJzNzig0fSzEIF0T+obJ3Pp1Fbqy39pCCYfW4nDxYbsWj0BSYVqKFR+K0PIiXWTcM3UInLH1Mp+ZUY7MNT+Hv4he2nwiy1a/ITJRjNpOWAQcd6HeVTSGBf3pVw4uoXA0Od0H7OYjavGoSgNPlb6nKtlzk7TTuxZOZHbanN4vMuaG7kSGK/ZyjzDnkiKlZMc4876LSfIefWaR+9KURuxkOMO4wjaY4nbqVu8e/yErDJlei9zZ49qFOMC5PGym4GceDlhtuM5obQQ13n9fuONKnlzjSEas7EJO8uAep/GxrtrfsxasI7gtHzUB3RFZ8lOxiiexXLjbp5lSVKUV5+tB3fQtZEcgpu+qBi5YGzQlpMhF5BS0ma7+1o6NZLnSZIXoxzTiDuyCSlxCN08h2PvNPHYMBphwkZ0jlWhZ148IRfv0ayvKTu2zqH2r6IMBaXvMG3ehj6+F5neq8nH1VH4NIq+wzexye8IfRoUYWs8DfGJO7DUVfkIMSWZ1+jbbQyel67T7vO4ww+lPInegvGuIuyNpRjpcJfH0e68u7GXntOTiY3dTh0pMUqyn9K9cXuc0h4ic84e+8QWBDlP5VaMM0udTlNaLIZ0dXW2bl9FixpSFMY5on+0lF7iVwmMvUNTzaksNKiJi407j9/UYZnTFgz7ferHp+W+lGMzOxHcbS97ZvX+8r5NTjKDJ9gxpH8zTvmFUVyjB84bJ+PttI7YiyWMMrdhuckgZChi3ZT+yE/0YekgSZaazqSa+kRiXbbzQlCLVS4ujBuoglhZIdEB9jjsT6TgyWNelcswwNgGN7NOeG5cxPFLWTy//5BSuWZMtPdg0psN2GZPYcesXkhSwE7jEeRP8sBCowliZGOuqUvNhV5YjlD52J2cW6HomjjheOI0vWtJsnq0BgpGW1k+uvNnO1w6YwbNZ/4+bzrUlERZ/j0dF74Ipc8gN45e8KN15cIIo9vUYcyBOC6unEwtiyNY6jar/LufhQbH5OdwzGrsp3Jv+GC47QF9WqTj7ZdMYZVWeBx2o0dTBcqLcwjfZcv248kglkNP/WUsmm9AtazUSrg5FHufZu8SmLfchSnrdqHTqRrx+6xx9L5MGQWoDZrB8lXTUS7PRFd7GJ3aDyAqLp55dscY2TGJXhOiiQ7egvBhIKs3uvI0W4Z3z6vjeMiV/q2V/3B3z318Be2euozYdZJFej0+hdYIy7h7dj9r1/iQW7WUuk00Wb15OU0VhMzVa8WbdtOQfBzJzbtVmLrOlXn67REvf8P8KUZ0XniYaW3y6KsxHMPpowg5eJJscVWs3ZzR7lgHyrI44b4G99O3ePfkMe/KaqC+0p0dejJstl/K2ZRsnt99iGS9lljv9qZNjh+WTofJKZSmsKQdrl4OqNX9lVNJ+JZdy+exK/IuDTr3QOXZBfJHuLFndndeJB/BcrM7L3KkyM+qz5aD2+nRVJ7CW6cxtIpnWI9M9vleo0SiBU4ergxsXZ2C55dYt96ClOdy5L+ugqn1JiZrNCFsy1hmWUciq9YdlW46uNsvp77CL+t4GReObmOxsw9ChVqM0miJ+1EpzqdsQu52MAPNDxEc4E2N1F/gZjOPQrZhue8hvkHbyE32ZOVmLzJzJSkrbYnzga20r1nOunkjcfFORrV3d5oNmsuBWa1wsDcn5lY5ZVnijLHYzNyR7eAD3Ay1O8OkFi+ZN8UYreXHGd2l4P0enpSHMLsAvYUuzB/dCenyV9jMn05h94lcc9pKhlABi62uTNZuh8RnbCrMf8r+ncs5HP0KsbxCehnZYWncH1mJAtxWTia1sSGZ+xy5kVMFE7ttmI3ugbRYCdfiPbG096XwzSseZgnpPGoBh5d1pkab8Vy8lkr1jAgWrDvIEpcDdJa/yop1q7nxQpqSbDlm223FsF/jLx0B5YWc3+OAiWswVRrWZ2hzSWIeqBEZsh4ZoZDYvVY4HT5PqXgJrfoZsdpqFsqC10waa4SKuhaJXod5VlIfu0Me6HasVxkqdCfejzWrNpNRXEpJo3ZsWu3A4I4NyH8UR5/xVszSb8lR/zgE9QeyfpkWga5biL2Qz/h1LiyY0Juqgkw2zx+H2OSTWPTMZ4bRZBr10ybJ8yBPiutg5+WBXtcGiBU+58ielewJfYZkXjbdxtpiaTaElzE7mWi+hbTcagzo1AqLjW70VH6Bi/U6jl9Ip1RMwPilTiwaOYCq4lk4LhjD6ybTiD3hzNBpu7Cc3fOzpTyXN/lVyLniyajF8cQkH/wN3JTmP0K7emeWpd1Bp2WFXSLgwMwOxAz0RfOMKSEtluJlObxyL3saZkcfu1zC7BphuCKN2PhdVLpjy7Lo3aI7tueuovnRsyggbN1otmSNJGTbtEqHwpsrR1CbEEBM0HjGjPYhKOkIjT+EQei2qI/p8XMEzzai/cYA5g9oUNkPT9NeRKmsxmvpsI/9yn4Ug/UKJ269zaeqck/cjthQPTeDHc4WBFzMQZBTioaJPSsm9aQKudjOm8hbVX0e+e7g6jNpLHetozjZF88jqdTpMI7dOxZTTx5e3Qpi7UZn7mdWIe+lAg4Hd9O/dfUvnJHlb9JYb2vB+XtilGZLMHHlVmbqtoKSFxhPnoZSg95Eno1k/uoDXDsxg30Bt+jcpzM9xqzEst8j+ixNJd53IxlBq1kdJUafkkQCr2TQRnMZztZTEKYHMs7ciwOnAmgoK0bJo3BGLjzMJnc38s9vYPWuOCTLy6muMobNDnNo8GFf+h5c+2nhRlD8gtldezL+9A0G1riNevdFWAadQlulGrwMp0F7QwxW7WbR0Db4b5jNEbmVJLkOI2X3VMzj1fDbYcrjsK1MO1qNc96LObvVEKeXg1nb4TLzPSQ4E7GN+hIFXIyIQFG1P43rCljRpzNKq0KwHve5YfFJLX6Whri//n24yb+1l7pT07h7Zgt15SUg5zHTtNUY7pmO40htlvmGY9C+BgjLuGg/EHsJKzTvbya+5TKOWmhWViJM9aLt/CBOBvnS8qML4x0jOg5gxM4QTPq+Dyt45DWRsZe0Ma8WzP4ifcIcx79v5KMzqI21xtXWlKnLg8i4cuT93wUlzB+mSr2F51il3ehDh4pJvXCJ1wXFn407SVp37U4DxV8Cq4W8OGrMsLPdiHKd8x4sP/vdDHFkzJIDKCrJI5SQZsSMrVhM7YTXkpH41pxHqKV2ZeqylIN0XRjAsaDjtP7l1KIoA81efRD0mM+OVQac2ziB+UceYrUrCEPVPGaNXcBk7ziMe9TCY1EfQuuuw9eiB85mmthdacPJ/VZUfRzAyIXhnL4STGvJt3RpqI5dTCT9lJ4yZ5IFBnvOoVfiSdcpCQSe2YJE8nEmLzlN2KXjSMXYoOVTjWDXhShIlHHCQhPv6mvwXjX4N96oe/7mGB5vQMIhiy9DvoTlXDvhiKH9A67Gb0NKSponsb48kexIpy51OOc+H5MzA3jgb4z0HX8a9J+J/qq9WOi3xcvcgGttbfHfMJqMuB30XpNMRuQeKq6AnFgzln2Zwzm5awqcW43CSG827PNiaJtyLCfOQGV9FLbDvzT8heUl7J9Yj7QRYTgadfsibt/HXIf95Qas7veSeQffcSHI6YuwiKzrp2ijv5KrqdeoK/Ork4zyAqYM0mDE1hO0f32AwRsf8Dh6Ny+irOm+XZI7vpbISkJ5/msGtGnA4rDnVI+1xOJcay4fMOVq8FEkWurQook420zHclnVmuOWAymMtqK2wUGsDnii1yAbo+GjedRmEn7O68g9Y4/5MSFp53fz6xB/QdYderTXZFPMTQY1+9URWHYiKm216TPXCctxnXBfOAKXZAn2HjxFL4lLjJzihntsJAPqi7NArwXys6LZoCuF8XANrihP4NAGUzLPOTJpbwmXE3Yj8yieJh1XE3U7gPpvY5lsthdrvwBqJpgzck9dzhybw4PArSw/WsKZIBsy9hqxInsOR5eoI0keG4f3JmdOADa6LSr14W7an5jmqzm0/P28+DA5CXIYz/r4fgQvFzBoy0uivDdQW/bzk4SHGKobcK+kaiX81m6kx969K6iacYj2ZjEkhu2lVtX36Y371aPzGn8SN5jTxzEUsw/HRNFbRmHzaAhR22Z/qjplP/U01zPFxhXTwW04ZWnIIbkpROxdyH2/1UzZ84ygIy7UFj5jss4oejsEsaRT/nu4iQrASn8Cg6yPsHhYZ55EudLN/Azhpw/QUuYFSyZPQWrmQZyHKdGhhQr1hq9n60I96tRujORbf+rphpB+aT9l109zv6w1PXo1IMljDnOje3HJZ+5v9P6x0cJSrkW4MMrYgVpt+rJ0vSPDeqpQ/CCGjv0msDviKgObirNn+VSOK80kylqH+fodiCjsz96tyxC7d4IRZie5/TSOmmRiqKdF3zVhzOuQS5Nm7eg404lNJoO56r0W27PNuHHWnpwkFzQWXcfn1CaEyccZN+8k8ddOcGmjNpuzxuO1dhTJh61YeqkLcW5TuH/uOLlKXejQvhq+y8ayX2YpkQ66n5wmQgF3jkxF52BNvLcspMqTCKZMWY66dRjbZ3UnI9afJ5JqdO1ah3M7zVicpEPy4alw3Y+GfRZj5LATc92OnFo7mUNlGoQcWofUvWjCbykwWEeNB+FbMLK6Q+ylAyiVvWOhaifqOZ9ksY4a0pKfHh0pfRhKT71VmG07jEaDLHYtGYnfk+lcSd2IbJofqlN3cyUhojIsrdG6pxwyb4TF0gC2hQTRp44cd6OO8EahB2rtq3Nq80ys7huSus8QYVESmu2XYhV1gn71lZF6FkVIijS9NDrxKskbnYmHSHlyjmplL9HX0mbI6p3c2D4byeFubJnRG7GnFwm/UkjXgd0pfRxJx57rOXs3DrUaOSweO5DTRVocdzanOHUvw60fknDxAE0/88gLX6UQnvCMDgP6Ipl1hb7tJrPvZir9GonjMFMT1+QWBHjaIf8qEK1Z4ZxI8EdN4gED2uhiHZ9ID7lHzJ60nBGuwYyunUqNTpOJDHNmvYklBhuPMWtgC4qv+xPzrCk9+qtyw98Bo02PuZu8/wvH2Ktrx+mguYJ9YaE0l83EZvY47srNIDZ4LWVJ7nQ1j8br0C7aK7xm5fQJ5E89xp6R8qh37QxdzNixbDyZcc4M2SLJ86tbqfYqAW3dGQyy9mR6r7pcPbyBpccLCYk5TK0XZ6nWaijGTt4sHdqKjTOGc+xZLdzcDtBT9hKDhrty5GI4fRsUYGk0CHGzC9io56PTuwd5bYxxWzWR7Ivb0HQUIyNxK7UK04mISaf9gP7Ild1mUJepWIWeY3h7BcJczZmX2IPLe4yQryKG8ywN/AT6HFg7GuGbVEbrzWbh8ThMeshjNaU/Hul98fNaQWPl2tSr+2X0R8W8Tj+zkzFLzv8u3BRnXUe1vg7+d27QuWGFUSTktNUQtlW1RSfRjPvabrjO7FW5PGQnedBsTjghS1WZfFiMO4FW75eNsnwGdmzIvKP3GdP+F8dJOYfmaXC83ipOWOpUJsu/F0YjHUsi3UwYY3+dlJDtyH/wZY7rXgtth0BOr7FgtFsYRh3eG2in1g9hZ9FEgu2nfVyiApaqc1ByOodWj+bJ0wwatVJD+sUlQi5k03VgT0oeRTGglzmhz66dZW8BAAAgAElEQVTTWqEY8zH9CcnqhbfHMjJPrER/fSgT1nqxbFgTNk0fQ9VF4biMU+FZ4knuFKnQvVdjUo4vZ9yBZtw4vQSFz8i+/H444beq0WtgB57G7mPorFPcyghFtvgpOn17U6hqipvVOKpXb0KNqhdo33YznrFedK6rRNZlVxrOvcbjs3vICFiMhkU4Tgc90WpSylTNERh4JLBokDLmAweisiWSOT3qEr9tFmsSVYjwMCEpJIQanbRpULOA5fojkJ7myZbJnb40Gr/hXz8t3DxO8KTnuCDC4rYgjyT7Zg/m8UgPPE37VsJNfd3tnIkMok11uOqzhjGbZEi7bMk525H4SZqxd4Uub27sodHs+zwO3UDczqlMdDyDokJnHt4+9ZnHt4SXV84Rfes1Cc5rKBjvyu7Fur8bGvAf4Wbade5GOr6Hm9zHTNN6DzebR2qz3DcCg/bVK+EmaeNAbHkPNwmtl3F0yQe4STtI27mBBJ7yo9VncDO84wD0d4Zg/AvcHJrMmItDMFc8jWexAWGbP8DN4yjUxlix3caMaSt+BTfDVak7/xyWOr/AzdeMMiEZXpOZkDiAsG2zUPiTCKB3aSE06zGKfRceku1pgk/N+YSuen9Hpiz1EN0W+HM0yB/Vz+Bm0EB95nrEM7qdLK9T3GhtLc5TH1NkJYrZYNCXnIleOIxp+wXcbDEZwuPx0TjrKFBedJ9xHQ2ZcfYcmnKv6dh6JiE3T9NM4TXTtPXp7RCLfp4T+q5VifZbiOBhFB101nP1xjkkvxpuBFgN7ECdNYHM1vzt0fONwM2MscngxiXXjwLNf3KV6JhbpKfFYL1HknsvXFC840tr06OcDfOngSyk7DdhUVgrTh5dRuafwI0wehXN99clxWMB1aoIObRgMEEN1uG9fMCXY1RQysHpdUgcFIrz1F/F7QsymT60BxE3GnM4KQz12l96kd+mBNJhzGoup6ZQ54vb+QLS3GZj8UqXU2v1eXjWEU2b+2Sc2cGLqPV0317lN3BjHvacGr/AzWHzSpm8SY3m7PVXXPTdQ5K0IdHeMyk4s5ZO++W57LkcBcksbLU0qGYbw4IeCrxJC8Bg+E4OPAjn/bnDp1/GRU96Lcng4bm1SH/urq3c3RJp0W8pPhFn6VZXwPkDFky5M4o7dv0R4w3GXQbTf38Y09QUvoCbaQb69N18jZkdoPD5ObT62LPzdjB174bQceRpbt/cgULZNfppmGPjE4FC8FTWPZlOkN1gnie4MWjFFW7H7OLef4Cb/XP7E9ZwJUdX6n3ZqYIXzBjRnMCohpx+coVe9f84brEs7zXrDbtzuvVuome9pNOsGJLC91DzAwxVws3q41y0X0zfz+Fm62hsMjSJ2jbnU93X9tFi2XniAvZQGT2U4UNtAx9iInwIXTKELZdzaVFdgQqX8cObl9Fae5rdY2ug2qU3xbmFTHC7jP349hVPSHB44XAWR76mTS0FxMTFeXL/Bs0n7iN0XQ86qnVi48nr6Kq+j8d7d8+benrv4abCs1fw6hpnwq/z/H48Gw+Lk3B7O3X+4/L0jsDdNpgt98F87zm08KSP+TG6q9SvcO6S++YBRY1ncSNoCXO0mlF3cQxrh7ak4EUaBq2GsuFVOl0l3n4BN01bd8f30lN6NarKkwQvhhsHEH3Tn7yQ1Uw5XJvwQwsoeBCFmsYa7t6L48Ti3lzrtg37KT25d86OTptleXnCHLkqYmQ9uEBU/APuxvngfV+duHDzj15poSCPVWrNqekcyxKtilA5AYdmqxPRfiv7PoSl5T29StTZm2TciMbRV5Ertx2pet2HtqbeXD4bSOWDjfd9aWbkReDJIDrUBqEgg6hjCWQ8v43z1ji8H0fSTpDP0tZtqesSioXulyGJF3fNZnlMCyKPWFQa5a8u76X/9NvEp2z+Em6ub6P2KGfKipU4dDYevdafjo1zHiYSnXCf2xeD2RHemBvXbZAtT0ZTdQk2safoV/9D2rKnxAfGceflYxxXeeDz7gZqZa8wGNSP83fzUJ2+m7P2Iz5pveQ1ScHR3MrNZ73JanakXUO7SRmLxulR1yKeFX1lKctPY0ibudhdDaNPjV+FjAnfkRISRcq7AraZLsA84TpG7RRwmKXNE71juI6ucBS+YpiKHjNPh6Epl0HvbnM4lx5Hdbl3TB0ygh7WIZio3KNmy8EolAuYd+Q8q4a1+9TG/LtEnrpE+oNUtu66SFTGGd778yt+AiJd5rIsrgeXjk2vdG6kHrFkrpcYESHrCJo1iMVx2bSoU3G/VowXj26iPNKDuE3dGdRXgzl7zmPYoRq5LxJo3ciSmDehZAdYM/sQJIbbva8i9zp9+4xh1r44RtdMps7AJTy6eZkaVSUI2WjMtoIxhK7XBUoZ0UyNib5RjOsg+QXcaGloMXV7HBM7V6PgbRJtG6wg5Plp2ijJQHkOaWGRpBYI2THPnEneZzAb1JxzuxcwK643qQcnIVGUil6bOaxLiqRPzff7ylbjLpytt4aTa/uxZnw/pBansabfH19K+XO4SUO1vi4n7tyg0we4CV6vhZOsDboVcKPjhqvJB7i5tI+ms0MJXdqGyd5i3An4BW4KGNixAXOP3mfsF3AzkOP1V3Ni1XtnU/69cBrprCLSzZjR9jdJDXH5CDfju9dmiH0AwWstGL07HKP279foU9ZD2FFoRIj9p+sOGeG2jJjtQe/ZK7CxMOVjwKXwNZdPneN65huc51pi9+ABujUFmI8fgqJxIFY69aDkLM00/IkLd6GBHARY6uEmWESQvVal07XwZRrRZ1J58vgqVo6ZXHq2l/q/Dq0ueUTsyfPcef4ARytvTr5JoWXxU7Q1hzJ1RxxGHT/sL4IE1Jpv4nDiETrWluVV4ie4eeAzhznnmnPlgEUlUO7Qb8tDfQ82TevD1eOL0d5eh8dnlrFSuylV5wVhp9+hwtLjxcVIYh7mErnDgQINKw6tH/4fV/I/SvBzwo2wBN/1Rrjcrk23D8f5+U9TSHzbmuiwnShnhlNfy4nwyNOo1RLnkvcqxm+rRtrFFTw8thz1lYF06ahC1sV7TD54klmDWhG0cRx2t1vS/64fwllHcJzcGfIyWKGvQ2L13nSuK8/daB8aTvdi12Ltb4ab4uzztGhqTVT6CVpVlyHv8SW0uo1k1/0HbOvZkR7OpzAb3AKhoADnfvV4sSwO9Wsb2fFcg1Nuxogh5PahhUz2kSP4pD01Pzpuy1jZpxNVl3izZnTFACrFd2JbAru7MU/mNMsianL2+KrKxfP5WSd0lt/k+NGJzFBfg9ejGCrfZhI+Y0SLwUwMjmOc6i+PFbxhqeZwAp68+RSWJqbIdr8A9NTqfxhvQh54TmTSlUGEOpn8KdwISt6g1bA9o/3jaJnogN3lLkQdNqs8Mr11eAnTvAWcOuX0qV9FGQwaOAIztxgMOyny+vY+2i3N4r6fOfJSRViP6EfR1ENsGN3mS7iZOYT04cHsHFWb8oK7jOk0EdNz0QxRzEVjgDq5Co1pWPASsXYG7N2znqrpx2mvs4Jm7VvB3ft0muGIo8VQis/a0P+AFGf2LEdRUkjISk08FFZx5FcnNyXP4+jYzxLfy9GoKf32fsb1E5sYu+ExN5K2V8rMf5EWaxOl0OzegpynaZxMaE/6Yyeq3fGtvHMTEXKy8kGBK3umszS6HSe9LciM20n35Yk8jvFEWgKCrSfg9lyXwF1TqICbZruVSD6wDGXpcjznDCasmQ2Hlvb7DdwcNq5DwoAQXKb3/PL/sm4wdui4ypAVK99TTOj65cMOb1JO0GnMOi6nXaO21KcTA2HeCwy6NORSoSrKymKUvsniXlYhXdX18XfWRWfkaYJT9tKoijgFr1Np12g4Phlp5J+wwCJWlcS9U3DU60yg0kC6N1Yi41I0uc0Xcebg9Eq46bC7CkkH16IsncNmnUGUrwxmhXptXqf4o2/gzuH00Pfj96O9UMC2ib15ODGALcOa/fZVqQq46WvOkdCz9GgoQeKRFRhd0uC2Y4Wz4hVTO2ujeTCMKW1/DTcj6W6TyNweMuQ/OYPWgK3svhVE81dJqPQzoqlaW+Tv36Hx2OU4rZtB5pkNdJ+6n959VXmbmoGBjQcWY7qQ7mHEvBfTOWmpQxWxIpwMepI5y//jyY3nvAEE11vOMcuhX6znxZk3MNLsy7XUMjYn38Ogw5+Z9mVc9jRjqE977hzrgV5Ha3ZeO0kHhYqtLwf1Bu2wCL3AxWVjEJ/hifXYCuNZiMvEniR3tGLfss/A6gPcxJ7YQ6UN+uAIDSadIjbYk4B5eiS2tMBxxntjruIZa4XqtVDIvUmbPnosXzKBrZ4P8T7lRfua4hxaMJz9cubsn6tWqZeK9HJKNVEUf0vH9p2xPp6Kfof34a6fw02i/VhWnSlCq3cril5dJyJFjQvXnfm66/1lHF81AqcsDXYMzkbHUZHYYxPen0qKiSGtUJ1acmKVd26qz43G1qA1+c9TGaE6AseXd+n8G7jpyqHzT1FvLs+juP2MmHWaszf8EE89TI9RVjRs1wrBnXQ6mWzB0XwoV91noLvlAj3aNubNtVfM9TuNUdc67Jg8AI9ndVFXa8Cb2/GkiU8hLngBvyCrUJDPus4tUdgY9eEejIBDZgOI6OBUCTe+C7SxvSSFZrfm5D5LIfJGT5KvOyBbATezDnP57EmqV3iU7/nQxsSPEwG+lEWsZvCSCAxG9oTcJ5yJyifgURhtyvNZ3LItjXaGsfhXd24u7ZmHRWRjInyWVRpOmVfc6Tvt7m/hJm0bja3uMF3xDueV9Djpal4p4wPT++D0oA7qHRvz9v5lYh5qcjPFCpmyKwxSXcaGuCD61KvKi2h7NMz86T24NzKFbwg/kULQ2xTaVMCNjg4thowi0v0ke5OT6FYRmBG3k6Ez3FAbooG8oIjAvaHsu3mFIY1LK+Gm5rwzrNZUprQiDFXNnI3JIfSq/glustJ8MRizjjrqmtSSLCN8ny/WiSmMa/sebu4P8sJ9YkVo6DP0WugzOyQU7ZrvGKE9mNfVWlEv5wlV2huy030d1d8mUavLJOxMenDwXFWOhe6mqbSAewdNGbL5LtrqHRC8zSAqvpjYh6HU+wxuonYsZEl0Jy77GVfOiZQjq5jnJV4JN6dm98dTyYIdc3u9ny9iEsgq16S61FsG9tHAZGcsk7rVIOdZDK0bWxP39jQ5QXaY7S8lIdL+/fqem0afPmOZvT8egxpXqT1gEXdvXKWBgiSRW03Z+EqbCIdRFSYxQ5t2Zpp/FGPVJL6Em4FDmLA1muk9a1LwOoE2ja2IeB5EnReRjB6xiFqautSWEueM13EW+kczU6MpZ3fNx/TiANI8JyBRnMbQdnNYGR/KgDrvQdZxRmdiG1oRuLoPayb0Q2iWhO2QP35F58/gpqzwJeNrt2TCpXuMbl2xKuSzYXAn3i0JRz3MlIPyszhqO6bSfrrmtYhxh+oT6lCXMdOjCb7mWbmOCEvv0LH2BHbfjKV33V/AXEjC1imsvd6HUI/ZlXD/IMqZ/nPucD56NGP7b+fgDX9aVhyV85ZedbpjGxtL8MyR1FtZ8fJihdtNwAb9zjwd4sSOuYM+W9NLefsknWMem7A5mEzghUSaPzqE7vitqAxSR5kCwr2CcX1wB61KuBmM7MRjbNCvKPM8LXt5EhG2k6aKYhxfrodHFQtO2g4m0sqQRSez0O7fhqK39wiIrE/yo93U+wg3Qp6GrmXgogjUB/egSv4rIoLuEZZ5iRaVcKPLJOdzTO724fRKEEe7Fls4ctGbDr+Gm2NzMYtoQLL3qopLnjiNaMuLsftwmNKboqeX6dB9DBHxxxg12RmvkwdoJf6YFUPUSVbVpX11GW5GnabumG14rftyr/sW0vkp4ab07XUMBhphHn0FzRrvjwuEbxLRUDdh5sFzTKyf9Idwc2j6IOJl+tNRRQG5Jq3R6DUQlYYKVDwosOW5HqcWNKNXr/FY+MYzvtlDBve3wO5sOKoST1k/cwRCbXfcfgU3pTlvefTsNaHOFnhn6bDXWptGzZsh8TAEPdPjbPF3p1PVIow6qVDbbDemGk1J8rFj7Zl63IrZxhnbYdje6si2VVPgQRh6Bk4EPUihzVt/Bkzex9qdrnSWe8HKaZOoP+84ziZt2WZuzJ0u69k5rSOJe6Yz47gsOzcsQPFNAiP0l7I17gZD5ZMYaGCF8ZY9aNbNwWnRJF5o7uLoku6smTCIh/0cWDu0BTcD1mIRWpu44O3U/3gBW0D2y1fkCyq+/vP+J0CcWrVqIfXZs6glcetR2QJXj6ylxhfPcJWSknQWoUw9pKuUcy3mOGZrggi7EkuLN6cYMNoJK4+9dK6WyWqTaShP2ceOBZqfDNLfwI0H7ZZmfzfc9K+SRL/+W5k6cyDIytGx+yD6dW3B9QNzWXlKjqH96iKu3IABvQag1roBJcm7aTQtCA+3TSjnXmb1wvk0mHqc/cs1P4WlCcu4steImVdHcXHn+N99GeZpwgF0Jx/ANcCJhjWbYqfXhXpLDmCu04Tg/StZ4FSDB4+d/xRucq4eobP2JvafOopi4U1sF89DrKcDp3ZO+mq4EZblY9WrGbJ251iu3eazOFwh2yf3JqGVBXNb3MRsVzpnz3pS87NTuMJHsbTqP4vY1DSaVvvsPwRlPEq/QWZuaeX3GZ5e9sbU4wnBHtaoNVdidK9+tJzvinHvWpw/sAzbu1pcOWpBsuccLGLbELdNh171u2NzMY3uNXLZYWVKQsl0og7N+A3cbNLRQLAy5E/hpvhpHOqDF7Lv/EXaKv3O4xK/gpuLR1Yw8bvh5hTyl3YyYmkKJmNaIVatJj17DqK7Wl38Fw/jeIkGPZtLItewJQN79kOliTJPA5fQ3rmIIKeFFNwNYeEieybsP4+lVkVYWik2Buq80XPGeWaPT2u8sID9iw05LDERL51X9N2QzBl/d5orffJ0Zj69QvrjIpSrV+f10xtsNJ1Dg7UR7DBqhsXQvjzvvwpLfTUehdsyx6865045k+41G9OAKnhus0DuZTSTjF1YeSKciV0+e10uZT91tVYzebUL0wY2Idx6FkF1zAhwmcXdIysZ7XSXgOO7aaFUxMWoCzToNhRV6buo9tbjyMW7XN8wBrfHnfDfv57C8y60mx7M6YiDdKkv4FpcElVb69ClYXblyc3vw40b9sN6IznZBavRLYn2Wc5i15pcvO6M0vMLDDfcwMoAPwZ+9kBG+pUjOHhnMmWyLvKCJ2ycOZe6xu6s1y5BRW0qO89EMrh9DR5fuchLmS4M6ar0F+HGl1sVF43PVUO7b0PElOszoKc67VTrskmnM0/UxtK8nizKKmoM7KVO0zp5DGvVj8FbjzGpe1WOOZuyO3kE8SELP8INwnLiHPowNa4f3jYzybkWxrK1NvRcHcIO07YYd+tKg4UeLNFtTIjXUlbubULyjY1Uve5Hg/5mTLR2w0xThTC7BQTKDCNgzyKC5uuxQ3I6YTa6XA5xZvayC5x4GE4bQQm79ZtxrtdWLEZ0pG3LVsh+eO42K+UA/Ua7stjFnc5VX7FrzULCskZyOeW3YWkN1zwm4cAc7MYbINDejPuyfoxWaU1vx0Cm966On9sSNvi251aqFbKCl4zvOJDO9p5ot6hDpucMrN/qE7BlMjejDzBl2l5OvUujbdkrRg7RYrhDGK3THBnv/IzzFw5wb/s0ll9sSojnUh4mBqI/YjX705K/Gm6S9y1m8oE8wk9sJvNmJOO1Z7LmfBrj/wRuepYnoq2zGRNzPUqk5OjcXYNeXVoj9ub9gwJJ1xI5s3Y8foWanPZcgPdQFSL7b8dtbj/ifR2Zb3uVhIfhn8ENZMS602nMdvz8j6BY9ADHtRbcV5pI7Om1FCdtp930UPb4uNOnsThpsReQaD2Mnk3+GG6qPw5GR38dE5x3MKK1MvH7tmAfJ86p0L3UfhFFbfXP4GaLKRtffz/clERsZLT9LWIid/PuXhxTDEyZeSiKmRotSPW3RcPyOcG+JjSv35xtM3pzqbU5DtP6kf38Ogumr2LekUhMulX9D3BTwpPbD7id4Mv8zckcDrSjbt0m1JXNZOEkUxobu2IxqAEh6wdi9dQAl4XDKb3hi9HSAE5eOk+Lxx50m3kSG5fNdJBMZ7XpLBquimaLnjTjtfVoMnMXM3soEe8xG4fnhiR5LSbVxxK7qDoE7V9I2d0Auo3cyELnXQyo8ZptS2fw3MAHPzNV5mgPoGSYLRbaLbgXZMmiM6oknNjAVdepWMTWxWPjHKQeBzNx9gE2BIUyqv0vDkMBaQnJSDdqTE2pDEwGjmF84B2ahJoyK7wmoQdX8exqIOOHL8X1fvrvwE0CLXsd+B246c+KQd0pGLUZO6MOxPhZM8uqlOQM98/gpozA2X1wkTTG13YsKeF7mG52lMg3V38fbnhGv8baTNrjTv8WTamVfYKGZlcrw9Ie/AnciAlycRzRlxCJYpTaWeFtN4GCe1H07mnK4WsXqV3yANv50ynoac9BEdxUwKGQV69eUadOHe6HbWXqnluE+7gj+9HWKsHDfDQXWy3Bfbw4Ayd4sPvwflrXECcl0JH5++QIDzTloussZnu/w0CrA1lPHhN/8Tr2/qcQO7OOA88H4G01mvSQnYxzSeGYlxOXji5ny/H7VFesR5ea92HAeqynqX/h+U4P28vctXt4WVBIqZgkslWVsfH1Q70oFi0TX5xO7qOboiRPz59k4dpNPHhThlKznmzZbE2n5koUv3uA4/LF+CY+Q0qqBvPWbGLicDUkKCTM1YZVHuHICCXoMn4+1gvGVXqyHRdM5U4XG3Ybd6a8+CVuyxexNzodGfFqGC2zY/a4HlQRLyX+oBPm23yREkALnWlsWjGTOtWkeZl6hsUWq7n7towqtTqyyWkDfSs9H9/4K0yjbZ91+EV40/bDsfP7EkoJ2mnJtsPnySnLR1CjOZaWjozs2xRxConcaccy91BkBeJ0MpyLtbkRNeQ+O5oufsr08SaMtjvGsP/vSX+b7oOOfS7Ru4yRq1LMNtMxFOs7s0xXBZ/1o4ivtQiXWR3Zt2Ii9wd7YqtTk/LCB8wZtgijI0foLf6MPt2H0WH4WBoolHMpIoba+nNx0s6hz1QfhhsMpPzday6fvcDInWGYD5DDe7EZjlHXadqqA1pt8kitNQ+Xzx4UKC96w4J+rVHfex3DTr/vTS/LzcDaYirHrxRgtimSIWI+zLU5irxSXZo2rUdcvAJR8WtReBCMxvIgDh1wq/zOTdrRpWxIbMXerTORKckl1HYpK06k0KRla/q3lOSulC7uNqMQnt9Ev8NKhGydhaJUOb7rJhJb3wJn0y/v1ZQVPEG7aU9WJ9xAQ+VTXHPhdR80l4Sx7/AuWsu/Y8NMI7IGOOJg0uXjGBcUPmfuwN6MOJqKbrNfv1fzabzcP7sDE7fHRB11qPzj/fBDmNvv4Fm2EEWVvuzcZUurGrKc3T2bxedacfngHGKOrGfVvmSq16iPinIBr+RGctjJkML4rWh7SxHkNB9FqTzcp06gfI4ns3vW4M3NUGbN92Fb5H4+f7z26pE1LAhTIGr/st//cGdOMtpjbNh4wIdO9cRJPrmRhSm9ibYciDiZLNGfSt+NXoxqKYfVNE2qGR1ksUYVVsycSVuLQKZ0lKbweTyTDPex4cweaqZH0F5zOWOnGCBTnktSRBx9LTZjJHWC4fYZjNfvRFbGQ5JTHmB+8DQGLYtwnDiFI3deotZNkzZSyVQZ7YbFoCaIlT7ASHMyI3aGMV7t05NTz5MOM8Uqkn1++2kkC2vHalKmuw6bGZ/CDl/cCmbVEmduvMmiQEwcbeO1WE/TQVZSnBdXw1ix2oaUl+VIKKqy3W0TvVrWoujtY9ytLXA/+xQpMRlmrrTGxLDPl/fJru2j6UwfjFRrcub6DcRbaLN/lxWqNWQozX9DgMt63MPSka8uQFl1MKvM59JC/CGDRpni7BtJx6rPWWJiisTQddgbtiNstzU7AtKooiyBQvO+LFtijlr1fHS0hrLELQQt1fcew3fpR6infZr0K57kXD7IPOsDVKtRlxZtmnH1kiw+IWup9uw8uqNtWR3kj8Zn605+5h122a7i6NlnCMWL0Zkyl7km06lXtZRLR3ezadcJimrJUqWmKnMWLmOwqhKrp2hSY7IX5jrNKXh1C5Ohs7GMi6CdRDaLp0+i/byDTK18UMAA5xNx9Gwsx9MkX2ZaR+ETtJOCmG0MmReE9siBlGe9IinqAhP2hdAk3JjVZxUY3r8lL9PvkZj6iF2nT1OesINVOyKoXrseqk1lufaqN76e0/niobGiJ6wxM+H0tbeodNWhp1Iaz9tbsWlqB65H7GahvQ+K1evSTKU+SVdqEhS2Aunrx2g13pFZvVty+loqks2H4Oq0nk715Mm8c46JJsuQqV6fus1b8eb6SzaEedKK/8feecf11D0O/N3QphIKZQsJZWbv7L0VIiORImQVlexNyMjeslJGRsoI2TPJqqQSitL4jN/v88mIZ5XH4+npe+/r5R+de8857zM+933PkhJ/ey19hq1HXLkl+3wWUqrI5xHojxxd64WHTyBaJSrSo2szDh77wP6jU1F/FEgr590c3b8VvUhfGi56xeHV0yDyOFZj5uK6M5gid5YzfnEARXQNKF9Gh/D7FQg6Pl6+XurIOjtcV12iTLcZ+DlUYvDwiaQoaFPCyJiMe9fwOHuSyuIkxg6yptHEnfSvrsSysf24XWsiy3uXwMXZhWfv1dE1MiPr2jEcdwfStLSIOWNtKDxkJw6NtRF9uI9VB09c/DdTW+frVNust1HMmOzM9ZcKaBuYoB15jG7rjtHVWJN1UwfztOES5naXjQnHY9N2BNY+W2mkEkWbpn2p3nMwBuoZhJ8MoWT3Uay1q0Xj9g7sCDxJeYVoHIfaUcpuLeOqRNF75BxUNIthWKEcCQ/jWXt8+zcjjpKsFA4v97SYAdQAACAASURBVMBtUzD6ZarSqak+l5+XYouPM6rSDI6vmsnqg9dRLKqGhlE9XFymUKtYMkN696e7xz561NTlQ/xlWlmuYN+FTZTVUuLq4c24eq4gVUUZNf0GTJvrTsuqxUl9cYEm/d05djIQAy1lzm+YxsbXzdg0RbaeJJ2hbTvSe+kuOhkrscRxAFKrQzhbpDGivzWWM3bTx0yXj2+u07bNErYGb8RI+orZ0yZw8RlolayJzrMg2nrsYGCjsqQm3Maqx0Cei7VY5BuIuXo0Hi5OXHj6HqQaWE+Zy4gejdGQvGGJQ2+k1kdwbvJ7U20fMrzlCG4kp5KeJUJNS4s2IxYze5AhTgNHUHb4aia3q0BW6nPcR9sReOc1KuqlcZjlhZWlbEQ5A/+l05i54zyqUmUsrByY49gXdSUFHp/exXiPFcSnSlGr0IT1qz2oUkyTkC0ueJ7S59i2CSgjInijF1PWBoJEkWodh7Bs5ki0lRWJvXyEiW7ziEySoFy8Jt4+86lTRpe0xCd4z5rI5ksJqCho4uDmxeBudXN8+JRw1HMC64IfISkMZev3Zf4UG1TeRjDecTyP36lStGQV1CJOM/RAMM2KSpjjYIVyN28mW8qWDFzDsrsfvts8MSyswLEFNuxRHMmGiU14fnEHo103oKGtTxnjyoSHZnEoeA4lckxL+xgbhvXIaXxU0sGgbGVS795lwdkAyma+YsRAGzq47aFnza/vBxs9+7LC7yEWQxcxp30irSbd4fSeebw46opHqAGHVoyRj/xvtG1PQqe5TOlZW/7hNPmON6XrzGRT+F361DRAkvmeA2umssT/BXpFjaioEo1CXSeWOuUc0crbu2eBHLnJG4Kco4HvaG9hSq8V1xlmUQxxRhJObWthMPEsbj2+2wb0hyP537vRrrExteaeZPQPHUD4a3hFbbehTXBzbnoPQktJthf/Ctp7PGGG4Q4e9w9lfvfqKIjTCVoyiGkZjoTPbP7NDju/l8r4m3sw676DG/cPYaDxa7YM/lFar+/4UcP2ANfPbafkN4vRc/FEiYgzi7uxspAbex0b/L445OIxcuXNSOfQMhuWPWvNhTUjcnnXXweTZqUwo29rijgcxqXV52mTf33fD4eQZnFkRiuW6a3gmENNlMjixDoHZp0zpE7MYur6PGaoiayPSWaJfVceWW7Cd+DXXdC+jzfp0ka6up9j36GtlPp7O8r+cJZ+c+MtXyo4h3DuyGaMfvyM3zylR5KVwYub66lqd5/nIavQ18zf7QpxOtM7lSbD9jhze9SW9yGnFvVnnmg473baM3PfPbqaFkGUGo1VvVq03fCAUU2+Tk7KE5y/CPzx7h6q2W7l8vkAfvD81J+ZnAL1rPBNI+l0woTILWPRVJLyMHARHRfFyuuocAkEBALfEnhzbwNVbO5xJ3jRDx7H8NdEBbn5hpGIHVNG4Lj5Ib161+fNrQtE0oyjAXMxLJLX813+Gv7/Soj7m0fjeLUqR1Y45hhJy1+5T40Jokl9ewrXbUTN4iIunHmE3erdNE3fSXOb/bTu1QSVxEhuRRVh26291PzL803E3Di0ki2JjVk84ueePfGzyUnFqeyeaMn5ZttY1aPCDxwSCR9eXqRMk1lcvX6Uijo/fj7NKpeBzFhxgam7j+DSrdZPy2pmyh1mTDzEuBXTMFT7kbNt8poUKc8v+NLYch51e7SiWGYcV29lMG//JiTH3enjeQPrwY15ezuMGKW67Du78ptRpu9jWzOqJTdN3PBxbJnXhPxz4W/4oD8mhMsndlDujwfsfmr8V7e60nH4Ctp77WKdc0fU87nbgJirezzoYn+YFt0bUyghkhtPCnPo5i6Oj+7PrJNJ9O1mRmxYCK+KduPYkRkU/YfO40q7vYOyVr7cunw6e42UcP00AolRx2nb3J4idZpTs1gm54MfM3KxL/bdc2wg8NNiEx4kEPgPExCn4NayItFWh1g/qvHfPsj1j0gIcvM9GUkWiQlJZIhEoKCCnn5x1H/osKr/cOX72UkXfSQhOQO9ojp/Odrxs6POy/PSkt/x9v0HZKuIVDWLUlxXNkFCytvERFIzMgFlChcthrbGv3QYaF4yk5ewUgkpr+NRKWaAmsIPHkYolRAf/wqd4iV/uwtZHtLy7k0C6SIVihfTQSnfv7j+RcakUlLeJJHyMR1QQlNbD93CKkilYl7HJ37pY3SL6aEp2wniT67kxASUi/x1uDyg/vtBs9J4lZxBcT3dX9au01PfkpScSQl9fQr9Ckf9+5TkqxHfJr7O7kMUlCms+6kPEWeSkJBEpliMgqIaxQyK8Wk5y0+J9fuHSLM+Ev8ujeLF9H5Zef0jGcmXD5XyMSWZNynZvx9qmkUpJv/9EC6BgEDgGwJSMW8SElHRKYbWP/QhRxafQmJiouxo+AJxiUQiDAxyLHgtELkSMiEQEAgIBAQCAgGBgEBAICAQEAjkhoCCRCIpMHLzeUOB3GRcCCMQEAgIBAQCAgGBgEBAICAQEAgULALCtLSCVZ5CbgQCAgGBgEBAICAQEAgIBAQC/7MEBLn5ny16IeMCAYGAQEAgIBAQCAgEBAICgYJFQJCbglWeQm4EAgIBgYBAQCAgEBAICAQEAv+zBAS5yUXRzxvagOcNFrPGrkkuQucIIkpjRq+qSK1P4dXHOG/35ib0o0OYjNjGkSN+5Dh38ds7s2Jp2qA9Ltsv0NmkSG6emv/CiONYt2QDjxNT5CfdKyjpMHKaM5WKqIE0lUubfThwPw6jsrWxHdEfTdXsHb/irx5h7b7ziNWKMtjenkoGv81/dLAP/VZFcmrfIjQe+lLBMZyzfqtRvO/HtvtaTLVpx49uIPZvg8xIekwLkz6suXURM4OfsHPPxxgceneggus1xlv82HbPHxMf4LniCPZTJ2CokeNQ1n8blhC/QEAgIBAQCAgEBAIFgoAgN7koxjmDzYm0WMkm+7zLzdRulRANOcvCvv/AIaCPDmA8dBMBAf5U1vmDjGTGYFa3LZ67wuhS/evJsrnIdv4JknWTjvWGUbVLX/TURIiyijHMeRhGGhJ2eg7FIyiFge3qczP4AGn1JrDfawjxob70Gr6CJlZdUX1xh6AoFTYd3kadojleyqUifBx7ENloPov6m8CDDZQae4WLB9eRfn41y8M08Ha3QfEHd0f+uwDFmUk41WpGq31n6GGqn/fHSTPZN9KMux12MbNnLf72zsofoxnVw5IqM28yoeGPnfv0ISaMUa5bmOW9gsqC3OS9TIU7BAICAYGAQEAgIBD4UwIFVm5kBxM+irzP23cSdPSNqVpeVw4i80MCDxMUKKf5nkcv3lK0ZCUqGH596X8Te5/ImPcoKisjGyaoYFIbn9F1iGyQLTcp8U94nlSY6ibFEae94l7EczKyCmFUqRalin538IIojZxy8yb2MQmpOlQ1LiY7i53ou3eJ/ZBJiZLlqFD268trfHQkL+KSUdUuQw3jEvKRg4+JL4h4EoeokDomtWqiIYvqG7mR8vrVA548T0FZrRjVTCqhLvswnlNuTDR5/ug+qiWqYaCrzNvEx0Q+TUKxkA6mNaqi9un4lqyP8dyLeEZGhjJGlcwopZedr3dxUSSrlELldQQx76F8ZROKaX/3BV8qIvppNNqlDYh7epeUD4pUNq2FzueHS7KIu3+bFx9E6OmXoUL5kigiISXuMSnqFfjw4g4KmoYYVyz+9TDJrFv077UYz/1bqZwjuo/xV+jceAgjj9+kXyVVSL9DzSpj2XDpCOfGNiO8yXJ2T2iBApk4t7VAZdAG5g6u/aVBiN9H0LuLI1P3HaZ+cdVv5EZf8pLIRAk1KxuS8uoxb5VKoP4hhhdJmZQ2qUlJ9Q/cvx2BRLU01auW+pLWlDdRREQloqBUhComJhT+/jR5cQb3HzzE0KAkUc9jMaxYneI6iiTEPuRp9AdUNAwwMSmHqqKI6Ptnsa/Xm6ZbdtPMpAp1jA2IinpOuSrVUFOEzJR4nrxMp1LVsigj5d3Lp0S+SECtsAGVq5dDFnXmw1U0cU/n+BZniqrksDRZ+3j2DsNSajx6FIVUsQg1TKvy+UgnSfp7ou49IClLStlKppQspgnfyc3LqHtkqhpRzrAIUnE6T27eJlEkpXTZKhgZ6IBUzPNHt9HUN+bV0wcUMaiCYTEF7t17QdUa1SikJOH1q0iinr9DqZAe5maV//tn2wg/OAIBgYBAQCAgEBAI/KsECqbciDMIWD2U6ZsjqGlmyPkzcczdfYh+DUoRE7KAMoOO0Lr4W+IS35OqZcq6wwdoW0mVd+HbaOu0FCODklw6GYKmWQ/27NvECZd6crlZ0kENm269qeUSwMxuOkyx60rYawOKEc/95GqcOuaLkXaOqTaf5EZsE4yL2Uuse42huZsfU3oZc2LxKFx9H1PNVIMHV14x4cgJ+tUsxsNjm7BymkUyOqSnKbLs2CU6Fr2Dfa+xJOiWRS3xDh8rD2PX5onoPjsoH7kJDPSnxLOttLdxxcC8CTHnr1J92CJ8p3RFQS43lnjtukDZ57voZ+/LxtMh1MwKpPfwaSiUrUPK7csU7TyHvbP7o/oxBtdxPTkTq0cplSRuJFbkRMBmKuqpsmd6RxzDimD8OJw40TuKNhzNno3ulNPOMSYges2IjgOIK16C2Lu3SHgVi1HveRxbPAJdFQmXtszE1vU0TVuV5nrYY2y9d2DXuhLHZ7Zm1MliKL2NomETOzasH4v6Z1fMvEWXDlMZ7DWfynpqlC1hiI62OgnXNtBidBjXrmwg+8BtKX3qGtJl+RFOjLOn85YgBphmT0XbM6UVO1VsOexh9aXBpVxZQ63JV7l23JeiMhPIMXKTdMyZTsszeHlhFafntGfYCRUqiR7y7OVbVExa07JUEueuJPIuMR3HtQeY0s0EyYsgulnZITaqR9rDG6g3Hk/ACrtvRn6kbx9jVM4EQ6MmJH14wbQVx2ilE0gP+2UYN2vOXf/ztHfzZYFNHU56j8R2kh9lOnWlWoMeLLOugEVbW/yu36WaBjw5Po8u028RfG0XSg9O0KXfOMpWMycxMR03Pz+a6soA3qOK3jh2P/DHvESOY8nfncfUYjbGpplEPnxD/KsYOi4LwtfKHAXxe9ZPGIzPuTQaVMvi4iN1vA9so7F+avbIzay7DNYOoGMXVxw2BGDdRIe9rkPwOpxCPRMptx8p4Ll3J+0rKGHb1JCr4lZ8fPeAPsNXMnWQFqWMB/LwZRRKDzdjNX4JmhXNeXXhHNXH7WSNQ0vU/jOHM/6rfbcQuUBAICAQEAgIBAQCv0OgYMqNVIw49Q1SdT2UFBU4O2sgS5PacGiVLfGXVmDYbSO3b1+gWnE1Vo/uyFmD8Rxwt2R1f2PSbY8yvm0V7p9eRL/txbnpO5QFNuY8qjkWpcCFVHQ+wNROJij8/3oaUZYURVUNFEjBtUZVDDddZlT9Ml9HHD7LTe+lPPaZTas5+xnTqgpZsRcw6T2LYydPUElLgcir3tSbnMCrUzMZ16wKRtMOMb1DNaSidN6kaLBroikxnVczv3czyHxNX7MqWO2LoIdKaPa0tEB/Kim9QqRSDOVCSrx/GECbzsvxjwpCPzOG2hadGO5gxZaVgaw4dZoGshGmtHiylPRQUlEi9cVN6lcfRGDcNcqrixBlSlFUk+UrDbfqFSnqHcr4VsYcnN2TqRcqccd/Loq8o1utVvRYfRjb5uW+Vi3RW+y6N+FtvdnsmNEVBelrmhpVZ8iBm1gVf0yrvuM5fOUaBkoKxJxfg6XnA26dWEjonK7YXWzG5YNT0VFWQFExhzCJY1nptYp7Ma959/IJh8+mc+bRCco930yTKfd4eG4NheSDEhIGNCpNK3c/TsxwYsDms/SqpilP2+FZ7Vid1ocTC4Z/SWvEXmcGH1TmzM75aMruzyE3yadn0GFtJjHHFxCyvA+jjpbk3PElaL9+QOVyDem/KYx5fU24umcGI7wzuXlhEcofE8hS0EVJVZmshFu0MxnAhsT7VMo5ry35CdVMzLDddIvxrctk5zPtDSIVbXnZpd7dQashpzl6bRPFMt9go1uJzmEP6VOjBArx4Vh0GcGWczeoog7PTi1jwIw7+Idt5MV2J/r7VeHOATsKSSQoKCp9WiskpVm5MkwOuk3nytmjl/IrORyzBr0YvSqI4S0r8fbBLio2nk/Y03CUQ+dgvecdF7YtQVkR/Gd3Z33GYI5Mb8Co3h2oZL+U7XZj8Ag6R9eqJYkO3UDj6SeIOL0HdWU4vd6BWVdNOe/dH8fO1XjVdANbpnVARUGRtFeXqFZ9BFee38BAKRmRii7Kykq8f3mDipVcuBx3lAo6PzblTejhBQICAYGAQEAgIBAQCBRMuZFN0Ym6xK5NvgRciSYh4h46ltPwX29P0sXlGI57QGLoWvTUYa9Lb7ak9iNgZS9OzWrJRjV7Vo5qzv4Z1mwt5kyoewcWjmjI0pMv0TPuypVTK9GS15tM7occZKfvPq6+TOHJ+TDsTt5kQpMK38jNjH7mbL6WTvG6NoTud0cLKbFXlmDeYwu1zYyQfaSWSLKQVOzP4WXNaFFuBPNCDtGiwuepcu8ZbGrGraIVMSwsGxWSkv4xC5d1e7GUnP2y5qai2ksC925k7+4LxCS/49ELTYKjT1NJJjdmFiQlZVJvwnr2u3TLrvUZCQQd2MKeXWd4+j6Nq5eTOB8XTk1tRSLOH2bHpr1cjnlP1PlQbPZfYXqH6hz06MFS0XBCPToBYkbWM6O6hx+OHXJsliB6i33vNpS0O4Jr+9LyqIa1rYiR/VGsi5ynRa+5mLUwhSwxUnEm6sYd2b58NBc8O7FIax6BE+r96doQieg9vmOasl55OoeHJtN8bBg3Lm5A45MLyUbnOiw8zPEJY+i++RT9P43c+E1vwyaFIRydPehLq4/cPxGr/Qqc3bXwT+Xm3KLueCb25cyCgYjTXzK4TAPGXrlPw3KFiTi2mAGuEYSGr0NT/Jazh7awZ1sQj1NSuRP+isB3D6iTQ26k76IwqVkX7+AYWlXIFq+Mt0/w37uJvfsv8/p9Ek/eGhMcsQujzESG6Fahw/m7WJmXgvhwGn6SG+Pv5Ebr3SM8nZzwf/KavkPccBjSGW35NEMJTcuWZ+rpm3Ss9K3c1GrlxIoDwTQvq0zWm/voV7fk5NUIXvqMwG73Y2pXK4FULEWUmUatPjNYMMiY0b1acTwSirSZwuXVtqgpSAndMJ7Os8/TpIYBSKSIRemUazWWteNbMNayAvoud3HtkF0XPry8+EVuSirEc1SWb7+LxKalExoi5fbr41Qt+hM2PxD6doGAQEAgIBAQCAgE/icJFEi5EaW9YEKL1rwf4E6fqrpEHF3MyYzuHNowNltuHO6ReH6dXG72uPRia+oAAlZ2Z/OIluxO0KGImhLFdWoxfu4UKumpI99QoP5UyoWu4KHpeHa69iI58giWneYwYPYMqmplsW/6CKqtuMLEpt/KzdRulREP2kzm1ulkWM5itVNHkiN2UafnaU5f88FQWSqveAqKyigpPqGJYVfG+gfR37ykfM3PR5EYtxamaDrvxrWrKfLQioooy774f1pzExh4iBcrezL2UkVmj2mDYuJN3KefYH/MOSpmxmDeoD1O7q7smbKA3usPM6yxIWHLBmPnXwhX514ovXvB5OGL2R93B6O4ILp09aD77JlU1xKzf+pQKswLZdpnuckaRqhnF0DEiHrmmP6O3MhegLWtdzKvTzW5BPWoVZI2K8PpqXmFNn3WcfbJcYqKJNn5VlJGSZrOqdmdWKjhxTFniz9fwC/9yH7ndsxPH8tZV0O6NXdhzo1QGsg84cN5qpefyPobgZy1a8fbIVtY1McESMG+RUO0hmxmwdB6Xxr6kwMu9NktJmT3IjRlcvQHIzfnFnfH41Vvzi6yRpwex5Cy9bG7dI8mFYoQcWwRA1wfERruw7NtjvRek4TbdCsKf4xmtt1CvBMif1duVp2JoXUlWaJF7HTuyrzndZhj2whJwnnc5j3m0IM9GGW+xra4Me3O32eATBxeXaGm5VC2hd6jljY88PfAxusFAWEbkK3ikl2R104zfpwzppP2Mq+7TDqzaGJYhRnnrtO+Yo5dJ5LDqdV8NPP3BNO+iiZpLy9gWGsg5x9E8XbvOCadKUvIvokgzq6fikrKKKZHM6pne4xddhFq3436Hn5M6V2buwe96Db3PQ8ueaEs287uc/ist3K5KTHpDm6dDL+Rm6vPb3BtXh/c75bDza49We+jGWm9mZBXp6mmp0zM02hUS5ajuGxxkXAJBAQCAgGBgEBAICAQyCWBgik3qS+wb90cPdultCorYvMiF+KNxhOwcSyvzy/ByP4eCZc3Ukwddk3swZbUARzz7s7CNtW5XqYTxmW1UdQpTr26rWnXpBpzrWvwuKE3q7oWomv7vjTzOso446e0H7QEp9nuKCdcY96MWQzYeYtJzSp+M3IzuVNZxENDca0dTbfujnRcuBeXtqXpb1EXrY7j6d/JlMSbYTzT6czk/qZ427Vm49OyDOvRiHcPLqPW1QvLpEUMXfqQ8a7jqaAaj/+R64x196JMwhHKD/bl5MlDPFnQDben5iywb8PFIz5473hJcGyIfOTGzKwFnvuuU/mFL+1G+7Hv0jHSt9gy5bI+nuN7cTtoG+6LQwiJu41h9Ak6D17A6NleqCbdZO7UqfRYdxXXjqb4zerKoszhhM3pKn8pH1a3BjU8DjG+Y46d4ERvGd29CUejiuE4rD+8Psv68+ocPOyDicZrJvbuzNNqQxndrw5J10OIUWuM8+AGBHm0Y57GPIImNfyN3ESE7yEo9AWFixblSeR1dm84jWdgKH1rqrPIrjN+ybWxbWtM+MGVPKkxkQNeNjw+7EFPzwvYjrZBLeIg2y8rs/7gJurqf13hn3pnG+ZjgrhwYgvF1RXg/jpKjL7MFf+NvAuaSofVmcSeWszZBZ3xeNWXc0sHy0durEvVxv5qBE0ravMwYAF9ZkYQFr6ex+vssTkgZsG0QUSE7GXugkAOv4ui7ncjN8bVzFkd8pK2lWVjgBlsGdeT9WmNWTDcgpM7FrPpmAbnHu+jrDidjQNKsk17HL2b12dYRzMm9bMkztgGS9MMTu/dxt2PzQkNW0VcoB+XkvUwLf0B75le1J8ZgFML2UhKOMZGnhy8vYfqejl2N5BNS6vdHo2qnbBqV5cH53ZxU2cox3yGUyjxHJ3ajqOhvSsd6xflqv8xSrd1oncdCSO6tMLYM4LhhQ/QpNMCpuzdR+/yyXSp34W64+fTwaIEEcHBKNcazLBWxRjd0gj9KQ+Y1cXoG7kJf36dUM8erH5VA7cR7bgasIHpi55xK+E01dSf0bVBeyq6nmTpP7HLYC47RyGYQEAgIBAQCAgEBAL/PQIFUm5kxRD/PAyX6ctJF5djpJURd+IrYW9ryYdHJ3DYGsNaN1u0VCBs93LOZzTE2cqEJQ6dia00Hpt2FYkM8mfq/GWsu/6MZP/ZvKo4mFFtqhB35QQTd17De95U7p5ch/euYPSrtqdHqWu8bzqDTlVLfJUbSQZ7ljgjaTKdARYliTy9n0XBL/HxHAeZsWyc4sGplykUq9+VReMGoCqbRiROZsP8ZZy+85hilXqyYFZ31JUUiDi6nhU7TvNWoxg2Tm5Y1igBcVeZuC6EiZOcKa6SykLXSdx6mkbrAf35GH6Ffp5ulBC9YZrrPHqPcae2oRpnfTwJ0OzCvIEmrJs/g5BbiTTsbYPi+UN0m7OQMhqFuHTMlxVbgyha0ZJ+Rtd4YzGFbrUMuXZwKYGiFrj1MZePyGx0nYFhb0fa1TL4WvNl09L6WqLTaSEa59dzL6MsnmvcqKSd/WItSktiz/TJBMalomvWAbcxAymhBXcPLSJAtQ+TO1b6yu/TUzPePGPNEh8uRz2jkEEpxk6bT/3i2Vu7Sd7Hsn7lEoLvJFDeohczxnZFQ0kRxOlcO7qRxXvOo6pXH9dZw6mgV/ibFir5GM3Adv0YufMUrQw14GUwYzdHMWu8LWn39rHgtIiVkwfwIHApB5PrM31gYyRZ7/BxdKP1rPkYl1An7lYgq/bH4eZpiyoSNi6azqnwaGp3GkSJyOM0dV9ChZwH5aQlMHmqK0OmraC6fvbakvSUOObNnMHDOBHdh1sTc+EhQ2Y6UFw2+fHjZZzGrqCQSRfmOPaHmJvMmLmUdDUDxozsSMDxCOynj0T08DTzZm/kuVSFVtZOjOxgJn92apgnLX10CFrnQM69LmRrbmpZTmKGkxNnj+xBoaIlyzyGUOiTiL2PvsYqtyXc+iihZjd7nPs0QVXyBt9l8zHoOYeOlZQJ37WCvUmGzBvbE9H7SJY7unM9TUQVSxumDG6PGqlsmTeeIp3n0cOsaHZ64i5R1cRWvuZGX/MDS9w9CI9MpeUwe6L3HWH0kmmU1kxhjdcqDPpPood8dEu4BAICAYGAQEAgIBAQCOSOQIGVm9xlP+c7+UMqVmvOmlP3saymS/rzi9RrMZB15x/TtMyPHViY1zQUiPCf1twYjDqEW4fsr/X59xKzc1pfzhhNYcPor9PV8m9685gyaTqru1UkfexZJlh+d4isTG5aObLc7xwtyn3aAzyPj89rcEnGRyIv76XWgJW8jLxMUfl+5sIlEBAICAQEAgIBgYBA4OcREOTmM0upiDuHNmI9bR3KmgpIxeVxXDwb65ZVUPqXDnH8ecX8C58keseEwV3Rt9mJi2X2Oov8fCXfOUDnGUc5csAX+c7JBehKe3WXxnVdOHD/IOWLfCfoKTdo3GUK87cdpUmZHNuX/4P5fxDiQ3urlQyduRFX2wZCu/oHWQuPFggIBAQCAgGBwP8qAQWJRJK9ArgAXAkJCZQoUeLHc6IAmenpiCVSFBQLoa6mLFvTL1x5IqCAKCsTBeVC/5GXVymZmVmoqBTA0TmplIxMMary+Y7fX7J8iyikUug30wDzVNx5CCyVisnIowdZfQAAIABJREFUFKGqqoZC9tYYwiUQEAgIBAQCAgGBgEDgpxJQSEpKKjBvGR8/fkRdXdhG9qfWkP/Rh0kkEsRiMYUK/ZpRjf8yZpFIhLLyr5na9l/klJ6ejqqqKgo51179FzPyO2nOyspCSUnp23OpCkjeZNmQlZ2aWo6NOApQ3jIyMuQfdQpivZT1SbJ8yepmQbukUqn8t6mg9rmZmZkF82OjbA1tAc6brD+R/c7ll0uYlpZfSkJIR74iIOuEZLKsrf35vKF8lbx8lZgPHz6goaFRYF9w/y7sxMREihYtWiBftFJSUuQv/wVy5FO2MU18vHw2QEEUgKSkJIoUKVIgP+CkpqbK21tBFFPZBwWZdBcu/O0GOX+3n8ov97979w4dnRzHFuSXhP2EdMjanJ6e3k94Uv57xOvXr+V5yy99pSA3+a+OCCnKBwRkcpOWllZgO9mfiVgmN7IR04L4lfRncBLk5mdQ/HeeIcjNv8P978YqkxtFRcUCOZNDJjeyD28yMS2I19u3b9HVzXHgdAHKpCA3v64wBbn5dayFmP5DBAS5yX1hCXLz56wEucl9XcpvIQW5yW8lkrv0CHKTO075MZQgN/mxVP46TcLIzV8z+qEQsnmosg0F9PX1f+h+4SaBQE4Cgtzkvj4IciPIjTAtLfftJb+ELOjT0oSRm/xS0/KWDkFu8sYrv4QW5OYfKglBbv4hsP+jjxXkJvcFL8iNIDeC3OS+veSXkILc5JeSyFs6hGlpeeOVn0IL09J+XWkI09J+HWshpv8QAUFucl9YgtwIciPITe7bS34JKchNfimJvKVDkJu88cpPoQW5+XWlIcjNr2MtxPQfIiDITe4LS5AbQW4Eucl9e8kvIQW5yS8lkbd0CHKTN175KbQgN7+uNAS5+XWshZj+QwQEucl9YQlyI8iNIDe5by/5JaQgN/mlJPKWDkFu8sYrP4UW5ObXlYYgN7+OtRDTf4iAIDe5LyxBbgS5EeQm9+0lv4QU5Ca/lETe0iHITd545afQgtz8utIQ5ObXsRZi+g8REOQm94UlyI0gN4Lc5L695JeQgtzkl5LIWzoEuckbr/wUWpCbX1cagtz8OtZCTP8hAoLc5L6wBLkR5EaQm9y3l/wSUpCb/FISeUuHIDd545WfQgty8+tKQ5CbX8daiOk/RECQm9wXliA3gtwIcpP79pJfQgpyk19KIm/pEOQmb7zyU2hBbn5daQhy8+tYCzH9hwgIcpP7whLkRpAbQW5y317yS0hBbvJLSeQtHYLc5I1XfgotyM2vKw1Bbn4dayGm/xABQW5yX1iC3AhyI8hN7ttLfgkpyE1+KYm8pUOQm7zxyk+hBbn5daUhyM2vYy3E9B8iIMhN7gtLkBtBbgS5yX17yS8hBbnJLyWRt3QIcpM3XvkptCA3v640FFJTU6W/Lrp/Nqbk5GS0tbX/2UiEp/9PEBCJRMgER0ND438iv38nk+np6aipqf2dRxToe2X9UuHChVFUVCxw+UxLS0MmNsrKygUub7IMvXv3Dh0dnQKZt/fv38v7NyUlpQKXv4yMDHl7K1SoUIHLm1gsRiY4BbXPTU1NRVNTs8CVmyxDsg+BWlpaBTJvsv5E9juXXy6FDx8+CHKTX0pDSEe+IqCgoIBUWmCaxz/GVuD052gLMh9Z3mRXQW0nshdkiUTyj7Wdf/PBBbleFnS5kX14U1dX/zerzz8Wt+yDSUH9qFiQ5Sa/5U2YlvaPNVHhwQIBgYBAQCAgEBAI/GoCsq//MjEtiAIgTEv71bXp58UnTEv7eSz/6kmC3PwVIeHvAgGBgEBAICAQEAj8ZwgIcvOfKarfJPTt27fo6ur+dzPwJykX5ObXFasgN7+OtRCTQEAgIBD41whIMj9w/+p1MktUw7xycbInlAmXQKDgERDk5r9bpoLc/DfL7vXr1+jp6fF5qvK/nYsCKjcS3sXHkJiS8YWvioY2pQ10SIiNJjUjew61orIm+qUN0FL5sYW+H6LCcXNbibnTEgbV0/uDspTiM2kMUfptmDuxJ3+0dDPu7DImb4hj1tJZVCzxJ3NpJZmcWjqMjYntWOthhXYhMa9exJCuXpSyxbX5NAX+b9Wr0E3z2HhdxNKVM/ij7yfiZ2cZP3s7HYZ70MGidJ7iy0xJIDohA/2ypdEqlJO9hCOzpnGsUCUWTB5O4X90LagEfy83AiWGLJpqh+bfWA8tSYnFffoUdOs5M3awGTkfJXuhfB6dQJFSZUi+vhfX9ZeYtGghZsXy4QL8rBSmT3SicG1rnIe04mfgF0cdx85zGz0mL6CjSd7qyZdKJZWQEB2NSKMwpYoVzVNd+6vAovQ0omPjKFRED8Pif7xw/G30M5LSs9AqUgwD/a+tIv1NPC+TUlAspEbZckZfhEGSnsrLmJeko4CBUXm0VH+/5WemvOZl/FskSiqUKV8W5U/GIc38yKvoWGTbvRQvWRZtzU+lIRWTHPuCxI8iNArrUdKgKIg+sGfWKI5oDMTXpSNqSr+vLS+v78bCYgSWG66zfnBleVrTkxOITUjm+1Ulqlp6lCn591lLJWIOeIzhSEY9VswehnaOtCXFR/MmJV1eRAqKquiVMkRX/cf64r8q5x/5uzjlJdMnTcaoxWRGDaj5Tbv+kef9yD2SjPc8jY5Hx8AIPS1V2eomUpNiiXuTTsky5dGU1ysRidExpCgVpnxJPRTzYK2BPtMIeFoEt3lT0P+BBMZePMos35MMmL6UOqJgnGfvxHbWYhqW/3c3YRDk5gcKM5/cIshNPimIPCZDkJs8AsttcNmC1oSEBPT19UGUyuKh5kzaEUXhIkXknb1BYytO+gyhf/36XEnSQFNdhcwMDdraOLByyWTKqOX9R/VVuC9mjRyx2X+feV2N/iCpEuzMjLhUfizhB6f+4Qtj5GYrqg8/Q8Dj+7Qt98dDsumJt6laoha1Fpxkn3NbVDIi6VGzAWEN3Hm62QG1v/GS/jkDO5w6YndYQsTT45T6g1yJbm2mcqtRDFl3nlm96uW2mAAxwV59aD8jhJVXbjCiXk5uGTi3rMXeQi255b+GorLf8n/s+shky3rsyrLgzokN6Kj8eESi1xG0aWhCoe5bObzQiq/7q0l5dXU11S3G0m/7FUYUOoLF0K3437+PpVE+3A0mPZGGJpXQ7bqMg8uGkhP/q3uh7D5xj6Z9h1DHMPcLWUXh3ui3GM+sgDs4NK/yY5CTo2hT34IXJlZEHFz200YcHl06xOrVm1m98zC1hi0hbN14fuMFUgkhh+cw0X4pj9Ky0C5qyjK//XQ3L0XcoyCmDRrN/oevKaSgwEiPncwa0x7lzGhWTh3Ngg2hZCiKqN/OiTXr3Kig+63Qvnl5mZk2tmwJi5HH22fcWha79UOTRHy9nPBccIRkFTC1sGbN5oXUKKHKlZPrcLaewB2xOkWKGjPXdwcDm1XkylY7Gtsc5WJsFPVL/d4Of1IC5wyk36onXHpyGdNPSQn1Hk33GbsRS0SkpHygkJom6mqFqNJyPGEH3P6QtSTrGT7L9lC5/WDa1Cj5h+UqlWQxt40h89/3JfLiCkoU+vrmPa5TRbxPRqOlqYlELKZaG2sWLZ5L0wraP62Mf6zCZd+VlRhB4zomFB+8m32z++Ro13/nqXm7N+3RYUqb9aKhqz+BUzuA6CMbhldixJY41oc+ZXiTskhTI+levwHh1V2I2OGCVh6+Sqywq8eiK6U5d/0Q5fOWNHnoq3tn0NR+J2tPPWRQhRiaV61F8bE7OTCty79ahoLc/EBh5pNbBLnJJwWRx2QIcpNHYLkN/r3cLBvegBkBH4mMiaSkara4fHh6gbaNmqPRfwcBS/tx1nckvez8GOIbwhrr6t9GJZUiEovl/6eopIRijiERsViEVKpA0s3tmDV2YMi+e5/kRopYLJHvHKSgqIiSfOvXz3LjQPjBKXK5kf2QS2RhFBRRUspOm0xuTIcHc+zxHZobFZHF+uVvXxMmJeLEIqp2cOXQ3Wi6mRSHj1H0qdOYcIuZPFg3GhUFMVIUPt0rRSwSyzKAkqICElm6FZRQRIpYIvmUr0/pQQHlT1uC7hjfkdGHpDx8ekwuN1KJRB5eNtwoYyF7PZHLTWs7hq47z/Ru5sj2FJNtKfq7Hw2lkmwun/L79MRKXHwimbXSi+qlCyP99HdFRQVc2piyW7nFV7n5fK88T0rZI1PST+mX72QkRkExu3x+L53f15+vcUmZ3qE22zMbfJEb2bMkkq+7oykqKoFUjFT2fBkzsUQel4xlzksmN20bVUel+3b85vVBTfK5zsCH6BBGO3nTd+YyjCK8aTBs2xe5+ZwW2bOUlJQ/jbp9jUcWtyw9isrKfFFvqQSR+Ot39px1SM5F/ImHomynt2zuSsrK8nKR1bsvdeML10/lJgObnkij6pXR6bJULjcqn8pdVkdv755HG/vNeB6/yoh6heUM5HHJ6lPOuL7kI5tQttxMYFbgbRyaVcmu+/ClrknFYsTftQXZ134JiigqyOodKIsTWTpxMq9N2+M1cqD8ubIdrGT/ctbJnO1EljYpiijL2tdnLkrK33zVXuUyDqXK1di2aAJKrRcQvMrhN3KTnniDyhXqUH+iD7und8S+cT12xzfjRcRW3NpU4DD1OX1iD0/XDKf9xECOPrqP8t5RtF9wia0h1+mnf4uyFbvQxvUgm6Z0zjFyK8KzqwlLoww4FXoGpZMzqD1gKT5Xoqh1aw7Nx+3C0z8Ex0bpVDdsSgXrteyyL0PHZu2h50zOeU9gQktTtrwy4+ZtP/QTr1Oucl0cdt3CtXuN37bDrGhsLVtwpYQVd/Z4/KZbTYm9Qs2yDWi1IIj1E9rkSGd2nZJtGvi1T5MiEoVSpXBrum+6woI+tb70Vdlhv/ZtcrlpK5ObfkReWP6N3IxtXxb/j804d3Ibktve1G84lhLNZnL+9CyKKsia3h/UDamsb5Ugknyqu5/KV163lb/2QV/bV3a/ld1sP7cRZXnblrev7/r3z3A+y43+kH3sdu+Gao52/TnMlz7jU9+WHYWs3UlRUJLVYVm/JMvH57TK0i2V10sZK0VFWbv/yji7j/vav4jSE+lbpjw3ajly/YQXWqmP6FnClKPpWXTzPMzu6V35cOcITZr0o77HcXydmstHmD6n69v+4WvcIpFY3uesGl2PhV/kJvv3QuEzjy9cc/QRnzIuFomQdVjX/dxpbr+d1aceYlNLiV1jqjIqtAn3r23C8G98MMrt7/4fhRPk5u8S/PfuF+Tm32P/d2IW5Obv0PuTe39XbgI/8iQ6khLfyY3WwJ34L+5LXMhaWrSYTJtVp9hoX//L00XpyQRuWIy9pw9ZQL9RC3Cfbo2uqiJvnl6lb5cu3EnUwn5YB1Yv2crQffeY26UkN49txm7CAp69TaZekwGs2bIAIy3lTyM3DoT7TeTV7bM42E7hUkwM5Ss2YunmTVgY6/D4k9xMd7di1/qtSCp3YOfu1dTRy/GVXJLOEY8edF94k4iYaCrrKv9GblbbNWJ/XHOOBMylyIdHWJq2wcBxM7vH1mPGgBpcKO9F65i9rDwTRvNhc/HspscMazsuqBVjrW8gnesbseuL3ASikxjFHKfJrD91gcKFSzLTew9W7aogkcvNGCyHTSDq1HbuJRdlzv6jDDEv+fVFXE40gyPLXZi5cDevNeuxeOcGakYspuuMm2wJ2kODsiocWOzImCX+1K7XGa3YEMKKt+WW/2p0lDO4uGYyo+bs5kOh4riu2MqQbrVRfH4W866zcJvcnoWea+i89CiO5irMtp/IlgtX0dEuw+x1O+nVovI3aZGIUjm8dAJ2iw5hXrcT2gkXuVi4KXeOr0crI5bJEyzZceS1/EdbAQ0Gee6iQuhATpbxpG3GAdy3XqKa9TSOLhiDVo5ZRtlyY4qyxSQM3p7m5I039PRcy4qhrZF9eW3RcQoOWwKp/dKXBsOyR25a6qayfb4Hs9b7IVJSY+RUb6bYd0D13UP69h5MzX4uPDnsRcC1eKxX+DOnTx1UpRmc2TcFq/E7ke1OK3PnMmZDCDy2ANmkyMyX4bSw7IbZSF+8x1ny5PhcmgxdyfaQCFpXTmVCqy5crmpL6KI+7FnsyfS1fnwUKzF84mJmOPdGNeOz3Czj0KLu7J1iy0S/1+xY2h4HOy8iEtLR1NGlXk93AtzNsWw/kJaTd+M+qB7PTy+kyaDlbAp+QBvjr2dNfZYb92O3sa30kbH9BhBR2pZTOyaSFXeT2dY2bL4fR806PVi3axXltJXZNa0rW5MaMVj3JM4h2twOWo5Dj+4kVLbmtPd43r+8j/uYSWy/eA1d3bLM9tlJz+aVvpZ1eiyThvTicHxV7gdvJv7cQloO9GXW0fMMNP92+qj4RQjNW7ZBof3i35EbCXFn3anYei6bwmPpV7s4x+d0otucy4TdC8W2kQUVHPeyf3I73l7fSYl61jjvuYHS5qFsel+TyDOb0SCTdrWKEW/qxKntHhT/PLIqeUyzyg1R6LmYcwsH8yHqHLpVWtJveTB1rrnjcUOd26FHMVLPxLaVIWdUerPFoQYdBnngdeI5ThYqBC/uQVv3S+y4/JLehtFUrVAZaYcFhG9wQvu7F8uE6/to2cKO9stPyUe1v7+SYy9Ss2xjWs49xvpJ7eUfYaTSLB6c38FwZ1einmdRrt4gVqyYSU2Np9Sp25xHL9+iUliX6o36ExiwgtRrgQy3ncad+ESq1rBk1fa1mJZQ+XO5SWvCmeM7MMyMpUc5Qx5UG8WFkLUUSbrPkqHWeF+PpYppB9ZsXU310hoELbZiwlVT3KsG4XBKl9OHNhMbsIAxk9fxFk2W+wXTr0kZMlNf4DN3El7rgwFDBrl6MXOUJVppL7Dr1Qa9/mtJP+nGjtA4OkxfyboxnVH57svMZ7nRazsV3VcnOH07hX5z1rN4UDM5n9fPQ3GZ5MjRc7Go6zTGw2c5Vs2NeBW8lE6223DcepChTUpzbOFIRh14wwE/PwyifGnieIij7mb0ctjM7IOXqM8VRvV24sYHETaTNzLTqSMan4cQxZmsH2WG00lVzly5QcX4fZRtMYwqGencqevEy+PziT+zjOaDl7H56lO6VFQi5kEQk1wmcOZyIurFW7J001K61TMg8ZIvjSb6sdHZAmv7VSw+eYskn27Mu1SSc9f84Pgy2tgtx2X7WUY2Kcudw96MGjWHKGCc+w6chrdBU1lC9LWjdO41knfS0gzpbsriHaF4y+TGrBB3Ng3HzN6fjefuY1O/2D/0a//XjxXk5q8Z5dcQgtzk15L583QJcvMPldv3crN8RAOcdz6hafNm8jno5u0dmNJVm3aNmvJItQZ1TQyJj7iItFwvDu1fS3mZKHy6np3awvgVQdiMHog47ixDx61m1IYQZrcrwuh2DTj0wZgVnk7smT2Fow/e4rLvLp4tVOjdcQjdxtqiJ41j/IQZ6PfzJmSJNWPNDblU3oGrm4bgOag7xQY4Yqyjxpyp44jT78K1wDUkbLfGdPhO6llOZEK/EnjOcCWjyQxu7ZjO52Up0oxk5g0wxCOkHzFx69CT/eG7kZsFfSuzNbYtFy+vRvv9fcyLm1F62mGCpjRmXDt91oQVw8FjHlXjfXBecRVdk8ZMdbHmiNdYLmt05+bpbYS6dZKP3ERG+XPJqS1ni7ajXYNanNo7l3Un3hJ69zY1ordQufVwRDrtmTd/ICeXOrI3pjq3rgVhrPd5XoSUuxt60dA+ANu5K7DQSORYYgVmlgumhu0ljt8NRvWyFy1H+TBong9NRSGMmbKRIq3suOm/invr+9LO8RJePkvQiAjC1SeEGQeCsC9/n9J1uqGgZc7Uxa6Y1WtI/OJeXC7dldZmVTnkO5O9t9Q4e+kc5npf31iu7nChhe1KrOb70lwUjMOU9Wg1H86d44vZ3qMhTi9MWD+jPwFeY7lapDP+G9w4OtWcmQeVGeUyA7Mid7Bz3cKg7XfZ0K/Cl1GAbLmpQegzI+atnE3aVR+8DkazLuQBXRX8qFpnJNOOXqf52600GLqVow8eYnjKDa/QDPr0akfMdT8cvQ6x8uJzRhs9pU2zJtyIqcLM1dPIOjOLKdti2XfzEdVebKex9Rys53hT6b4vU7c+xcNnM2P61kf+LitJpItpLa5XsOGZ/yz2jqmJ9ZoI7NaFsqxNMg0aD6DO9EN4lb2G3Y5n2Fh3IObWYSbMPszM4xFMtxDTqFolinZdwiCDYEYuPMvCAxcYUi2NTYs8cfE+y0C3hQxo3ZB6ei+oXb897TyDWDaqMU8C3ajS2YtDd9/QyeTrtMpsuXHGY/dxItYMZ/8bM4IO7aCqVhLd65sSX6oPbmNbs93RgVOlR/EgyI3DU1syet0tLPs5McyqA+0b69PFohHxJqO4t2M6O+xbc6tCL1rUrMLBjW7sv6NBSFgwNXQ/l7WUG/vcaWC1GKulu5D6DudRjWkc2+jwzZoPGTLx8xCat/oDuZGKeLJlGJVt9xH4IIF2xoW5tM6Wpk5+nPbfzLCBA+kw5zirbJuR8jiQYlU7Y7XoKBkHx3GjcAeu+69EXZpFd4uyhBftTZjfCgw/z0Z8F4aJqSWmYzaxd2ov0uPC0TZqQDOX3VR/4MXBhMpcOb0P/UJZOHY3ZevrBmywLomV6y42X35G/0qK3Npqj7ndblYGRWFvoYhjhQqsKj+MVwHzKKH57RqfgPm9sPaO5fC1CzQr/tv1P78nN/eOeNKonzsNneYwqn4pVs6Zzv302ly+tJUHQcsZ1m8WdccswLFnSyxqlMTOshONHJ0pp5mBh+tUUoyHc3ffzD+Vm8PvGxB4cD3i8+to2msydSfu5ui0+jh1bUhoZhuWuvVj97gRBOgP4HrQQm4v7kq3eedp0dMJW5sOVBXdoNOgWfSY6kPnkg/YcqoEvmt64znAnNVhKnguX0CxuFPYTfGl78y9bBxRlb6tTQm4ZYir9ywU721jxuY7LAy6j6PFtwdAy+WmbnWuv6zIAm93ki+uYn5APL7n79Or8A2aNG3Ju6o9mDWqF3f8l7Fwyz32XrtHvdh1NOjpwzT/EBxal+GgW2/67UgiODiY0pHelGvnjKF+UzxXOFPHVI/Jlq143coV997l2L4yjJm+XlQp+fmgPwk397jQfMgOlp64jEnUcjrOPsuWgTr0mhvP6WeXiN/Qj9FbpdyOPIZGxH5adhyMqN5A3KzbcXb3HDb6p3L41iVqxu2mSgcntHUaMs/bGbPG7Tjr1oxFV8qyc2k3+nWxwWLyfjY6d+X5MS9a9V/OiDlLaaz9khFj5jJgzUncW0to17AVr8174zm8CUucZxCerMUGudyoEBe+mtoWLtgdus7MzpX/oV/7v36sIDd/zSi/hhDkJr+WjCA3/0rJ/J7cTNoTy4gxoyiirEDlej3oY56FZaOmxBl2pVetj2zxC2fYnL0sGN36mzRLJWlE3jyD38n7SESx+MzzwXzKAbw7pdOg/iDqLwnhgEMd4i5vpHaz8djIp6UZ8ubZObYfucX7lFccXeNDZA0HXgbMYlydbLkJP+BC1ps7bPMLIykxgbC9GwgU1yD6sj8f9smmpZ3laMRd2lZUZm73Vsx7WYv4i+tRU86elCROS2ByG33WPnYkNm4JOrIpN9/JzcJ+Mrmx5EKYN9rvH1C7eC1KTz/MSZfGjLPU58i78Ty+OQfliK2UshhBW4/jbHFozJEpfem9/Q1Xr5zg7sJeX6alGWTFcezoGW49eE7s3TOsD3jI3rBIOmfukU9LG7wmFPc+tbm8cRzNJpzk7I1wGlX49JIgTmF8jcpsMhpKxIE56GtAlkjCnU12NHO4wonbJzjn1pP5t4oR89CfwqQzoYUZ+1RacfuIG1PrmOPzoRJTbdqh/uEJ6323YeG4i51DtShdswu9l5yWv1jKp8mlR+PvH8yDyGieXg5k68U37A0Jp1u1z+sPUphv3ZHZlwsTF3kMLdKY3KYeuySNuHtyAfPMarDdbArX1o9ku60F61624+HJacwZWJ41T7tw4aIvJVJv00mvDo+c/Xm2sMOXKUyfp6Upd97MocXWvL64lZZtJtJ5RzgeVS/K5Wbq0Wtf5EY2ctO2lISr54M4fekxKXF38Vm9n16bb7K+XTptmzdCrd0K/JcMI+3lTsoYDWLK8Ue0SNqG5fjd7Ll1C9Or8zDv78eG86fpXKv4l/q717kFg3yTOXZjF8vrNCFSP42M2nPY2/kNnZz92Xg6hI6VlbgVdpwT5x+T/Ooevqv8qL0slMARRjQ2rUSiQmniYqLpv/I064dlr6e6tcvr07S0K9g10CX9aTC1G3SQy83SUY1yyM1bOpl8XUycLTeTMKpUhsfxhdh2/go9KqqRdHs9Jmb2VOs3mramBrw4v431x1O5GHefBws6MTlAysnr5zDXVIT0J7SqL5MbO+7unoU4PZrDR84S8TiGJ2EBbA17y5Hz12hv/HWUU/zxFbOtm+J++DmqWlU5dCWYdsa/XSD/13IzlMrD9nHkXjydqmkTvtWBhqO3ERywjcH9+tHGIxCfUS348OI0RStYMnT5cd7vHU24hiW3AlajjojeTSsSrtOTi/uXUupzEt9dxsS0LVVGbeSgax8yE29RuFRtWk/3w/i2O/vjKhB+1g8DFRET+5izJaEu6wYa0H/6djZceMagako83DcRE5tNrD3zjBH1lFjcpAIu8ZY8vr6B8jmHbtJj6d+4ARGVx3Bl9++v+/ut3KSwfEgnJp5U5nHEccoWUeXm7knUtdnHvqeP6VEslEpF2tFlw2WWWslGgiRkJF7Fd384b98kcG7PZsLVmvM6bOOfyE05VgfFyE+RVypSmNadR7F08TTUo/bS2GIUul1s6VO3FHFhu1gT+BH/RzdhVz96LXlI6JMI6ugUIum2P+3bW5Fl3gubTt3oP6QDmq/P0LBiF4q6HCDEq6t8nd/IVoZcLzyMs1uGYdu6Ok+M53B2xwQ+3j9I89rdG8EyAAAgAElEQVQ2mK+7yGrzR6w8fEc+xbZUtRZYtdSneW0TilvtYt+cvrwK3kiLztPpv+cmNhlLaDBgC0vPXJGve3n/PIxylRsxyPcKzsWPfZGbsa3KcHBmX/rvSOTs2Wy5qdB+Kl4h8bhYaEHWSxxaNGTnm7KMH2JN90F9qF5K55tp0FnP/4+9s46qquni8HPpLhu7u1ssBLG7u7sbuzuwsDGwRRBFBEEJUVRswQCxu6hL3/rWvSZ+b6ACAu85a/mPzJmZ89szc89z9szeflSs1YpGU/dT6eFKVl2uy61DpSlWfgRT3AL4sKAHHgXHE3JoHF7L+9N+8RV2nPGhZ628xIR5UrByGyYcvcVwY39KNpnEWJe7LG5dRDWvNwyvxQLnNxgbJaMoM5Brrosx0UxgbX/lHHzB9DH90BIls8d+NflaLmJdZxEWHRew8PQdJjbKx+WDM2k85iCbP8NNRJgzNSr1pt1mP+wG1P4j7wLKRgW4+WPS/3bDAtz8toR/pALBc5NOsv/dtrSHzx6Q53OwgC9nbvR77OfkmuYsa2fJ+ltm+N87Q8Wv70UKAvfY0mHSVgpUrEEu7WSCfC/SYPYJ1reIonqdITTZcpUjg8rw7toeqtQbQ7+j95hTLYQa1TuSVLAyJXLocP/SJWLrTPkGN8XGccG+Gb0aNOKsWhEsiuXl5e0g7pvV5/nlE5/hxg/38BCsi6izrIMVS18q4WbbV7iRJ0Qyt50Za26O5+Xr1Z/gJvEhXatbcKX2pzM3K7qVYPezxpy/soOc4vtUzV1J5bn5Ajdu0ZN5cGMhGvf3Yl53MM0WebFrVF1O2Hb7DDeen+EGwh8cZlOz8iy7p0bdCqVJ/vCYyw/jOXopjNbJR1Rw03/beeZ2rMIlhwk0mnga3xtXvsKNIjmSPuVK4FVhLHcPzeVLgLDr2wZ/gpvgU3hN78C6sEK8C3ZGCwlTm1TioIYlt4/NZHz16ji+06dJ9RJoqosQqWnRqPc0JluIVXAzxOEyizpXQ570nplNK7MqXIeGFUoS9yqMq291cT53hXZlv3wqj2R+t+asDsnLxzvH0SSJ6c1qfDpz47WV64tb0H7tdbSUkfM0jRizcjdzO1dWwc2WJ21VcJMz9hZtc1Tn/t/AjWY7R1xX9uT9hb1YWk/6W7hxv3+XuE29GLAtkFIVKqEnjeLypbv02H2DHc2SVHCj18Ke46v6EfvqIEUL9maqxwMG5LpJbavufFA3Q00qpVr7UezZOJcCSgD4fL296kB1y4m0HD+eY46HOWrfmVbDbzOqRTIHgo0I8DvAQ/vBdF18nJKVq6Evi+bKxfs0WHsO9yGFqFeuJNpl2xAb7k1UgZ5cO7UaI024cWAhNqMcWXDqEiPq5lDBTdXazbCa48nG0Y154jmXki0X4hryV3BjS7s+XTh1+ATNZuxhz+SWvA9aT9k6EzGpUo8SuZU2Up6pysfqffYELmzKbC9D/EI8UH37/QI35UcQvGsktlYVsXuiT8MKJYh9Eca197qcvHCN5iW/g5ukj6wb2pppLiEgMsM18DqtKvx/RMOv29JarMFvw+iUZ24UMp67TaJE+03svPycXjXzcGqhDZ1XveNhyFZsalpTYsxBjs1szcdr+8hbawD2vsHcWtyZo7FVeei/F31RMs0q5gSrFbhsGM6X7/HEhlCnQkM02q/i/NqBiB/6YlbaCtuj19F0HsnqW8bcPn+KQvoSBjXOT3D+iWzoqoZV/7XMcQ9nWgN9fFa2odWSN3iHB2FhGsfcckVZpNGOJ4GbKaQ02ufr1dk11Go/l/5bvVnUs85frsD/DzeRLO/RgtmBxjwLOUleQ01uH5pOtf772Hv/ET3y+lPCtCWtt19kbe/qiF9fw7p6Y17kKkPFfCY8uX2N9wVa8eHSzn/03LhG18DlkD2F9TUxy5lDtd3r+cXt1LYYiVqF2lQw/6SYukZB5m9fx7sdnei27jXXXl2jlJbSAyXj8f3LLJ25HF//U2jUn4HnsurYlO9I/vme+MyyVoYGYHiTYlzS64bvvhEMsyrHkzIrOLtvHPF3jmFZrT9VtgeyJu9x+q/xV8FNKYveLB9Zi8bVypGn72EOL+rMG9+dNG49g25HbtA7egn1Bjqz1f8qvWubE/vsIoVLWtB1cyDT83tTp6M9k48FMNGmKMfndaXrvm9wU7z5bLbdec/Akp/2DsZEPGXzklUcd3fkbkI1PPyOUbfId9HG5O/pWqUawWXaUf3JDl52OIvP9ELUNi+NebMBvDznhtUKd5Z1qoDbwp50sbvDfh9fOlXJgfiBJwUqtWHk/huMzx1ACaWHyDeEiRZ5v8LNal9NGlbXwslLjHeQD/WLqbG8d3NmHg+jSb1qKg+18rxVpabD6Fr8LvW6rWKtT5hqHbh6dC4Nhu/9Cjfv7zhSvdJwujueZ0Wvaun0a//v1Qpw8+8aZdYSAtxkVsv8c78EuEknu/11QIF47j4Np5Del4AC52larzG6Xffgvq4Xj08twaL9ctUX6s3DanzumZyD0zsx+FAoPgFeGD/ZRaMWC6gz9RiOffLQpko9nlTpyOk9S9k5vg/rTwcz6fB9puXZj3ndaaw6c5GmZi/p0roPz8tP/gY3xSdyZnFZKlfuQL3NHqyzycHYLq05HlOF50GfPDflB/tyKvyOCm6Wtrf67Ln5BjdIYtk8vArjXErz9JUbJslRvA87R5u23Uhss4Fbm4eya0wdJpxIYKfrCXR95tN71m7qzz7F6Wn1VJ6bn4Gbh/d20CNPUZ50mMyZxcM4tm4Ak7eG4pxKuEGRxJ4+VRni8pbN7h400v3Anhsy+um7UWXwJTyD/Xi9ezC9NgawyvMiLSUeNGs/FUntgdw6uYoj/Woz4qQ6AecOUySnHned9hJVqScdit4jf9XWDHYIYnHnakiiQ7E2L8vLvovwntUXx4XdWOgc+QPcKHCe3Z3ua86w2vsqLZJO0aLjZJJr9CXkyAw61KyMfqcVjG1RCiMzc8oUK4yRVnIq4eY+TetWUEVL+wQ3nz03+66yoGwgpVXb0r55btzvhxA4zIKVHwvhvX8LMYHLaDtgJ72/h5vm9hxf/Q1ubD3CKBk8n6EbHrBt30oM0aRkqTLkzWnMZ8eeavwq4l7QuVE1TtyLIU/JLoQFLcTCvDx3xEk0nXiQk0taYD/AiglBmvi57CPm5no699lG4y9wU7Y4ph3sWd0yhgYtJtJw3kn2T7MizGkJ1v03MXyHK6NblCWn/CG1atRDZmHLibk2jG3XmeNhrzkZ/IGW/+e5mcCy08HouExgqMMt7M+G0bPQDWqWbkKx7nbYz2yPLCaCDXZnmGU3BudZjZntbYB/sCclVfGKP3tuyo/k1pbuNMxVmshhK/C07cGuBV1YeCwa9xRwoyDYeREWfddhu9sFh2E25OmxFp8Nw/k+KGL0xzeIH1+kU+du0GQ+TgsGkDtvbuJDfBgweA5N1pxgeLl7lCpiSZ1BG1g+rDTj2nXgaokphJ+Ywfh6xfCS1eKY02ICVvZn4mEx1+4G8mxLfzqsuoaDsytVcKNJu8WM3HORBV2KYj9wIEeMG+NlN4pFLSqyOTwfx9228/TIePosvszZ8Htoec6g6XhXFjgcplOJuzSymoDNktMsayqlZd02aDefzd6VLZnSsimB+frzwGs5Oknv6V6iBC5lRvHq+CJyfV7zlIfmt46zYqa3Jp7+HtTI/dfhFL/CzRIPtk9VnrlRcHHrCOqP2sekvecZ10CXGUM7cuxJER7fdsdE4k/ZnNbUmH6INUObIIr0pGCZnkxyvsCoqgkM69qTSyKb7+CmKw8upIyWpgwocCLeAl/PAxT/LsCb+Nl52tSyQdpwNoft+kJcDHu2eTNw3kiu2rWhx7pXXH11ndJa6twO2IdbsBn925TCZVpdZl2sydWrO1nUtCjukkZc8HBA7dlxLFpMpul0J/YNK0M367+Am63nOTCgYopfp68BBX6Em0NXmVfmFhVqdqBQnzUcsG2P74Ep9Jl1EuegRzSVulOp6WBKDnNg68D8dLXuwW3NMl89N0q42RrynkGltJC8D2LOhuuMGtqGBJ+pVB7izu6r9+iaIgKdnN3DazNgbwgGIlPWXn7AoPI69GpYEpfLr5DkKIu7fwDNShrw9tx6arWeSqWRm9kyujGum4czbv09PK7doMK7w5SynM18vztf4UYVLe1KIfw9FjO4fBXCy/fA7/h27toPpNOy8xzw9KJ2YV1enzlIiL4lNsWeU6d2ZwoNX8ieac2Y1aMXzqFJbPW6z4Aqmjw9u5QqzZYxxf0G4ytIaNmhDyUHOLBxWCU+H31NpzeAlNUKcJMhMqdLIwLcpIus6V6pADfpJPGPcLOyXxXmecZx9/kLCn/+oRe/vEbDWjXQabMLny390Xh9jXYN6xCcrz/Pz23/2rOYV1fp06kr7leekavqWEq82o5xvz2cXNyaWz6baNV8Im8UagyYYscDpylUWR7GmnaGzB7QimUHLmNUoAEt8z/Ck568DljKsPLmBJUcwQ3niRxfN45utrtRExWje2M99j/Px4trnsQe7EyF4Wc4+eARzYqpM791Q1Y/qcjbG47ofs0Fk4zvuoFYTT3JnddvuTW7Lb23nMGgRBNcvZxoVNiEyMc+9OvQlVPB0dTvv4yKd2YSbOWE/9yGDG9igmf0FMKDV6Bxdyd5ag+hyQJvDk6wwGVie7rt/khQsD+3F7dnxMkkwp/6EOdnT/2O0/goFmFl1YYrFwLYdjmM9skHKGY5lN7bLrOkazUCt43CcqQ7Z0JDaFD821dHhfghU/sNZ81xH0TaRZl/yI22r5ZSe8Ql3O4GYpH3IwvGdGHZwbvkq9ubYaVus/FRDe6e3oZh0mMWj+7Fmv1BJIqgfPdxHFy/lFIRXuSv1o6+2y6xsntNUEi57WlH3Y4zSZKo0dLahsCgULYGXKNT+a/fykmICmPJuC4s3ncH8zo9GVwmnM1hpQj13YLf6Ep02fEIhSqYAJhXa4PT8d2cGpQb+6dduHZ9L7nE12meszq3R5/gw/o237alvb9Hg6rl0Oy0B491fXl/bicWVsptaddZVj6A0lUHMPXkHZpEOFB94EFO3b9P7aRAbGx6cfN5BKVr9EUv9CBl7G6wt1UiTerXRsPGHq8NgxG/3EuRAn2ZeuoBvQ29qW0zijfJaqo+ahnlY8LGYyzq+QXMlUNYguM4a/qtP0ezpa542rZjbOPCbPBPZIf3FQZZFyLyYSAtrJpx5UUC5ap0x+y1M6LJAfiNKky10sXI2Wo1bhv64jevO80XnWKL/0MGVRYzqV0nNviHUXH0Jq6sHcjFXRPpNsYesX4Rxk6Yzoa5Q9l3LYL2Fb87c3N5LbktJzDT/S5jqmgwra0lW+4U48WLM7zy3s7I8bO4+FyMhpEZE3d6MK9NdRxG12Gunw7n7vpR5nu4UW5LOziL26dWY9F5NokSDVpZWxEQ9ADHi9dpXfrzG3JUGD2a1+GmyXDueizmyNAa9HC4z2LPEKbbfAt4O6R+YXZdfKGKuoZIDTU1LY7deUbVSFeqNZpE17232Ni1MDcOraX18Hm8FSdT0moQpw6toaiZNh8eBtCz3QDO3n+CnlFtHN0O0M6iMKLEt6wcOZzpe04gUjNh5NLtLB3XHn31lwxtbMkR7Xa8OrUK+cdbDOnQlyNBd9E2qMCGI4fo36wMarIoHGwnMHSNI2oibXrM2MiG6X0x0YVbnruxaTWMjyIo2agfh3fbUamgMZKIcIoUK03VcU44ze3Il3QxsuS3tCtekui29vja9/nbXC3RzwMoXrghzezPsXtEA5UHRRL3lh1zhmO7wY04OZSw7sqGTatpWiyfKgLdxkFNGbfbl5JNBhJ0yo5Ds/syds1xpAa16FpFxqk3hYi8c5AFFvlZGt+ep1e3kue7UNBDWhfH7WNNAs4comSKyOhyQn32MXLoaPyfxIOhMaPWHWFlbyvc51jTe/NTrr6+R1ktDaIe+tChSxsCbiehUFTF3ms/Q61K8uryCcaMGIHb7XegqcPARVtYOqY7ZrGP6VC/FOFlV3Dx6BTigp1oULk/FbcE4jKsckq4eXePauXKk3fQfo4v78GrM1uxaDWLboeusb6DOX47FjJm+kruRSajX6QcC7c7MrJxFTQUYvYv6Uu/OSfQMi3L4vHWLNl2kWMXAskfakfxlgvYFPyB4WW0UCS+Y8YQa1YevAvo0nvhITZOao6Byiv17QpxnkrNziuRFWzAk4f+mGuK8JvfnGbzTpO7VicuBhz9FJ1MkYib/SwmzrDjcbwIrTI1sXfYSd/aZXnja0eRJvNY6HcP20afgvwrg0usvp6bgFseGFxxoFLjUVSZeJBTMxrgMGME09a7IhaJKNigPbt27qBxIS28D82idd91yDRzMnnqGE46bGes2wOGVtXggl0bLOc/xSP4GtUTrlCgTCPKTPbk3LKm6P1dkrd0eCcQ4CYdRM2gKgW4ySCh07gZAW7SWNAv1aWAGxQkxkYTL1FgYmL69eC3QiEjJjoKkaYBhvraiBQyYmOiSUYTM2PDFD1LjIshLlGClq4J6tIYZBr6GOppqcJ8xkRFIlWoYWhsQlJsJGq6JuhpqSFNiiM6NhF1TT30NCTESjUwM9IjLioSiboOJoa6yOUSIiNjVEnrDHRAnCzH1MgIRXIsUbESjExNVAEEEsQxJMjVMTU2SBHW9e2to+St2p01Z8IYWScXsQnJqGnpYmr45dPnp2ePS5ajZ2iKWmIkSRqGGOlqEBcTSbJcB1MTPZAlERkdi6aeEQY6GiTHxyJOUmBibIg0QUxcMpiYGqkiUEVHRiCVq6Gvr0diQhx6RiZoKZKJjIlFx8AYXS2NT88eJ8HYROlJSBl2SJKYgDguHtS0MTI2gORYYuKkGJoYq7abyZTPLk5CS88QXVESsclqGBvqq0Ijy5LjEYsTkIlE6BgYoq+lCUoNo2LQNjBGT+vTl2il/aOiIpHL1TDQ1yEhIRE9I2O0fkhckqIttWTESaD28TbVqzWh4TJ/VnQuwZ2jW2k30o7h+/yZ2zoviXItjJV2UEgRR0Qj0zXCVO+7ZBKfxxVaBhjqaaOQJhEdE4eWgQl66hKiouPQNTRGQ5FEdGwSRiZKG4uIFUeRlCxHR9cQksUodI0x0IKY6GhEmvqqMaqQJxEZGYuukTEbB1Zk3bVSXAvYiQbRdK1cm3dVRnPz5NwUyWElCTHExEvQMTRS6ZUgjiY+GYyMjdD8nCUyThxFoqptA0SSWKTaRhjpqBEdpZwfn9uWJhAZHYeOoSn6WuokxcUSm5iMlr4BhjrKuZBMdJQYuZomRoYGqnmhb2yWUnNpIhExcegZmqCjqYYkPoaYRDmmpspzBQriY2JIkMgQaWpiosxJpXTUxEWTIBFhZGL06bmkT7CsXB1xzUlc3T1D9WKt/AGUK77ZWt/o01hSXaqcLUoNP81zWZKYqNhk1VjV1/7mufikwadw758uNYxMDDli257FVwtz1msj+VQv43KiI6NVoYe19fQx0P0WiiwhVkx8UjJqGrqYGn9zP0iTk4gWxwKaGJsaqubE+6suWHWeyLiD/gysW1g1r5Pi44hNSESkroOZybc3fJkkmegYMQo0MDQ1QuvLnFLIiY5S9kWBlp4Bhqq+KHh+cSulLEaw5uxDhlsW+7pmRAatpVij+Sz0uMzoxqX+dvVVyKVERUajaWCMwXcaKdeJ6OhYpEqY1jP8ZPfPlzIBakxcAuo6ehjp64IsUTVeROq66GvJiU0CMxMDEmIiSVBoYWKsnyJ6YVxsNMlyddXY+f+8o3LVGhivtI9ybBh8Cj+enBBDbIIcYzOTz2NeTnxcDAmJypD3yrVN/2vI56TYGGKTpKChgZGhIZrK8IIKGeKYKOTq+hgZ6KCQJRMTFYuG6rl/ePuWy4iOjkJN2xADPS3kkiRixPGf1x1lXVJio8UkyeSoaetgavDNfnJpAtEx8Yg0dFQJWKPEiZ9yrik1ionHwMSML81JlOuhciH60dbfWUsuTSQ6Og6FhjZmyjVUuSEvOZZocZIqgayxkf633wm5BHG0mGS5AnUdXYz19T6FgpckEhUTj66xCbqf3b2quSZVw9jYEDVkREdEIdfSx9RAB7k0CfH3tv887pVR9KIjY1Tz3thQjzixGG0DE7REYoZWK4m3SX+u+i4jB3KioqLRUK5run+TJiCd3gcEuEknYTOgWgFuMkDkdGhCgJt0EPXLy+3XJJ7p1EZmqFYW94pupfNzpcEGgh1HYfTdl9DM0L+s2IfE92EM6NYNr9Bo8prqIf4opmC9duzcuZLSxumaSfQn5FLgvHwQk9e4o50rF2rJ8cSq5WXW+m0MsanwRxPm/cRD/HRRhfwJreu3wTdczIwNzszqVv2n6/ipG2KfMWv2QiyGrKDFd1HffqqOvyl8znE+rpFVWDWu3Q/h0n+vdoUsjp1DqjLYvQRPwo9T2PALeEu5vHMRa/wlLF49hxI5M8tY/r3nFe7OnAqIwz0oVaUtg3YFsajL/4cbz8heC3CTkWqnbVsC3KStnhlVmwA36aR0Ss9NOjWSKapV8OGeF5fe5sO6QUVVmGvh+n0FZHEfCAi8QVxyMpp6+ahau8q3cwu/X33a1CBLIuzGLR68fa/awlKkYnXKF0oZvjZtGspEtSjiuXD2PAnGBbGoWZbvsj5lok7+2a4o5MncPe/NE7OatCyf+3My2D/bJ6H1/54CCR8fc+7qE6rXb0BO/b8+25VRqmR3uElMTMTQMOVuk4zSNr3bEeAmvRVOn/ozHdxERER8S8mePs+cYbXGx8ejp/fdydQMa1loKDsq8CnTugCP2dG2wjMJCggKZF8FJBKJau3W0PizkJUeCivPCEqlUrS0fsjUmx6N/YE6leCmo6PzB1pO/yYTEhLQ1c2en+gy27OJFMo3uGxw/Xc8N9nAWFngEZKTk1FOVmPjbO4ZSQNbKL+SKj8qCCD412K+f/+eHDlyoKY885HNrpiYGNWPtTJXTXa83r59S+7cSm9Y9vvI8fHjR4yMjLKl7ZRrkrq6erZ8SVaCjfK3Kbt6bqKiojAx+S4UejZaWCIiIjAz+/98a9nhEZXrifLZMstaKcBNdhhVwjOkuQJKuFF6ArPrIpuWgsXGxqpecJUvE8L1/woo4Ua56GdHfZRwo/zKml2/IgtwkzVndHbflqaEGyWYZsdL2JaWNa2a6balCZ6brDmQhF6nrwIC3KReXwFu/lkrAW5SP5YyW0kBbjKbRVLXHwFuUqdTZiwlwE1mtMq/90mAm3/X6JdKZMS2NJkkgdhEMDb8hz2TytCi8ckYGBh8DUH9Vw8kV0a7kqhhpJ8995b+khEz0U0C3KTeGALcCHAjeG5SP18yS8nsvi1NuQ00O55vUJ4nEjw3mWUW/Vw/lHNOuUU5O14C3KSTVf8PbhRynl7zIDJvQyoXMEyTULm3j8+l9aZ4np1e+fdPEXqU0kMPcPK4CyX/YdvoU6dxtPUozOXtE9ERdvOk06j49WqzM9zIZR/xcvNHLPmU40VDy4zG7axQpt5USOMI8fcjNCKenHmKU69BNbSUxw0UMl7fCeLy3eeItAypb21FDmVSHkCAGwFuBLj59bXmT90pwM2fUv732hXg5vf0+5N3C3CTcepn3zM3cgm7+ptzuYUf9j3Kp0hy+Kvy3nadQwv7OF56r/4HuHGi5OD9uLu5Uuqf4ObIGFqfKsIVh0kC3PyqQdLxvuwMN0lxgdTO34ca3VqhoylFXbMctnajyYeCPWMtmXwmgo61qnH2tCf157myfWgdnnhtpH3/pRS3sUZ26wqhBpacO7MRcx2RADf/Mg6FbWnpOFHTuWphW1o6C5xO1Qvb0tJJ2AyoVtiWlgEip0MTgucmHURVVvl/nhu5hD2Di3Cl2RnWdSuLSCZDIVJTZblWXjKpFJG6OmoiEXKZDDV1dZRZweWoo6GpjkghRyKRoqahhfrnIEc/wo1MJkEqlaOmronm54zPhDpRcshBPNycKaQnQU1NC42/8Mw8TQE3CpKTpGhpf4o4JJUmI5OBuqYWX6pFIUemADVlv+Qi1EVyUFNH/WsEJgUSqUwV+lKEnORkCQqFGtqf61Qo75cr0Ph86FshkyIXKe//oocEkYamKrmgXC5FkixTPfuXjPaq9pUZr9XUSJZIUNPQVGVdz65Xtoab2ECatdrOfs+dmOsoQCFCpMz+HnmVauX7sdo/kKbFDXn7wJ1y1e0IeeXJ6jZlkfTdxboB9ZElRdOtbHnaHblEv1qF/hJuZBIJMoVCNYa/pGJSjkG5cuwiQyJXJo7XUOVk+TLeNbS+KyuXIUcNdZGMZIkCDU3NFNs8FXKJ6v/V1ESqua+hqfWP20D/5DgV4OZPqv97bQtw83v6/am7Bbj5U8r/frsC3Py+hn+iBgFu0kn1f4Mbh8ktuFFuDpsH1lX1oHeFElhvOUP/OiZsHN2SI5pN0Ljtxf2H72jSpxu6b25yIySOqHgTtrvux7KkMd/Dza1j05m0IQDzkoUIvRDKwM0nGdogH6LQoxRrO4dKpXPz5n0Eb97kYI2LEx2r5kzx5J/gpijXdg3AYVB/3PQ64mTXB+/Ng1nr9oyiRUy5fjGela7O2JTQ4aHnEppMPklxLRFSRW5W2pZnyIFkzhxaTm5dEc9OTKDZvtxcsO/E8qkDCI4vjHHCE14b2nB022y0HztRY4gLgb6HyaGtYFLrCrypMR/H+V1IfnOXFhYd2XTtJtJzy5i41gvz0sW55xPCwO0nGd4wPzxwo3zPRVQsYsKz5294996UJQcO0K22eTpZ9M9Wm93hpr7VctbsWIl5HhOK586t/DxAxI31VJ30jpunF2GqKSI54jG1i5dl041gZrYexPgjJ2hbzgTkEjb1LMb9Vi6s71PzB7hJYLvtINaeuIGZiYhnivxsWbeHFrXMCfNaRZOxTpTRVUOinpc260sAACAASURBVJ+9pw5yYU8/tnp/oERhQy5dkbHFZS/1ixly1Wk6ndbep5YinGfR0cgLtMRhz3oq5dXg/aW9tJuxjVLmOfA5cYFCrYaxY+MCyuTInDktBLj5s3P5d1oX4OZ31Ptz9wpw8+e0/92WBbj5XQX/zP0C3KST7v8GN9snWnG93EK2Da6n6kGPokVo6ujLwLqmrBthjUNUJ9y3DCfu4gbqDnBgwiZnRlsXwWFQfYJr2bHbtgUh321Li3p0A7FWYfLm0+e6y3w6rjMk3N8W3fCjFGk5kykbnelVNy/u8zrhKB/KyfW9+T4TxNMjY2nrmZsxxe5y7HF59m6diZkGvAq9jci0CLlyqHNsRhe2MIbTy1vw1GMx1Yaf5Kj3CWrlEGFoJKF1lZb02udJr0q6LGhTk7h+Lixrk4OHj2PIU6wIGknP6VS0JkMu3qdtoSSGWrWi8c7z9C6tRqsRPVB/VwQ7x3Wo39hE68UvueK+lOTnt4nWyI95fkPueSzGZpEWYednYPjIjSLWk5i8zZU+dfLhvqAbjnFdcd8yhMz5Svl7Ay07w4006QGTRy0jTk0D8dtnPE8swe4j6zG9uYDKdto8cLJFTxNk0S+oV6YQS89cZ2bvScx3OoFNCX2QS3EcWRbfyrvYNaJ+Crh56DqT9qufsWffKkqYiLiyfgyjLxfB13k5Mf4rqDH4CC6+ntQ0EWFgbMSb8Pto5iqKmbECh661uNbYni1jm3DdyZamMwPx8DpMGaNkJrVrTe5he1jSvRQbu5ZBMtGf0bXycXzJcA6LunJ0buvfM3g63i3ATTqKm85VC3CTzgKnU/UC3KSTsBlQrQA3GSByOjQhwE06iKqsMjVwc6P8IrYO+uS5+R5u7IbbENranS3tcyGNPk/DZps56rMPcz0Ffgubsza6H4dX9SL0O7hJ+viEwLMn8QoI48XT+3hdLUP487UYhjtTctghTrs5U8wQ7uwdysgTZXB3mojBd8/+zGUSlSe6oq2WA/egS1TP+WnvW9TzUC54ueJz/QVPrvvzquhEfA705+XJ+TTfGkO427fzPoentWO/pAsHJ5Wnbq2OONy+R01TeHInEC9nD25/TMDXwZEJF+4wuGo+XBb3wslgMvu7PGLcAQN44IzNmBVoHh+Oa4EFbO5XjuSPT7no546X7z1evXqI24WihL7cQI5HbpQesA1vL3cK60OI4yjGnDDH7ejMFM+VTubN8GqzM9x8L6ZU/JJp3a25U2cbB5pdoNJ8KfdcZ2KoKUIa9Yy6pYqzKuAGM7uOZZbTcZqXMlTBzc4hpbhUZz/bhtRNATeOA5twpsh4HOe0VTUjf+FKvvrrOHXeA4PgNTRd9ZxnZzd/7oKCiCfBnPM4gV/IGx77HkOn+0b2zunArUNT6HLYkCfH5qjKbuxuwZ06C9k8ui67BlfmaVcnJtTLx9Zp3blcYgbOU6wzfIyktkEBblKrVOYrJ8BN5rNJanokwE1qVMqcZQS4yZx2+bdeCXDzbwr94t+/hxu5XIEaUhyHFCbIRnnmphw7JlnjbW7L0UnWoJDQo1jJr54bJdzctXFle1dzJOJAmlitY9+ZAxQ2EuEzz4YNcQM5tLLnZ7iJ56X3Sja0LcMezRaM61CDD2E+rNhlQNiTz3DzNaCAguDdgxntUQH3wxNSQIByW1p7n4KM0jrHjjcW+B+yRVstgeHVyvK4zmD6WBTj4dnteCYOwOdAPxXcNNsUwYNT61TnYpRX/E0Hao73ZuvICgw8mVfVlvjmfqxbL6TVTFvKGEhxnDKJbqdDGFy1IK8v76XZ1Cvs7PGYqxW2kstrBk+K9+DxoXX0cT5FbT0F9l2rsT3egkk96hD9OIAFmzS492wDZo/cKNVvM56nPSluBLd2j2C8eyHcnKYLcPOLYzZT3KaIZ9v4juxRH8XZGbpUr7GdE/cOUFxXnYhwb0qWHceV91eY16Q+9VcfY6hlEeSSGHqXKUYdh4uMbVwyBdycmNaKPbLuOK3qoxqnkju7yN/lKL5+x9G4thLrFY957rtN9eiyxGcMqmtBZNNxdKmch5AjC3labTmOcztw89AUOh/Q5emJBaqy67rVI7TeYuxH1WD3CCvWXPqArqYmeQq2YM2uZZQ0y7wh1QW4yRQj/Zc6IcDNL8n2x28S4OaPm+CXOyDAzS9L90dvFOAmneT/Bje5CHTZwcM4A/bMGYG1wy2mNimC19qBjNwfx6I5gwg7uQ67A9fZ6BFInzqm/DzcLGVktSLoDN7CKOu8bJ45gt0X6/P46ZpPnptUwk1rj6Jc3d6b6U1rEdZ4M65zqtOyuAXNV+6lRfEY5o0fwov8Czi7vx8v/gJuUEQyqZkl+19+YPrGK4y1zMeTU8toNfM8+5028/bKAQYNWcyC83cZVKUA8vgnDG9mQ2ykIVP8z1M8fCedZ/hiXqMWu5ZPRUQSExpUJKH9Uqa1K8q22cPZ4l+b8GfrBLhJp3Gb8dVKuenvwJ2XhuTLa8r1c26s2eSFfWAwHYpC72qled9oPOOtzDm2bga3a6zAb2knTi/uwnhPbRba9if58ibG7xFxNeQQpUy0UsDNh9ubqdtiA53n2GJZSMSGkRPQHLibA7Na89RzaQq4kcbcoVm1NvTadpxapk+ZOKgfZu0c2Du3/d/CzYbh5Rhbtgzq7YZjpK+OcfEKtLVuRemChhkvZSpbFOAmlUJlwmIC3GRCo6SiSwLcpEKkTFpEgJtMaph/6ZYAN+lkt+89N/GvLrN08Spe5WzK2pmDMdRSQxr/DqcVdhy794ymXaciC9pKyX7zsCqtz8kt83lWxZaRFmbIEu4zd6474+ZNIJeeiODD83FPbsLkPg15cfkgyzyS2DKvP5HPLzFrwRbEcjMaN69FkI8YO/vB6L6+yKhN55k5Yyrm+vDUx57tNwsxa2Ibvv+2/P7CDpbcyMXyke1IfHaLSXNWM27VdrQfn2LZJmdERsVo2SAnl15UZNFESz5ePcwSz1jWzxqUImfPuR3j6Gn3nFu3nMmhIUIhicNltx1H/cLIXcaK6olnMR+8BuuiyoAGMi7vncWaS6VwWNsPffkzFk5ehG6TwUzpUEdlmYhnQcxfvIlIqQmWbRoReOo9qzcPwfDtFUat92bOnJnk1YMnPltxuJmTmRM7pXiudDJvhlebfbelKYh8cpXly3bwKCICDfMiDBwxCevSeVUaxzy9zmo7e+6+lFCyXhtsR3XESEsdSewHXHevw8kvHC2zisyePYJSBU1VYzFlnhsZd867sX3zQd7K1ahhPYCBvaww1VHn5Q1nFru8Y9PCEZ/sqVBw+9xBlm89iZZBSbo1kHBfuy2ju9bhyfk92J3Twn5GD1XRk6tn8bJ0d4Y0yc2Cwc2JqT6dllXMuO91Aoez99h5+hRVhYACGT5PYmJi0NHRQchzk+HS/3aDQp6b35bwj1Qg5Ln5I7KnSaNCnps0kTFVlWTfPDepevysXkjO/lkd2S3vj/eS9ln9YTJV/7Mv3KS9zBmZxDMm3JtCNfpx6vJNqhcx5uO947Tst44dXueokSdzZsMVPDdpP+YyqkbBc5NRSqdtO4LnJm31zMjaBM9NRqqddm0Jnpu00zJFTf8XUCCd2slU1caH0rVJfzpuPUH3yrkyVdeyemcEuEm9BTMSbuTJURxcMId5J+9QrXROPjxNotWYqYzvVe/rWbTU9zxjSgpwkzE6p0crAtykh6rpX6cAN+mvcXq1IMBNeimbvvVmOriRK0/fZ4NLCTfKl4jcqpwdwiUo8HsKKOEmISEBY2Pj36voP3C38kVCT08PkTIjp3D9nwIC3GTdQfHu3Tty5syJ2tdkyVn3WX7seXbflqaurq7aMpndLuW2tMTERAwNM+85w9/RPCoqChMTk9+pItPeGxERgZmZWabt3+90TLmeKJ8ts7wHiF6+fJkt4EZpFJlMhnJBEy5Bgd9VQAnLyn/Z8aXmd7X58X6lTpllQUvrZ0uL+rLzuiSXy7P1HJFKpWhoZMdMXtn791I5LpVrUnZdl7LzvBOeLS1+dTK+jsz2Oyecucn4MSC0mAUUELalpd5IGbktLfW9yjwlBc9N5rHFz/ZE2Jb2s4pljvLCtrTMYYdf6YWwLe1XVPvz92S6bWkK5WfXbHD9J8/cZAO7ZdZHEOAm9ZYR4OaftRLgJvVjKbOVFOAms1kkdf0R4CZ1OmXGUgLcZEar/HufBLj5d41+qYQAN78km3DT3yggwE3qh4YANwLcCKGgUz9fMkvJ7H7mRrmlWFdXN7PInWb9EEJBp5mUGV6REAo64yQXtqX9hNYJ0a959EFB+eLmf39XUhT3nkVSrFhRtP/g8R9J3AfuvxBToVRR/vactzSW0MevKVCkJPqaPyHEf6CoADepN3IKuEmM4O4LMSWKFkYrFeNfkRTNvafvKVmiBJpqqW8zK5UUPDdZyVop+yp4brKm7QTPTda0m7LXgucma9pO8Nykk93+z3Mjl3JyYSvu1N3CZJuipOI96197dsN5Gq3s4nh1fuPfl713EPPe+/A5606Zfwj4EXVrH723RXBk3Rj0NODZiZkMDCiNy+J+GGn9a1f+tcDTgI1UHniKt/fc0db4myhWr85SvsV0trgH0aDAv1b5nyogwE1Kc0ukkaydPpsDZy5RqEJXtm2fSB6dTwetU8DN7e3kGXqGwNOHKZ6KQHPJ95wp2GkNQUEXMLtlR7s9SRxYa6tKFJtdLgFusq4lBbjJmrYT4CZr2k2Am6xrNwFu0sl2/w83EnYPKsiV5j6s71YuTeDmtuscWtjH8dJ79d8/RagTJQfvx93NlVL/ADfvL6yi2vx33HNfgfj2PirarOL4NT/qFTFRZX3/3et54FYqjfTizdWjfw83r/2p0nE2m5zPUe8fnFG/25eseL8ANymttnVuR4KNO9KuphEuy2zx0x/E5YOTMFL/AW5CdlNs7FnOuu6lqNG/Wz459Dhleq3H3+8suSMv4XRLRvtmFhhkI0+iADf/Pg4yawkBbjKrZf65XwLcZE27CXCTde0mwE062e6v4GbP4CJcaXaGdd3Kcu+8K+/N6mBZLq+qB16OjhS0bk/ZvNrc9HdDrUJ7nh/fxqNkM9r26oRp0k32HbyIecX2tLUshJoIUsJNFD6nnbkRHE2OAnXp373upycLdaLUMCcObJnMpbOXMCtkTZeW5dD8wXX0IXA1NRZ+5JpDF0Z36E2TNV4MssivSkQoE7/mzKGjhMTIqNmgHfVrFf2coDCZ86ecuRr2lnxlW9PBpgRaInh1+RRHz99FyyAf3Xp1xdRAk5RwE09QgAsBl99hkKMywwZYf+rrd3BTN08STg67qdyqF6XzqxMS5Mbpc8/Q1CvDgAEtMdRV9kyO+M0ldh25iFRmSLMOPShfxBAUyQT7HkVRvhNvzzhyP1qfFh26UCJf1n1DFeAm5USNj49BQ9dINd7C3ebRwPYGl4OOU0j/7+Emv8Z7dm87TrtB/chjGMe5M8e4cjMC4zy16dezvmpOfIUb/7MUTAxm5/kIurZsJMBNOq2TaV1tTEyMKpeIcOYmrZVN//qEMzfpr3F6tCCcuUkPVTOmTuHMTcborGwl+565kUv4Hm42j27M1QqL2D28vkrdTkXy0WzPBYZamGI3uCErHpbEpmIOXt/w5aV2bkyMclM6rznn3TyZdNCHYY2LpICbK3vHsc47kVoNS3POcQd63RzZNbIG6mFHKWI9moLlq1O+qBkXjgfQdeMpZncsl8KqHwLXUGPaTdrnfY6k6Vzshzb+9Pf4t8wZ1Ic7OvXoWEuTnZv3037jccbUL4TL6tFMP/gY6zoleHz/IeM3OGH+xJHRi3xp3asVsUFHCZDWYLfDfLix46vn5vnpRczZ94CaTWpy+9h2XlZbitv8lmi/O6fy3Gx2OcmdFf3Y96EijhtmIr+5k6kb/anTypIwlw08LjENl5W90fwYzJRJtuhWboFpVCD7fTXYfdSBarkT2TqsNnNCS2BtnhOZOIS7smr4ndyCmfJtOAteAtz8jdEUyfjY9WTUWQuunJyAgeiv4MYHL6el7B3Wk1sl+rN7fl8euMxm9cm3WFhXxn/7Jgx67sJhdF1kXzw3Srh5uJ4cI0O44bGNQtkoP53gucmCC8DnLguem6xpO8FzkzXtpuy1cOYma9pO8Nykk93+zXOzfaIV18stZNvgeqoe9ChahKaOvgysa8raEU3xLbQSl9mNkd7bT6nWG9njdYbGxXVwndiYvbpjOLy4K3e/35aWnIBCBDHiBB5fcaT56OeE31+FQfhRinfbwD73s9TNr0HQhp5MuVKf046j+D5X8oeLdlQd709laQi1551kdpsyqn49cl1Al2332bZyJtoKBY/PLGbWLUsurahN90a9GOIfQutcypKJJMUnY9u5Drq97elZKRcitTj6dR3B9D2nqZXk8m1bmiIBROrEiON4+8CX6pYHefDhEHmiLlCt83RaWpTGIywf3k4LMVN+TpckolBTIzY6lmTZbSwqb+B42CFK6ypApEGiOJp4OYy1bIzFKhdGNM7N9tH1OZl3JUfn2aAhvkvbKj0Yc/kyNjmzZoZoAW7+eqJ+fOBD44a9mXjqBgOq5lEVSnHmJmQ3Jca40qlYMqE5OuK8YvCnLaGSJBQoiBHHExV6kIZDHnP99ioMH3zelqaEm8ebyTM+hKvH7CkowE06rZRpW63guUlbPTOyNsFzk5Fqp11bgucm7bTM6JoEz03GKf6f8dwo4eZm+UVsGfRp+1jPokWw/gw3dsNtuGvjyvau5kjiLmFtaYfjmQMUNhLhM8+GDXEDObSyJ6HfwU3kTVcWLF2H58WHRMYnIdPtyaMnqzEMd/7uzI2C4N2DGe1RAffDEzD4zq7KbWk1F3/A27YcrbqvZW9IILVMtTmzZDCDHEJp2KAoCokcdQ1tyrUezpAqb7FpuRW3MDfyfXWG3KdtobaIa9akgK4IZcYi/bzlGT15DCaP93+FG574smDRSk743iEiScrbDxY8Fx8kX9QFqjcbQGKCBtUm7GTXiPooYw/EP73EyiVLcTl1nQgZfIysyrV3RymjGYXzhsVs2enGg0R4/1zK6lNnGNEkH9tG1COo4TF29CmBNPYh/Wu1o5v/FdrkypqhOAW4+f9FKDkijGFWzdAf58y6/tW+nmNLATd39lC40xK0kxQM3OyJbfNiqore3zrJ0mVrORUQijhJgtSwOyHhdhg/OPHpzI0ANxm36qdhSwLcpKGYGVyVADcZLHgaNSfATRoJ+QeqEeAm40TPhnCTi7gkGfrasKdXIS62PsPGHuXZNt4SN7PJeMxpBbK3WBeqQe/D5+hfx5QUcCMOpInVOvb9LdzE89J7GUPLF8d01gFsm5fjRfABmvW8R+jT9T8FN9Xnv+POySVc3TqQTvt0CfW1J/bsEjrZvcTr7BZyKMeBklhkIsSv/Glecyi2d0Npo/pDEnGJ8cxp1Qhj2+PMaVr006hRpmRVwPNLXwIKOLHcpgLhrVaxdmBdIp8GULPGNkLErphHXaBKx7ls2GPHzKbWdN13jdENCmI/oBluOfpzYGYrUNyjQbklOD1wQS1wE83HXODypW2qsxeTWjSkylxnxjYV4CbjpuyfaUkS+YxJ3TpAjxWs6W+lguAv14+em2Lj/HBe2ZE+7SexOvAmzQpoMK5hDWS917GwS1Xi3h2lfqtgroStE+Dmz5gzzVoV4CbNpMzwigS4yXDJ06RBAW7SRMY/UokANxknezaEm9xcPbKE9U5X8Qu4yXrfK7Qrm5N77uvoNWI7+RvUQfL+LWFXLjDz2FUG1zdl9YCG3GrhgWPPAkjEAdSrt4ojF1woaiTCa0ZD7BKH4rqmL/ecbWm5No5XAevYOrwR+96Xo00tc84dc+JceANevLHH6MFh8vfZz1nvk5QxVXBrex+GeFTCx2VqCs/Nu4BllJ/9lkfedujK3rGkqQVBDRdzcHpt5vboxW3t8rRuXorbp70p33c9k1rmZ/fs/sw4+oymdUvx4E44I+2PUv7FIYbMP4hFnwEUT76P9yNj1q5aiEbIJioPOsXbu254LGzLwkuGdG9aiaBTrhw7l5NnMUq4OUf5ljPYevIixZ86UKvTOjZ7eKFzfiFjDj1neDdLgtyPcdxfn8vv3Mj19DQtutjSdvBoIkIvcszZi4l7/RjfzJxNA6tyydITxwElkcSG06NCM3oHBdM+d9aM6St4br5fhOQs6VKb5ReSad+iBmpyOckapsyaP4ey5iY/hILeQd7hZwj03EfU8ZlYzwjC5+Jxrq7qyY6HuejauDjnjh3B75EFYS82YRJ2jEKd7Ai6HEChR+sxGxHMDc/tFBa2pWXcr8BvtCTAzW+I94dvFeDmDxvgF5sX4OYXhcsEtwlwk3FGyIZwkwdF4jvOnvYg0qgSnRpXVUU6Q57EvXMBXH32hir12yEJ98GoshUlcmtx79JZos0bUaewHnLJe7zP3Ke+dX1VYss3t89yX1KchtWLEv38Fj6hUjpZV0ea+AF3Ny+ikvWoWqc8j4IjadWuJpriZ7hefEwTy8aqfDWRDy9y5ZUJTRqU5VNWkE9X4vu7nLqdSFvLamiogfR9MEd8PtKmfQN0kz8S6OHFw3gZOcrUpUWtUqoEh4qkOPy8zvIsIpIcRRpg07AYWiIFb274c+bmYyQ6ObBuZkNBMx3i3j/g5OVXdGnVCORivE6e4k2UiIr16/D8ajg2nRqjJ3mPu/9NajVsRi4dOde9nIgtZEn9Unr4nfbg2fskyjexIeLmHWq3aISJJjy4GcCFG48wK9OQAgmh6JauT1lzXR5c9uRD7sbULWaIXCom8JQfRWxaUkAnLTIMZdyE+NKSADcp4SbI05XQd7HIlZ5E5SXSp0mbVhQ01U0JN1EPOXblDU0bW6BPIr6uRzCr25lyZnF4eXjzMUGbGo1r8PD6O2za1ERL/Jzj5+/TzKYperFhOF2NomWjWtkqqawQUCDj529atSgEFEgrJTO2HiGgQMbqnZatCQEF0lLNjKtLCCiQTlr/X0CBdGpHqPa/oYAAN6m3c4ptaam/7T9TUoCbrGtqAW6ypu0EuMmadlP2WoCbrGk7AW7SyW4C3KSTsP/RagW4Sb3hlXCjp6eHmpoyF5Jw/aiAADdZd0wIcJM1bSfATda0mwA3WddumQ5upFLp530mWVfULz1XvkTkyqWKkyxcggK/pYASbhITEzEyMvqtev4LNytfJHR1dQW4+RtjKxd9U1NT1NWz5hbNfxrDYrFYlcRTUzPrJuz9p+dT/qbkzJkTkShr5uv6p2dTfiE3MDDIlraLj49XrUfKsZndLqlUSkJCAoaG2ehg4ndGio6OxtjYOLuZTfU82dkrFRERgZmZWaaxmyguLi5bwI3Sc6OcFCYmJplGXKEjWVcB5aFNJeDo6+tn3YfIoJ4rIVCZoV7w3Py14Mp1Sfkikh31Ub5EKm2vofH9icIMGngZ0ExUVJTqRSs7wo0STJUfJbKj7ZRrknK+KcdmdrtkMhlJSUkqb3l2vJQfy7Lr765yzmVXKFUGl1E+W2ZZK7NlQIHsOOGFZ8pYBZRgo/w6ll2/IKWlmsK2tH9WU9iWlpajLWPrEralZazeadVadt+WpoS37PqSnJ29G0K0tLSa4f9ejwA3/66RUOI/qIBw5ib1RhcCCghwkx2/kCutKsBN6teBzFQyu8ON8sNbdt0yLcBNZppJqe9Lpjtzo1Du58oGlxBQIBsYMRM9ggA3qTeGADcC3Ahwk/r5kllKCnluMoslfq4fQp6bn9MrM5UWPDcZZw3Bc/MzWkujObhhMXotF9OudPY8QPszcmTnsgLcpN66AtwIcCPATernS2YpKcBNZrHEz/VDgJuf0yszlRbgJuOska3hJvLGQboNnEyZEfuwG2rJ97GKXgUdodugGbxPgtjIaEQaZugayCjXeQmHF3VF+68CGyW9YWKHephMvcOcxroZZyWhpQxX4L8JN4lMaFKPY+FitHXVUMgNGL/TlRENCnLDaxtjp+zgadJbSCrEfCcnBtbIq7LLL8FN/BuaN6hOq9VXGNPYPMPtm5ENCmduMlLttG1L2JaWtnpmVG3CtrSMUjrt2xG2paW9phlRo7AtLZ1UTrktTU6w23ombPehStJ94ttsZsNoqxRwI0tO5P3HCBSSKFYNtcJw/HWGVlKgpWdGDhMd/jLwZ9IbJnVuiMmUEGY3zH5RWNLJNFmy2v8q3IxvUo8685xpVFIHhUKEcY7c6Gur4XFoOeIibahbWAe/jeOY5mvOdd+t5NX+RbiRSwl/EIppgVLk0M/eXlABbrLkEqDqtAA3WdN2AtxkTbspey3ATda0nQA36WS3H+HmTVgIkoLlCBxTFd/KdtiPsU4BN1+7kfCOGd2qYTTjBbZ1Pv2vNP4dHsfWctDrOfJY6DZhHq3rFUdT8obJXRoha78B0S0Hnr3JzZCp02lW3RyFLI6po0fSbdZmauTXI+bFDabM2seS7SvJIXnC7EXbqFy3GicdDhGvX575K20pay6EGU6n4fDb1f5X4WacVT0s1/nQsowBWn8T3jfMbR5Wsx5y6fJe8uv8ADdPzjDW8R6NiiRy2O0ihpU6MrlXOVy2bODmU30GTJ5Oy5r5QR7HAttJ1Oi3hJYFxIyetpj2XRpzaNtREk2qYzt7LBUKGII8kRunN2HvdA1xTAJydT2Kd53J0pa5OeSwCI/Lb4mNT0JdPxdD5q1H4jWdFyUHMcyqHLLEaNYNHkqNVdtpmPfP5SsS4Oa3p+Mfq0CAmz8m/W81LMDNb8n3R28W4OaPyv/LjQtw88vS/fONfx1QQMqBgVU5V/Xn4Cb+oR+rdl6iRf/uqD85StthPhw/70L1HFFM696Q7TfysHLRFGR39rPQW4NbQfsxlUVRv0pZZh0LpUUpIz7c96a+xRzOvj5P/sRgLC1siCrWgVn9WhF+dAG71Idxw3EIutkve5ytiwAAIABJREFUN1w6WThjq/2vws2EJnUJ0i9JQRNtipayYOKEweQy+JbDRCEVs2t8Y7bJpuK/uRvaP25Lu7MH8yZTqNFjFINtCjFn4FAe5qrImFHzKPrqJHOPvibsrhsGsihaNapLm6VnGV42inJVaiOq0Yf5/Zpy/fByvEWduXxwMglhhynfah8OJ1aRfNaBWXvf4ea3i5g9Heh7viq75nXCa80s3GjPSfv+7B5dm3u1VrOhX32kce8YWLwIrQKf0a1YzowdQN+1JsDNH5P+txsW4Oa3JfwjFQhw80dkT5NGBbhJExkzvBIBbtJJ8rSEG1Aglybw9uETIuTJDLPuyQT3s3QqK2JSp4bkmnUf2zpqJLy7Que6Y5l97wK1RTH/CDeNmo9g2t5AWhYXEfPQmVpW7px56EABdYFu0mlI/Fa1/024+SaZLO4Dszo14ajpKG44DsVAUzlOFdz3WU/17oe4Ee5HKSMl2vzguQnZTbEJ/vi57qKQfgJ7+tQjwNqRHf0qEv/6Gl1q9GX+yzvU+B5uykRSvn5L9p57SLU8Gjz330aXCX64Xz9A7KmZ9DxaAj+H/khfnqd+03kE3PXCeVBFHrc5xOz2FbnnY4fV8liee85hmxJuagtw81uD/yduViZuU2aBFwIK/IRomaSoEFAgkxjiJ7shBBT4ScEyUXEhoEDGGSNbBxSAX/PcJISeokPbUbw3MEN5+CY8OB7HIF/aleHzmZtbzG6oS/yby3S0mMD8e+ep9RluZjjfp1UZYyLC/Khfdzrenz03jZoNY/Ke87QppUlU2GFqN/fG58F28gtwk3Gj/Sda+q/DjVKqF1c2UMgqgLev95NLX5MXF53p1Gs+070CaVfC4Ou5tBQBBZRwM/YsZ133UtQomePDrThWfS27h1Qn7uUVOtcawOKXIVT7EW4sWrDT7xG1zTV46ruFrpMD8Li2H/0XXpSoPZLWw/qQ4O3C+3KDcds6mtdOY6g69wYjejfiwk4nai87yqLOldkysjbBNVaxaWADpAkfGFa0EDaC5+YnRv7PFRXg5uf0ykylBbjJTNZIfV8EuEm9VpmtpAA3GWeRbAs3Cmky8YnxOI2oT0DVFdgNt0RfVwd10Q+ekr84c+O3YSTjPHIS5D6f5IjbWFbtwcwTPnQo+xluJt9idqMf4EZNjGXlErRYcpbhlgW5uHc6feaGcuvVGcwTg1HBze7ztCktwE3GDe9fb+m/CDdyWRyRUfFoa+sik4o5PL0L8950IuzweCKuOzNg5DJ6rNtPj2oFkCNCT1cXdTVRymhpvwE3Dn6PqJMCbvbyeMcwFl8uSZcGOVA3NKeRlRV5DBUst6xEYvNxFMmjQ67CFbCsXxNdLRG7JzXCMbkfLou78j7kJJbWQ1kd8kjYlvbrU+Ef7xTgJp2EzYBqBbjJAJHToQkBbtJB1AyqUoCbDBIayLZwE+a9lcGzd/EuNJTInIUonL8si3fY07REjpTqJrxjdq/aGNk+ZkqtT3+KfOhL/yHT0MpbDpm6Ec/OBzDb1YN2ZURM69aE/7F3luFRXG0YvjcbN+IJwd3drbhToLhbcS20UNytuLs7AYK7BXcnWLAQAkSJ68p3TWi/EqQkYTfZLGeuiz/kzHve8zxnZueeI2Pz+w1GVDElyu8qrasOZczd05Q1luG5dQItR+/B2tmMgoXLcf3YXY48OY5rjCd1GvVl0KrTNJRGbrx2ULnRCY4+WCZGblKvryerph8RbmLCbzO4wxDu+McQEhuATZFGLJk+meIZTRnVsCjL7xpQIJsVCqUahaETi9evoWxO+8Rw47mBfENOc3THWrJbx7G/fz32lpjFql9LEvnmBm0qdWfii1uUUIbQpGYVGk45Rs987yletTHLjz9KGLl5dWYF7UZcYN/F9aguLaVYixVUr1sGZUwE/i8jGLZ+O/INjeh7wJgqpbMQ7BdAjLEri9ctwO7NGXq0Hsp9uSn58xTG0GsnrXY8oWWOT677ZPWG7yss1tx8n35pebZYc5OW6qe8brHmJuXapfWZYs1NWjuQsvrFmpuU6fbNsz5dc6OMjyE8MgaZgYFEcKjUMswtpR2gDBLHUquJjYkEY8tE37aJj41K2IXJxDID8vho5CbmGMohJioSA2MLjA1loFYSFRmDiYUF/8wui44IJ14lw9LKnJjIaMwsLZBJ5aJiMDazQKperVIQGaXAwvIrW05/s7WigLYV+BHhRtI0PjqaqNhYMJBjZmmFccLloiY6MpJ4hRKVWv239AZYWFlhJP9k5EYVT0SMImFUx0AGiphI4uWmmBnJUauVREvXi6UFcilmVCRyEwuMDdRERkZham6J3ABUyniipRgmChZ0LsKzhkeY3y4/KKNxG9eaOYqOyPcPYtjW+zQtaocqwpuO1apQafFd+pazIT46iqi4eMwsrJHFRYCpJUZSMml0CLhJI+E1UK2AGw2ImAYhBNykgegaqlLAjYaETOUwAm60JPiXNxTQUmUirN4r8KPCTUqMTdFHPJNSkTqGA1Pb0meLMSOG/oKBzxXWr73MuEt72NO0Kldt6/NHl8q8OL6RdVeMOXNtG64mn7y8SEo9Wi4j4EbLAmsxvIAbLYqrxdACbrQorpZDC7jRssBaCi/gRkvCCrjRkrA/aFgBN0k3XmtwI40ZqRR4Xr+OT2AwyK3IW6w0OV3MUMdFcuXSVd5HRmNompGylYtgY/zvltVJz177JQXcaF9jbdUg4EZbymo3roAb7eqrzegCbrSprvZi6xzcBAcH/zPPRHutToXIEtxERUVhYSE+jJkKcut9FUqlEoVCgYnJh+2OxfF1BaQFroaGhsg+3axDiJaggHRfkrZLNjDQvVGl77UoNjY2wXu5XP69oXTyfMk7MzMzvezbMTExGBkZ6aV30j1Juh9JfVPfDpVKlfDbpK/br0v9Urpf6uMRHR2dcD/Rx0Nqm+SbrjwHyGJjY/UCbqTOEhwcjJ2dnT72G9GmVFZA+nGUHtwsLS1Tueb0V50+37A14Yb0JjJDhgx6CTfSG3LpBYA+PkT+85tia2urMz/YmuiP/8QIDQ1NeBmoj95J9yTpZYI+vpySXrxJv03m5uaa7A46Eys8PBwrKyudyUeTiUi7S1pbW2sypM7ECgkJwcbGRmfy0dvd0nRGYZFIulRATEtLum3anJaW9Cx0t6SYlqa73nwrMzEt7VsK6ebfxbQ03fQlKVmJaWlJUUn3yujctDS1NJ9LDw6x5kYPTNShJgi4SboZAm7+WysBN0nvS7pWUsCNrjmStHwE3CRNJ10sJeBGF135dk4Cbr6tUYpKCLhJkWzipK8oIOAm6V1DwI2AG32d/y/gJun3AV0qKeBGl9xIXi4CbpKnl66UFnCjJScSw42KN4+u4RnqSK2yOdHkOufgR7sp03ojFy/sxNkyJQuEVYQ8v841Pxuql8+L9LmcpB7BPjd4+M6eSmWyf3ZK5L21lP3Tk5M7ZuHyHXsqvHt8iefxmahYOGtS09LLcgJuPrc1wOs6l++8QGZuT6UaVbE1/bCIPBHchL/mxBVvSlQsi725kV72jeQ2SozcJFcx3Skv4EZ3vEhOJgJukqOWbpUVcKNbfiQ1GwE3SVUqmeUSwY06lv2zejAroDkn/2qSLID4VrVB97fh2GAVvp7HyGiVArhRx3NnRRd6PKzPqbkdsEwC3KjiIzi96S/+mLEWsv3BrSO/fZZmxO2luPS7w5Ojy3D9jjXwh//qwPqI+myb1P5bUuj13wXcJLb33t659J16mMr1q6PwPMWZqKzs2rqCLNbyxHDzeCeV+h5izpallHMWO81JKgq4Sb+3CgE36dM7ATfp0zcpawE36dM7ATda8u3TaWlxUWGEK02wtzIBdRxBQUHExIJlBgcyWH54oxwXHUa0yhgzdRRB4fFYOzhiYaQkOCAQpYEljvaf79iRCG4slQQFhGJl74CxHFQx4QQEh6GWG2Pv6IiRxD6qOILC47CQqwiNjMPOwQGD+HBC4gyxtzYDdTzBwYFEx6gxt3bE1urzt93PTy1n/A5vKru+Z82VAlw+MPDLcDPgPg/3TsMoLgpTCztsrIz/LqcmMiKI0NBY5MZWODv+vVuHKo73YdFYmBgRHBqBnYMjxIcTqTDC1ko/tytMavcTcJNYqcnNCuHfbBULOlRAEfOSfFnqs+7KFarktE4MN1J/D4kmg00GDA3UxEQGERzyod85OFgjl2BerSAwOAzbDOYEB75HZmKFg60FcRFBBEeosLFzwNQ4BS8OkmpuKpcTcJPKgmuwOgE3GhQzFUMJuElFsTVclYAbDQuaSuEE3GhJ6MRwo+Do7K70fN6U54uac3xtb8auuoBMaYDasg5u7jPInkHGueU96HlQRlXZJfZc9aVgi9/pUTyMmfPcCAjJyEy3nbSu4MrHgyv/ws1hXuyexu/LnrBx/0aymwcwq2tH9j0JRRYTTuXuExk/uDlmfkfI8/N0SjlYcv35e1YfPEvG672pdaQCL9Z25or7KH6fvQe5oQWhitJs2D6bElm+PPTisaQ/fx7My5WDX4GbDgfoVDqCw6cekCFbG7a6z6WAoyEBnlvp++dkXoZaEuqjZsLWPbQu74rBu9OUazKU/Fnzc/LyRVYdv4vp8e6MuP8Tl1b01ZJT6SOsgJvEPu2d0pZpt7Kxdv4QQs7MovW6MM7vWEzWDJ+M3AQco1DNBWw65k6OsGN0GzCQN/GuvPdW89uCVfRpWABF6COyFq1Lq5Y1OOl+GH+DvMxdOoDDCyZw6lII1bpNY+HEDtiZJmFYMx10JwE36cCkr6Qo4CZ9eifgJn36JkZu0q9vAm605N2ncHNsbnf6vGjMk/nNCHzqjW2ObBgbRrGkdU2u11vB6q5FuLJ+AA0n3uHQzVOUVHqRO3dJsnRYwLE53XnsPpLak6J5fXsupgmvmz8cCXDTeCMXV1Sg57BrbDq9h6JWCk5M+ImVDrPZ2L8CRnHPaVOtFU1WeNDO8SLZS7Rl4Lpz/FanADLUeLn1o97x8nit6kDYs+dYZMuLsaGSzR0rc6TAaDaMbJgIqP6p22Nxf/489BW4ubMMl5/Gsv7ibZoVMGNqx5+5UWgKu0ZWJc7nNtHWRbHJYIDvnRXkbXoX30fzsQk+T8kqrag78QBT2pRCJjPgzKL2jHxQhYtLe2vJqfQRVsDNpz7Fs2FwI7rMP4VJ3hp4XT1IZusPH8hLtOYm4DiF6y5m02E3CikfE2JaBEc7eHVmKU2HXsfj6mrMwx6TOUdp2s85zoxOpdn8R3V6bQ3g7PW7lLJ9TLXCXei99SDtyrqkj87yjSwF3KRfGwXcpE/vBNykT98E3KRf3wTcaMm7/4IbZcwbLrvv4qTnO+4d2oms+RK2janJ1ZU9GXghHzfW/Y5aGUn3giWou+UsrUq54HtrG5XquXHr9U5sE+aX/Q03D9xwLN8HR0ML5h65SLuymVHFB9A/e25OOOXBwcwYZCre+UUwfMNxeua8S7ZGC9h/6CBFnaQYSp5s/xtuVnZBHRfArUO7OHDVh2fH3AivMRa3mR350mqF/4Qbac1N/3s8ObIkYc3NvgltmOfdlBNr2mCgjOHFzSPs2XsNb79XrFgbwdPwHbiGXKB48zEs23WW8hk/tM9joYAbSQcBNx9fqGoOLO7LtIMmTJ/Sg8C9fzFyTwib9m2mVFarr8JNMUc1bx+eYPuWi/i8fcaBc7Ec89pN5rDHZCnSgF1n71IxmwV3906gyY5MPN3YHbksjj6VypF3tBuD6+fR0t0idcMKuEldvTVZm4AbTaqZerEE3KSe1pquSUxL07SiqRNPwI2WdP4y3DTBa351upYuT3z19lTKYcvtPcsIqrwAt3E1uCLBzbk83NgwFLUqin4FS1B1owety2TE9+ZWKjfYwU2fT+BGGrlpspYNXTOx7LINW9zmkNkomOHFC2I79wTdSzghfTlIZmiEtY0NJv7HyNZwPvsOHaSYszQC9C/cPF3WgNEN6nA3b2PqF3DmyeElvMo/nG2zvgw3Z5YMYJg0cnNgwGcqfrqhwN7xbZjv05QTq9twZEQjxt2wo1OTckT732fSlLc8Dt/5AW6ajWHJrrNUdBVw87GoAm4+UkP5iKp5WtNtw0E6V86MWhHFiEpZMB7lwcTGRb4KN6Fbu9Nhh5IhbSoQ9+4Om3YEsv/Jv3Cz0+MOlXJYcv/gFBpvdsRrc0/kslh6VyxPvrE7GFwvt5buFqkbVsBN6uqtydoE3GhSzdSLJeAm9bTWdE0CbjStaOrEE3CjJZ2/DjfFKJOjJUPXr6eoTSBzRvYiuOwS3MbV5MrKHgw8l/f/cNO3QHGqbjpDmzIZeS3BTf0dn4/c3N+KY/3V+D5wZ02fhpyzbov7ol483dKdFlssWDVrCNmM33PR4wEVm3ckW+xRsjWYx77Dhz6Bmwp4LSxP01JN+XmRG9UzRbNwVEe8s43GbXZiuIkPD8Dz/jMuus1lwZVsrJnbgpxFiuNi/s+GARBxewku/e7+f7e0PeNbM//VL5xc05Lp9YrypOooxrUpxYU9s+gxNIBnCXBznmK/jGGp+7l/4WZBO0Y+lKal9dGSU+kjrICbj30KosdP1aHRHwxvXZvIN1f5rf0g+rpfpkVxl6/AzRau/1mL7Zn6s7pPOc7unMnEJe849mTPh5GbwvXZeebuB7g5MIWftzjwdHOvv+Gm3N9wI0ZudP1qCQsLw9TUFPGdG1136vP8pE12rK2tMTLSvy3bBdykv/74T8YCbtKndwJutOTbZ3Azrwe9n/2M14JmnNk6mQnLTmDpWoz6hSJ5aNuD+f3LcW/XBGbczMbWKV1Qq2KY3KQFpaevpX4hR/weHqLTgOPsODIba8N/p6WFPD1Mzb7uHNm9HOvI5wzsOZCyIzbQrYwZR/4awvwjT4izykCtVv0Y1LY2FqEXadB3I3OXLiGf/YeRG2nNTd2j5fBa1ZVbxxYxcOJ2TM1z0KamnMeGvzDtj8b8iy3gd2c33btP5a1KhQoZcrkxg5Ztp33JLP9fmxP1aDu1pjxmz/KxOJnDqSVD2fyuBisn1ifM5zw9+ownMMaSCg3rcXWbJ1vOzMUp/BatflvEyLnrKZ4wZQ6ubRnOouclWT+6lZacSh9hBdwk9in4xXWmT5zLVW9/TJHRathfdKhTAmlTs0RrbgJPUKTOIjYediOH4j6duwwgTGVFxbq18L/lzbitC3GJeEG9X/oyY90uSmQy5+nZFfQ/aMeh6S0wkMUxqUt7snefTcfK+vGtJTFykz6u+S9lKUZu0qd3Am7Sp29S1gJu0qd3Am605Nu/cOOEIi6WPZNbsNB0OKdHVMZAZzZdUqOMj+HOkpb09+vN+SmNdCg3LRmTTsMKuEm6cR/gxhw5KmKeulG4x34O791MHlv92c456Wp8XlLAzfeol7bnCrhJW/1TWruAm5Qql/bnCbhJew9SkoGAm5SoloRz/g83dqYM7dyATWfi2XTmLDVzmybh7FQqEh/KwqHNGLHEh42XLtC0lOMXd0VLpWxENf+hgICbpHcPCW7MLSwIODmF4q1m02jwauaPaoa5YJsEEQXcJL0v6VpJATe65kjS8hFwkzSddLGUgBtddOXbOQm4+bZGKS4h/RA5Ozvi7/eGOJUVmTNmSHEs7Zyo4n3gW8JizMiSyU6M2mhHZI1EleAmOjqaDBl0rQ9ppHkaDSI9SJibm6OIDcH3XSTOGV0xMxFk84/I+g43ZmZmerluQ/LP398fR0dHZDKdGf7X2LUbHByMlZWVXnqn73ATExOT4J0+HiEhIdjY2Ohj05CuOTs7O71sm87BTWBgoFpflJYeRqUfWnEIBb5XAZVKhUKh0NuF0t+rz8fnx8fHY2hoqJcPgJrQSbovSYvu9fEBWXoJIJfLE/7p46HPvymxsbEJYGNgoH8vIqR7t3S96WO/lH6blEqlXkKpdA+R+qWJyZc+hpH+7zD63DYJuKXfOV05ZGppPpeeHB9Gbpz1pDWiGWmpgBi5Sbr6/4zc6OPDe9JV+HpJMXKjCRXTJoYYuUkb3b+3VjFy870Kpt35YuQm7bT/npp1buRGX+Am8W5p32OROFcoID7imZw+kGi3tOSc+IOU1Xe4EVtBp8+OLLaCTp++SSPl0oiitI23Ph5izU36dFXAjZZ8E3CjJWF/0LBiQ4GkGy/g5r+1EnCT9L6kayXFhgK65kjS8tH3kRsBN0nrB7pWSnqhYG9vr2tpaSQfATcakfHzIKkFN8rYMJ74hJAnZ1Y++vyNllqV9LCqmPd4+cWSK4uL1vIKD/blvcqWrA7mSU9MB0uq4iJ47hNFzlxOfG22uYCbpBsn4EbAjfiIZ9KvF10pKUZudMWJ5OUhRm6Sp5culRZwk3pu6M2am0Rwo47n4rZZbH1bmnmDayPX4EY3Qfe34lh3Bb6PTpLRKgULMdUKnh+ayUzPQswZ2hizJOTme3M3UxbsJ1YuQ1ohZW5dmxlzWmP+0Qd8Im4vwbnPbbyOr8DVMuUd6Nr2iRyOqsTYrjUTB1GHMb5DU2x7rmdQ1SwJf4sN92bL0iXIi/1Kp7p5U1xpiNcZ/lh4nHmzJmIpfRVSy0d86BNqle3ObI8jlM74ZVD70eHm/q45zD39hjFTZ5HdGtSKaC5vXcKG055gaEOfkWMokt02YSvzRHDz+iwDZnjQd8wwCjjqzuJCLXep/wwvRm7SUv3vq1uM3Hyffml1thi5SSvlv79eMS3t+zVMiwhi5EZLqieGGwXX9i3DPa4Kk1sU0zDcbMOxwSp8PY+lEG6UeJ9cwjK/MoxrVx7TJMDNne1DGb4xlvZty6JWqTE2K0Gz5oUx+ujciNtLcel3hydHl30X3NzeN5eTMWX5vVWlRE5FPz1Ao17b2HBwE5lMwd/zDKMnTeL8hedUG7KeJYOrpNjZsBeXGbfuHJNH/46FkfbhBrWK9b0q8aLOEsa1KPHFbw39yHAT/eYK3Zp24sg7Fceve1HaCc6uGETfpQ/o1rcVikeXmHcoiNMXd5DP1jgx3Ly5zMj1t+nWrzu5rQ1T3Cf06UQBN+nXTQE36dM7ATfp0zcpawE36dM7ATda8i3xtDQ1EYG+vI6zIr9rBhQxgTx6+oLISLBzyUuebB++XRIe8JJ3sRbYqgJ4/i4Kl7wFyWwex5NHXsTIHChUMAdGn+xwGnT/X7hxMg7n0SNfshUoiKUxRPm94LG3PypDM3LnL0AGcyOID8XTOwQHYxWvAyPJV6gwxjG+PA8zJ38WWxRx7/F6+pSwcDUZnPKQN7vtZ9+/ub11CEtfVmL5iOZfVS8BbgZ4cmPTYMID3mPtkJM82e0SHtzVqlh8fZ7g+y4KIxNHihbN+WHqWnw4j1/6Y29pxgtfP/IVLoY80pe30ebkzpx4XqjHwl7M8q7C/lkdkKHGffJI5HV78GJuNx6UnsyKIZU/yy0q4AVvcMH8/TN8Q+NxzZMPZ7M4Htx/gtrUlYL5M2EklyFN9Xvw3I+C+XJDlD9egUqcTGN5+iqIDE65yZPN5oMmaiXBb5/g5ROGgYEcZHKy5C2Is4Ua7yf38AtTYyCNbhlbUzh/Dt48e4RzniJYGcpQRIfw9Kk/OYrkRdpk0u/iTFoukXF4/R9YfGEX2x8WbtRK1g1uyxWHqtzatYhFRx9S2imarqUKk2PsbsY2KYpKEUPfotkosvQi/armSgw3ygiePAska85smBjE4+f7iFdvozE0caBAgZyYGctQK2O49/AZ2bI48PKJN1g4Uyh/ZkJee/LCT0nWXAVwttOfUR8BN1q66adCWAE3qSCyFqoQcKMFUVMppICbVBJaw9UIuNGwoP+ESww3Cg7P7ET357/waklLhrYohKdBJaqXNGDJ3DMsvPiAJrllXFjRi1pTPMjlKMfBMobbLyFnNnPiDXKjuHyGfBPd2fVH9UQjP//CzWG29KzNEYum7F0yCIOIa1Qu1J2ynTtg/eQAh97n4vjptTi/O0y2om2JtyhI0XzO/LloJ5mu9aD64Yq8Wt+Rhf2qsetpDlo2y86sEWsZs/caPX7KnEilu1t/Z/BJC0a0+Qn7/AUonjnTZ6MNEXeW4VJ1FK4OzuRyNeHGw2imHrlF91Jm3N7Yi84z79KsR2Mur5yBqu0e9v9ZFeN3pyhaoRkBqnwUym3C0CWHMD7aleH3f+LKqgEf5aBgXIdK+NVcyrKuJT/6fzWz21blcZmpX4AbJXeWdaDMcl/yW8VD2BuCVOZktDdCbVEcv5MHabLoIIt/Lc/7h3twrTaO1y9vYnx9Hi6dluFqZETe7OacO/eKpec8aV/aEc8jM2g4wI3fhvzCgmGTyPrLOBbM7M/z1d3pfQxGVDFjwrT9NJm6njk9C9K2ekWGHfGlhrOcwHvuNGi4gC2vPMgNRAecoUrpWax74E5hC6PPeuWPCjfRT3dRf9Bpdq7uQc2aLVh92ovStncoV3IIE9z3Ui+PJagUrOmZl0vlNrGyR8XEcBNwlILV5rHp5F5srk6iUq9dDJjUm/OL5iJvMIX9U9uhCHtE5lxlMXBypWAeR84evU21duW5dSWWwvFBeNmX4Mi+TRR20NLNIpXDCrhJZcE1WJ2AGw2KmYqhBNykotgarkrAjYYFTaVwAm60JPSncHNsbnf6vGjMk/nNiA0LxdDcEiNDFVv612ZPjmls+6MCV9b0ocs2A87vmUMGVRA/5StJrRl7GN2yNK8uLKdGlys8erYOq492DkiAm5brmFlVyRXLX1g6pRd2hrGs6lyUxw3XM7xuAeTqAAa1a0fF8UfoneMm2aqPZJnbEWrlt0FuaMBTt37UO14er5WdiA8PRWZqhbGxjMO/12GtaU+2TmnNxxN6Ql/f5YjHHeJUSq7s3sgpf2dOHd+Ei/m/U7gSRm7a7ubcsZ0UdjFi858t2aruyeG5jVFHvidWZoGZuRHv7u8gfyV3vPw24fT+AiUaDGDY8hO0KGGL3NCIs4vaM/JEjcp2AAAgAElEQVRBFS4u7f2vU6o4+jfMR+bB5xhe52Pw+m+4ubeyC3V35uTmrpHYRl+nzk9dqD7FnZE/F+CJ+wi6rDLi5PGpqB/vJ2OdSbx+dAnjmwvI39+DQ0e2UMhOxrZ+lTmUbSIbRjVkVZ+6PCw9i3ndCvP88AS67snM6bl16V2/Md0OXqO8hQFretTjfqXJzG3pROPaVRmy7wXVnOQEee6laeMlrH92lJyAMvQltSo2YczRq9TI/PkHw35MuImlT4MylBx5iB55AylWvSVrPLwoleEWZUr/wRT3fdTJbZEANxv6FMCjxFrW9K78Cdwcp3DdxWw67EZRqwgi1RZYmpvgf2MjjbvsY8/9HTiGPSZLvmrMdL9AqzKZOT2/C+332eK5fw52JqF0rFCXarN307t6di3dLVI3rICb1NVbk7UJuNGkmqkXS8BN6mmt6ZoE3Gha0dSJJ+BGSzr/F9zc3b+SdVv3ctM7hIBnTynafzObx9Tk6sqeDLqQj+vrfketiqZvwRLU2OJBy5Iu+N7aRuV6btx4vRO7j9aBBHm64VhjBAXV0fy64QSD6xVEGedHT9eCvKrTlLw2JqhREy8zp+2QsdSwuEy2RgvYf+gARZ2kuVVKnmz/F25entnKsvU7uPzYn5AXj8nVYT7bZ3ZImDr1pSPW/z65spRlxuVntCuR8f9FEuCm/z28ji4howXsm9CWud5NOLmmDXEvLrB4ySpOXHpCYEQEd+7nxjt8GxlDLlK8+ViW7TpD+b9DeSz8GtzkJ9PgM4yo82EzgQ/Hf8PN3RVdaPWoFXdm/oyJ/C1dK7enwaoDtMxvzqsT02k19h37L87D6GO4uTGfktNfcNV9IbbGKk6Ors5SBrBlcgtOz+nKpOv52DyrGWsHteRBmWm4Da7EjC61edVgOkNLmtK9RXvqLzjJkLKyBLj5ff8Lqjp+AW7CXlKrgoCbf61U8eL4aBpMec+cMa0wDX1B9yETGDJ3LW3rutK0bC+G7dxLowI2oIpnWceceNbdxcJOZb8KN/mU91i6dCnHTz0kKCIEv+j8nHmyi8wS3BRpgPvZu1TIZsH9A1NovM0Fr42/IpfF0adSOfKOdmNw/TxaulukblgBN6mrtyZrE3CjSTVTL5aAm9TTWtM1CbjRtKKpE0/AjZZ0/jLcNMVrfgmqZqtLw5mLqZvPjtNL+3I24xR2jq/BlZU9GXguDzc2DEWtiqJfwRJU3ehB6zIZ8b25lcoNdnDTZye2H8ONNHLTeAPXlv1M7z/3Ms1tCzVzGjGnfmECB59gav08H6aMqUClBoOAo2RrOJ99hw5SzPljuKmA16JKtC/dkOx/LqZ1YXuur+vPQXkvts/p9FW4iQm+R7lMFRhz9RktijgnhpuPNhTYO74N832acmJ1KxY3L8WhTJ2Y3LUaYT7nadrsOA/D3XENuUDxZmNYsussFV0/hPoi3Kjj+K1xYWx7H2VcwxyJHJzXviqPSk9l2eDEGxBIEJcANw+ac2d20wS46Va5HXVX7Kd1QUu8j0+j9Xh/DlyYi+EncFNi2jOuui/GzkTJ8VHVWS4byJbJTVgzqCV7/eywN44hU6aK9P+zOy4Gvgz6pQ3ynDkIiVBQrnYPOnWoi3XsSxpW/4mOm71pk0+O94XlNOu0mx3PjiSM3ChCn1CzbHsmn7lAFRfjz3rlDzdyo1ZyZ8NAhm1+jkymQh0bwaXrdyhQphIzNmzHvWNVnH7bzKimhVFGv6ZOrlJ0dL9Gl/JZvwI3W3kwqSHTwhuzalBV4nxO8Nuw8+x6vPf/cLPT4w6Vclhy/+AUGm92xGtzT+SyWHpXLE++sTsYXE+aQJj+DwE36ddDATfp0zsBN+nTNylrATfp0zsBN1ry7ctw0wSv+VVpWLwSxbuMJJ+5D8vnzidjmy1sH1+TK8t/ZeC5vNzc9GcC3PTOV4Rqm8/TtmxGXt/YTIUGbtx5vTvRyE3g/S041VmB7+NT3F7emcG7DDl6fAVmT5dTvvlquo0ZRRHzt+w6+IBhs5ZSWHmErHXnsO/YUYp/CjeL69KrTmVM6o2gcpZwls+YjHXtueyY3fEjuIlmxeS++MRmxcgoilOHjuNrXY+r+6Zia/rRtLRbi3Huc4cnJ1aQyRJ2j2vFXO9f8FjXhg19qrMpsix9mhbnyNp5rDnsik/4DlxDzlO0yWiW7r5ApUwfjDk9vw0jH/zEpeV9P3JKxZL+9fHIPgy3Pz5sEe17Zj+bz9/l9Ka1vMlRmxY1i/Nr/19xNflnQp2Su8s60syzJffn/YKp/A1dyrem7urDtC1kyctjU2gxzp/Dl+Zj+GgfrrXG89rrGsbX51Jk8nNu7FuCvYmSYyOqsNRgMNunNGFll/ps9M5AwRw2KGwcqVm1Gc2q2vNblaoEF6qNrZkMQ+ustOvSjSpFHFg1sBGzHmejdUVrbpz24EFgFk4/OpgAN+HeO6nc6DD7b6wgq/HnOwr8cHDz6XUZfJeilZuz/aYXBUzh4uphdJ5zifpN6hN/fycXIupw9NAUMprKvwI323i1qDXD72Vnes/KHFwzn8N3HDnrtZvMoY/IUrAuO857UjmHJff2T0qAm6dbeyfATc+Kpck3xp3fxciNlu6WmgsbFhaGqakp4js3mtM0tSKJ79ykltKarUd850azeqZmNPGdm9RTWz+/c4OSE/N70N2rAc8WtiDk1R02bN8P9sVpWs6I26EFaFIpK+/un+C0ry3t65aSPuTByfWbyVy/BfmcLYjwf8z23V506NEQk4++JxMd9Jhle+7Ts2MzpHXoR7euxKBEa2oXyED4fQ827D1LkIkTTdt2omgmc4jyZtXuWzT5pSmOCZ9UUeK1cwC1D5Xm2epuRPg/Z+36rUSps9GxiQN3/bNQ76dCfPy4Her9kK17jhESE4tz+Sp0rVrhsx4SH3CX5acC6NKsJpZG8OzyIW6F5aJ5nXzIiGH7mpU8eauiRtvmPD1yneY9G2MZ+4ZN+y9R8+eWCVPZpOP17SNcCHaldY2iieq4u/UPBu7PwLEtY5DGOZ6d38fuc56ojY0xUClQqK1pO6A7Wc3+WZyvJvDeUQ4E56HjT7mQyyI55naYbDWbkM/eiLBX1zh4KYqmrati8P45K9wv06NzWwz8b7L5aihtf66BqVzNqws7uScrTr2Slkwa2JPYilMY0SwbLy+epFvfofw6cyHH1y6m/1/rKJnJkJvb59Bt6T0OndpJfvNo9q5ej3esEa3aNeGWx0Uqt2lGBtQ82NSNQbeqc2hWp0Rbav/T6B8ebqIC2LTzILVbdME5od+qeXz5IPs8HmDqXIZeHati/PdatETfuQk+SdGaC1h/eAdF7ZXs3rCcB69jqdWyCaH3H1GpVVMsY9+zatMeGrXsgKu1EUEvrrL3kRld6xVBJlNycvs2bMs1pGR2m9S7E2qxJjFyo0VxtRxajNxoWWAthRcjN1oSNhXCipGbVBBZC1WIkRstiJrw6KVW4+/vj7ODHT4PbrFgaEe8muzGvU/Br36FXkupfD2sUkHgkzusH92aE2XXcvDPKrqT2zfEUEbco3n9IYzfc4Ti9l/YO1nLYqqDrlGzemtqjdvFb/Xy4n15K636rGf4hGYMH7mdVbu2UiGXLfc2jaDbXvDYs5SvfJ8zYWvsoTUKUWTqaTpX/HgN0b+N+OHhJhl+JsCNuTnygJeccltIp53vuXBoHdn+BuZkhNLLogJu0q+tAm7Sp3cCbtKnb1LWAm7Sp3cCbrTk279wY8GscQO58CIzC5aMI0uG1H8Q/2oTFRFsWvAH606asmDlNAq6mmlJDW2EVXJg8Z88zNWboWmyFiKeB2cPM2raWuQWcmKiXek5dCD1K7ngsXENU7Yex97aCEPL8vw58VdKZkv8nZ6PFYn1v0f3AbuYuWEsLiZf/miogJuk9yEJbswtLAi8uZb2w/fRecg02tQrgGESPlCb9FrSb0kBN+nXOwE36dM7ATfp0zcBN+nXN52Dm9jYWHX6lTNx5sHBwdjZ2SGTfXiqkoBH1w5dzu1bWqV17v/U/3Geksef/b9a2q/uvw4ZCV3kP8pJ85pjY2OxtLT8liw//N+jo6MxMzNDEvUfntHFay+tjJLeRGbIkAEDgy+DdFrlpYl6pYdIExMTDA0/3rxeE5F1I4b0m2Jra/v5PUY30vuuLEJDQ7GwsNBL76R7knS9SX1T3w6lUpnw22RunjBfWO+O8PBwrKys9K5dUoOkNYrW1tZ62baQkBBsbHRnKrksODhY9wggBdZLD1NRUVEJN2txCAW+VwHpB0ShUOjlj+P3avPp+RIISg+3X4JPTdeVHuNJ9yVp0b0+wo30kCV5L5fr0Ai5BjuJ5J0E7vrYt2NiYjAyMtJL76R7kuSZPkK3SqVK+G3S1008pH4p3S/18fj/i0A9bJzUNsk3XblX6umGAnrYc0STUlUBMS0t6XIn2lAg6af9MCXFtLT0a7WYlpY+vRPT0tKnb1LWYs1N+vRO56alqfVk/kjiraDTZ+cQWeuOAgJuku6FgJv/1krATdL7kq6VFHCja44kLR8BN0nTSRdLCbjRRVe+nZOAm29rlKISAm5SJJs46SsKCLhJetcQcCPgRl+nyAi4Sfp9QJdKCrjRJTeSl4uAm+TppSulBdxoyYlP4UatUqJSy5DLNbuINzrAkzlbbzGod3ssjVO2HZSUm1Itw1DDuSVL2qB7LDz0nA6tmmD7hTWXarUKlYrv0y8+ghVLl1C1zQDyOaWnneEgreHmy/qrUSmkvqPG0Mjo/4v3/++7WoVCqU6YQ//3nhog/Z9CCTIDDA0Tr4tQKhSoAEO5tF7m396jltYbqVQYGMgT+/+VWIngRq1CqVInnPtxzGT1TT0rLEZu0q+hAm7Sp3cCbtKnb1LWAm7Sp3cCbrTkWyK4Uceyc2Jbxno35e7qThrdkjbw3hacai/H1+s0Ga1SAE7qeG4tak3ryzW4sak/Vkngo5hgb256RVG2XAG+tSdR+Jsn3H8ro3ypPJ8//H6s/cN1ZOxxjLMHtpDnkw0uwt/eYf6kIZwMaM2JHT0TfVBUCqFWR3D+pCfFKpfC2vTrGakj35A/V06mHfWlWbGvb82spS7xXWHTEm5C39xizvjBXI7uzNGNXf9uRzyXtsxg1KS1hGFMkdo9mTS1D5ktP5CpWhXHydGN6ebmx5rD56iVx5L4yDcsH9iF1VffgMKc7hPm0KNVZYxUSi5tmMjIOW6ExBpQplFPpk4bhKMxvLt3gOF9RnLrvRIbx6LM2byckpmsiQ32Zvmwvqy59BLijek/ew2dG5VA4vtEcPNwKwXbbWPV/i1UzCw295C8EXDzXZdimp4s4CZN5U9x5QJuUixdmp8o4CbNLUhRAgJuUiTbt09KPHKjJuSdN++wJ5+L1X8/5H87dKISQfe34dhgFb6ex1IGN6iJCnjJK4UteTLafAYOX0rn1ZnZ1B3xlCsXl/KtTQTvrB9Kx22G3D487b8/EPpoA9n6nODkng3kzvBvrUEPj9Ll15HIXbLyKqIq14799lmOKsVDstl1ZrfnKUpn+fpWyRLcFCmQn8kHX9K0iF0ylU7b4mkFN4Geh+jUcxzGDi68owGX9/ZJECLw6hrKdljG3K2bqehgyKAuP2HefCMr+1dL6N/vPfdRq/V83sb7sWr3RRoUMOPQ5Ma0Pl+RG6u6oX59jsbdZzN/nweV3ruRu+ESVhzaTFnbWEYObE9Ek024dclE3RKFKDBoIyMaFuLMjtH0cM/G62NjcB9WgwVvquE+vyexPpf4qdEEdl+/QMVsVonhJiaER75hZMmWBQvxoZsE7wTcpO21/D21C7j5HvXS7lwBN2mn/ffWLODmexVMm/MF3GhJ98Rwo+T2vsUs8yvDku4VUAZ68Pv4uTx5JqNq83GM6FEiIYsHRxfh7l+ASjFHmb3vKU3HLKF7wbeMGDKON/I6LF/Yn08HJj6GG7uo+wwfsY5ef80mvyO83L+IMcsOEmuVhZHT5lI8hyWE3GbQ0ivUdoplw8mnjJ87D1uv5Yy/nY+l/WoQH3KdcVMmceuugtKNxjCuX3mMP5o9FPX8JB279uPE3WhKVyhG5d4zmdA4H97XdjNhylr8zCxpPmwK3UrkIPj6Bjr2Gc+FlzLKlitBgz8W8lu1OP6aOJxTF0LIXbIri6e1+uDAV+Am2PshQWpHgk9Npde2rNz4BG5iQ14zpEdr1u15SNGKJSndbDALB1bl3N5JTF9+G+MMZZk2eyz5MxkhwU3RggUZt24753ctI0hRmdmzfsdJ4qGo5wybso6ef04ktzW8f3aSYdOfMmt5TyzfXWfY8lP0+SUvw0avJlPpnkwf2RgLYy11ni+ETSu4CXrhSYjchbcHxvL7kYJc2dcvIbu9o1qzNLA6h5b3ToDWV7sH0WadBfv3TsU22p/xTatSeM5OZnRozYTNF6mXO4we+SpT54QnbXJJIyhqZrUqzptG62jwcCTTld05PKM5RsCdbaNpvdiAS24lKV/djaM3N5Hd3ICodw8pkqk6B/wfMLpKdRqtPEDXSllQK2MZVyUzJmPOMKp+wcRwE3qHgRMOMXjsUHJYRbB705+s3PYS60y1mfHXH2S1B2XUa/oOm03/X+uxYMIi1Hl/ZsmMzlxYPZB5e6PoNXwmDSq6pJ7ZWq5JwI2WBdZieAE3WhRXi6EF3GhRXC2HFnCjZYG1FF7AjZaETQw3Co7O7kbvF014urA5m2cMR5H1J4rkimdqt2FUWHyBYVUduLS2H1WHHaXH0H6UsvRn6PgVWBSswsAObQk8Op/9Jp25vaEnRgb/zh1LgJv6a3h16y8G1vmVUsOXMKx5Wd56TKfZ9EAmjGmPle8phs44zKLjRymjOEn2Yq3I1eA3utbMT8X6rVEc703tYxV4vro9x5ZNxNu4NBXK2TG9TUdyjtzLlHYf4Es61LGhnHKbQZ+FL1i9dhRZXfNgfH8upXscYcgfnXBRv2bRpDV0XuNB9wpm7Fs8ltGHVWxYMpiMWXIQsHsUHqGlqFQlK7um/c6d3OM5PLn+V+Hmn3rPrRjMgJ3ZPoMb6cHW59kxKpQbz0z3xZQtWBDbdyeYuvEpzbrW5cXBucw8acvZQ3OwjnlH8QJ5ictdl8EdG/Li5DoOhtXh7r5REHaTsg0Gs3j3Gco4wtsbqynd+Bq3vJdi/+Igmcp3JH/j7vSqW4jdcyZi3nwp6/6sq6Xe83nYtIKbfzI5taAvI04U+htu1CzoXpuLBUexbUj1hCKKmysoNtSDffu2EHFiOr03qzm7qQPlytRj0tZL1HV+TpXSHVl78w75bT9Mn9w2vA5bLfvS9PE4ztbcxNouRRL+3+fMUsoMPsjVuRWpONeAxzv+xMJIhiLUh0r5sjPt1A1Gt/ud8Tv3USe3BagUrO+TnzMl1rOmd6XEcBNwjEK1FrLp6C5cn65n9sFIWnSqztXVE9j4qiQX3EZD2GMy5yhB5hpd6NuiFPvmjud6tCm1mg6lWoYXTFt+haWH9lMjAcrS/yHgJv16KOAmfXon4CZ9+iZlLeAmfXon4EZLvn0KN8fmdqfPi8Y8md8MOSoi/F7iHRDJiRl9OJ1vEjtHV+fqql70OZaJ625jMVSE0ThvURqvOU2PajnwubGJSo32ctdnOzaG/66tCfLcjmPdaTR2jaVYv2WM6lwVI0UoE6vmwrPyEGrmtAdZNFuXLKLx3LMMKXCPbHX/YuehI5TJJA09KHmyvR/1jpfHa2Vn5Golce998fIN5dqC/uy17cH2mR35eJDi9bkFNB75jDPn5mOhCGNSueyoJl9gQv0CCW/kPWa2oe2V8jzf9htPt4+m+1Y5lw5M/DAtTalAEe7Ps9dBeB5bx+gtxty7Pg35V0ZuvgU30t9Vikfkt+/Fds+DlMhsmfCwqyYa7wcveR/iSe+2K1n29DjFFe8okj8fo/c+o01JJ95c30Xt5ss5730M27CblP95KIt2naS0A7y9uZbyv1zj2rPFCXCTp+VfHPI4R34buLmmL0MOZ+LQjlGk1jeZdQtuVMz/tTaXCo1h25BqCRYpb62myO8n2b15DJN7DKLHigP85BxIqdJ1mLz1CrUcnlClbCc23LhD3r/hxm1kPTaZ9aLpk3Gcq7WFtZ0LJ8R6fXYZpX7by9XZlai4wAgvtz8xNwJl6Gsq5s/K1BM3GN3hDybs3E+dXOYJfm/sV4BTRdaytm/lT+DmOIXrLmbTYTeKO8rAIIJn917j53WKASNOs/vxHlzDHpOlUB02nbpDzTw2XN3wG83cM/HC/Q+MDGLpXr4CRSbsZFDdXFq6W6RuWAE3qau3JmsTcKNJNVMvloCb1NNa0zUJuNG0oqkTT8CNlnT+Gtx4zW/Mhj87s/HyCyJjlAS9fEGJgdvYMroGV1b2ZOC5PNzYMBS1Kpr+BYvz00YPWpfJiO/NrVRusIObPjuxNfoEbur/RXPXOJzbTWP2wJ8xivOjZ6ZCqAaMpVKmD2+bjS0dqFinLrliz5Ct4Xz2HTpIMWdpBOhjuGnL0dmDmHXgPlFRcYT6eJG/4yK2zWjPxxuYeZ+ZR9MxLzhzdj6WcQF0d85P9VP36FjCNaGuO9t/o/I8E96dmc5Tt5H03GbEhQMTMVTH47l+OH9suEpYRCxhwf7EWrfnwc0pGH4X3HiS174vbp4HKZnZkoC7e+n52yzeR8QSEReNz2snjvgeo7jCL9Gam7e3dlOv6WJOeZ/AXoKbRn+wYOdJyjrJ8LuzgbKNL/8fbvK1m8Pxk6fIYQ131g/gt31O7N81hq+v8NFsx9ItuFGzZcgvuBl1YM9fLRIa+vbgSJqsUDOifgR9pt6mZ6fKqKIjWLVhJxVa9OSPfm2Z36gJfa7cobqz9LVnJQs6led+xXk0fDCSDZkmsPPPD+t17rtPovEsf66sK0X5Dne5dH4WTsYGRPs/pGSOCmz2us/o2q34dfM+mhd3QK2MY1rDrIT3OMK05sW/Ajc7cHy+ke6j1hIREUtkZCjB8UXweLKTzBLcFGnATo87VMphieehaTTeZM+TzT2Ry2LpXbE8+cbuYHC93Jo1NY2iCbhJI+E1UK2AGw2ImAYhBNykgegaqlLAjYaETOUwAm60JPiX4aYpXvNzU8ilB0svHaFCRhk7JzbGzWQsu8Z/CjdR9CtYgqrfgpu/p6W9vjaTLtXaUWfqdn5vmpud/cqwOd9cNvWpiqmBgpDAcCzsnDB7f/QrcFMBr/nFqV2gI/1PXaRRVgOO/NWYNe87sn1O50Rw43djLQ1/9WDXucU4yGBbV1f2l93O2t6VkauiWdOlIbuLjuXE+J95eWAaHWb6cujQdIwVUXTInIN6pzzpXtyZy7un0mtGHHdv/PVVuFGrFMREx3J982gG7MjKub29MDU1SzQ1T6V8Q2mnBsw8c4jyuTKwZ0xr5sd25ty8X4gKOknDCn+x0PM4JZX/BTe3KF+pG/3WHKdpfjmX1/Sm/SwH7r9chP3zg/yocKNWKoiJiePS6j8YfrwAp7f/iompGS/2T6D5PB8Ou8/HVh7FzA5VuF3sL+a0Msf92B3i45WgCmfR4tXU6TCEXn26cn9CLQ5XWs3qNgVRB56jYe2h9N5ykhp+86g4I4wTu6fhahjG3L4NOek6jeMT8lKhUBNG7D1O3ZzmPDoynirD3vPq/kqWdiiDd7VpzOn2E/Hvb1G2WHvmn71Ko8JOX4GbzXj0qYJH1cXs6F+awPsb+bnlHnY+2fcZ3Nw/OIXGmx3xEnCjpbuj9sKGhYVhamqK+M6N9jTWVuSgoCCsra0xMpJW3unXIeAm/fop4CZ9eifgRku+fX3kphnDWxZgn09WctjJePf4Go4tt3Dwr7pcXNSeAafzc3fXGNSqKDpnzUGtHTfpVCETr66to2ijzTx7fRT7j0ZuAu5swLnKInxeX0Z9azllm89j8cXrNMzkReviP/EiWy3y2LznUUhGtu/YRsGYA2Sp8hd7z5+lpMsnIzcr2rNwYHlmeFhSPKsxgU8uYyuN8szvlghuFMGP+aVWeU6+tqTdmP2s7GtCvQIVuBpihDGROJZqy6Fdq8lqDjE+56hXtz6Xw5wYMvsCVZ53osu6CMrmtePNw4cEmjXh2b25GHquxKHTcS6edCPvR1tB+13fQdvWw/EMDCYwWk7mbE6M2nyQnmVz/OucWsnoljmYfiKU2r8uZGULJUUb/E7t+rXwfviSF8/lHHh3ntLKd2Rxyc6cc29pVcIB32vbqdhsNtd9ruII7B7aknaLzuDqakyWXFW5ccuYp2/X4PB0N06NZ3P1+gVyWcONld3oud8Fj31TsdJS//k0bFqN3Ly7so027UbzIDCAoBhjsmR1ZPyu43QpasKkRvWYePIteU3foSzcncO755HD4aPvB8W+oES+yozd/5BfilgT6nOKOuVq8USWG94H0GbkShaPbgHxIYxpVIXpVyLIjB/WZbpx8vginIDjY3vQdvZOLKxNCFa6suPiKerltuHNJXeatfoVT4UTBgGv6TRhF7NH1UuYPploK+iAf6elGV+ZStEOK2nasByvHz3jbbAzp72PkTX0AZmzVWbbjVdUy2XJnT2jabjGCe+9A5HLYuhYrgAFRx9hxM/5Uslt7VYjRm60q682o4uRG22qq73YAm60p622Iwu40bbC2okv4EY7uvLpVtAn53VmgE9L7s/6GUV0GG/9g5AZWWJvBREqK5xsTImLCCI4xoiMDtIGy2qCfN9g6uiChbEcZVwkb/2icM3syEf7CaCKj8THL4LMrs7IZWoC3vkit3bBzsKQ+PAg3gWGEW9ghKOzC1bSVmvKaF77h+Hk5Pz3Lmgqnm/vQQOPGnguaY8qLpI3b/1RYYqzvSGRCjMcbC0/27467P07gkNjyeCcGVszOdHhwQQGhaE2MMTOyQXL/2/rpiYk6C0hEUrsXDJjZRTP69dvUKiMsHewIjJCiYuLLbL4CF4HxeDi5MBHSxL33xUAACAASURBVIpQxITz9m0gyr+/wKhWg62LKzZmibcqi4kMwi8gHFMbJ5wymBD47g3h0QoyODqhjozA2tkZY5S88fXFxikz5sYGKOOi8PMPxyWzc8J6IHVcNO/eBaAwMMLZ2Z4A6W+Z7JHHR+MbGIazs3NCbnERwQRHy3F2zKDRbb3/qyumFdwoYsJ4+zYokf52GTORwdQIRWwEb/0CE7x0dHXG0viTbwypFbx964+NowtmCUCuJiokAP+QSAyMrMjoao/R376qYsPx9QtCqTbGwdkRS9O/396q4vH38yMyRoV5Bjuc7f6ZCKgm4n0AgSFRGBhbkdnVDoO/YyWCm+BjFKy3jO0H3CjsIMPvzWui4tTYOjqgiIzC1sUJQ1U8r9/44+jiiomhjPjoUPwjDcjkIKGrmqB3bzHK4IS12be+6qSlm4mGwwq40bCgqRhOwE0qiq3BqgTcaFDMVA4l4CaVBddQdQJuNCTkp2H+Dzf2Vuxfs4CZsxdTYeZlpjfOlGoPxN9sWnwUF92WMWHCdPKMOc3CjoV0J7dvJv9jFUgruEmPKifAjbkFirsHGDLqLy6aVeLI5r9w/njhWHpsmIZyFnCjISHTIIyAmzQQXQNVCrjRgIhpFELATRoJ/53VCrj5TgG/dvr/4cbJhkO7N+ETloPunWog/3cvAC3VnIywqljOn9jGNS97enVvgLmJLiWXjHb8AEUluImOjiZDho++cPoDtDslTZTgxtzCgjCf86x2e0C95u0olCO1JhCmJOPUPUfATerqrcnaBNxoUs3Ui6XvcBMTE4OVlX7eYwXcpN51osmadA5uIiMj1ZpsYFrFkuAmNDQUGxsbZAYGyFCjUule02QyAwwMQKlUpZVUot4kKBAfH48EOBYW+vGtlSQ0OcVFpB9aaUG5gYEcudwAlVKJ7l15KW7ed58o3ZcsLS2Ryz/6Ou93R9WNAFFRUQneGxrqxxTCT1UNCQlJeMEh+3sKpm6orpkswsPDMTMz00vvpHuSgYGBXm50oVQqiY2Nxdw8tT6MoJn+ltQo0ssy6X6pj4d0zekrlEqby0ht05V7pUyhUOjNc4j0htTRUVqqLg6hwPcpIIGN9AMp7SYkjv9WQHpLKj0kSQ8T4vhcAemNlq2trV7CjfRjLe2Wpo87bklOSr8pDg4OOvODrcnrS3pDLj1E6qN3EnRL9yOpb+rboVAoEmYV6OtDsvQySF9nTOjzqFRwcDB2dnY6c7nJ1NKQhx4ciTcU0IMGiSakqQJizU3S5U+YlmZuLuDmK5KJaWlJ70u6VlJMS9M1R5KWj75PS5PgRl9fvOkzAEjbr9vb2yetE6ezUjo3LU3ATTrrQSLdVFFAwE3SZU60W1rST/thSgq4Sb9WC7hJn94JuEmfvklZC7hJn94JuNGSb2LkRkvC/qBhBdwk3XgBN/+tlYCbpPclXSsp4EbXHElaPgJukqaTLpYScKOLrnw7JwE339YoRSUE3KRINnHSVxQQcJP0riHgRsCNtKmAPh4CbtKnqwJu0qdvYuQm/fom4EZL3gm40ZKwP2hYATdJN17AjYAbATdJv150paQ0/19at6GPGwoIuNGVXpb8PMTITfI104UzBNxoyQUBN1oS9gcNK+Am6cYLuBFwI+Am6deLrpQUcKMrTiQvD+kzBWJDgeRppiulxYYCqeeE2C0t9bQWNaUjBQTcJN0sATcCbgTcJP160ZWSAm50xYnk5SHgJnl66VJpATep54aAm9TTWtSUjhQQcJN0swTcCLgRcJP060VXSgq40RUnkpeHgJvk6aVLpQXcpJ4bAm5ST2tRUzpSQMBN0s0ScCPgRsBN0q8XXSkp4EZXnEheHgJukqeXLpUWcJN6bgi4ST2tRU3pSAEBN0k3S8CNgBsBN0m/XnSlpIAbXXEieXkIuEmeXrpUWsBN6rkh4Cb1tBY1pSMFBNwk3SwBNwJuBNwk/XrRlZICbnTFieTlIeAmeXrpUmkBN6nnhoCb1NNa1JSOFBBwk3SzBNwIuBFwk/TrRVdKCrjRFSeSl4eAm+TppUulBdyknhsCblJPa1FTOlJAwE3SzRJwI+BGwE3SrxddKSngRlecSF4eAm6Sp5culRZwk3puCLhJPa1FTelIAQE3STdLwI2AGwE3Sb9edKWkgBtdcSJ5eQi4SZ5eulRawE3quSHgJvW0FjWlIwUE3CTdLAE3Am4E3CT9etGVkgJudMWJ5OUh4CZ5eulSaQE3qeeGzNfXV5161Wm3JqVSiVwu124lIvoPoYBarUb6Z2Bg8EO093saqVKphE7/IaBCocDQ0PB7JNbZcyXvZTJZwj99PPT5N0Wf2ybdu6VDX/ul1D59bZs+90vRttT7lZCpVCq9gBvpYg8ICMDJySn11BM1CQWEAkIBoYBQQCggFBAKCAWEAjqjgJiWpjNWiESEAkIBoYBQQCggFBAKCAWEAkKB71FAwM33qCfOFQoIBYQCQgGhgFBAKCAUEAoIBXRGAQE3SbQiMsSfUKUZrvZWSTxDFPu/AoooXgdG4uLsiKF+Ts3/ttnKaDbPGophvSm0Lpbh2+U/LREfiU9AOBldXDDU9DIgtZKgNz5YZMyGqUEKDVKreO3zEnvX7JhpPMHky/WtM0KvrWPSeTPGDmyNdTpYphfo+xpT+4xYmqaDZP9LfGUcr9+8w9E1CybyFPa1b5mr0b+rCXzrg9w6I7YWRhqNrLlgasID3hJjYo+jtYnmwiYzkiImjLeBClwz25Gol8aG8uq9gkzO9mjUcrUSv3dvMbfNiJWOXhdqZSzevv64ZsqM8Xc2PjYimKAIGRldbEkPV04yu48oLhTQqAJ6DjcqnhxcjptfDgZ1qIuVccpvCdvHNWSuTyMur+mTIgNUyjjuntrI/ZjydPi50BdjqBVxXNmyksNP3pI5V2k6dWyMifSgqFbhe/UwWw9cJtbcjs4D+pHJ0jjhBhf99jG71mzlUayamj9356fSmZF/trhXTcDdM2zZeZJQIwva9P6NPI6mCefHB3uzb/UGboXFU6F6G+pWK4ChgQy1Mpq7O9ay854vGbMUpW2XFtim8AfklfswWrmbc3TdeDJ8tK7a/8lZVm0+SaRCIa38xNy6HL/90QgLAxkx/i9wX7EezxgFNX7+lWpls3+hXUmz4uKOBfhmbEjLyrmSdoIWSsW+O0+1qmNYce0YRaz/fUhSKxXEKdSYmPz3g5Pq/iYc22zkysWj5LbWbILq+DCWdSvD619PMblaphT9cEb73yRj0S6cu3eNIo5feMBShnFy8zruGeTitw4NExqgio/k/IZVHHsRQK68FWnXvn7CA+/9M9s599KOPp1ra7ah/0RTx7O0XUnuVVrIov7VSDYrKuNwXzWHDFV6ULOgvXZy/CTqtJal8KuzkHk9KqagvvdsXLyax2/fI62zlhta037EEPKZGqFWxnHHfS3ud3xwcMpPlx5tsTaTJ9xzgjw9WL39NFFGFrTv1pPcme1S1Dc+TljtdwvngnXZe/c1FTIZp6AtEOl9nrkbn9N/SDtszJO7UYOauIhQ1i9bhXdUBBVadaZevhxff+hWxtC5gisuQ87zV5uCifONDWHLxrXkrNWD8tktU9QWzZwUx+IOxTlVchVuQyomBgsNVKCIjQUj44Tfhf86Xp2ZSemO3tx/tQgz76usOPKI3r92wuLGdKx+9+HRkcVkSpJMKuJiFRgaG/OfVca/o3GFctScc5VBPzlroKWaDxHz7hIOOX7mwnMfimU0+64KrqzuSw83U64cncP3RfqONGJD2L95JRbVBlEjZ8quX5UynniVASZGGnhRo1by9slJ3D2i6d6rCV9GexU+Z/aw5cRNsHahXY+eZLH5kHus7z22rnfnRawBNRt3pXKpzAm/B6r4UM6vX82xl8HkzluZ1u3qfPGlXfz7Z7iv2sr9cAWVq7emVrUCCfcSlSKGG9vXsO/hGzJmKkanbs2xNPnwLBdw+xhrdp0nztSGjr/2IFvGDN99X/0OR7/jVBWxsQqM/r5Owx6dYMG5mP+x99ZhVa3d/+5NCgo2KFiIojQqFmKhCFhggCjYCord3V3YQdiEqGAgJSCCgEmXNAYoiqh0r/U7gHsre/u+5/vGuc65vteZf65rrmfNZ85njvHc4zPGWKyeO4H/L8SB/lfDjaD8C/179iSxUBGf5EiMe7b5tx/k3cPTOJY7lsgz8/7lMaq+ZnNw3QKc/LPRMT2Cv6Pl38cQ1OK8RJ/jrxWxNR3KU18X3nVdQOSV5bx9ZI+RzVWmLJqJdHYiJ26nE5cTgRLpTBk5nlr9aUxWkGXP6VOsvfWClSN7Nhn/S7wbI8x2Mnz+XLoV5rH36kMev05kYKtCFowdQ6aSEXM0OmF/4QimJx9z0FQNrwOzsfP6yvb5E4m4f5nsrlaEOq+nxb9hjzaa9ENx7W1WjmkKF3Fe21h76i3mM/QQCoRIyQzGerYuYkWvsTQYTZmeFZb/VxRw79lT2F0OZb2J2r987+u/cN9+GRndF7JuSp9/6/v/jS/FX13Nlmh1vE/bNNlIpdw/iuWJNySGnvunPyN4fYteC10J8vem+38Zbup/+FOsO7qrXpP0aC+t/9X9IgIS3Zay/u10vDeNQPI3tJAeeJbp83dRqGbO2yCHeu/BwdlDcS3oyiKjwfh7OlBldBy/nROJ9jyEZ74mx1dM+H/E6NeVFzJYcxxnw4MZ1OlfV2KFtZWc2WhLO4tDWA9W/G8sj//bMT6FncPyeDb+9+3/jY1NJlP6TkdzxkI6ytQhELRhso0lnSRF8NhlwWbfUpbNGkes/yVSOs4j2HkVRc+uYGK5n7GrFyGXm8JZ3xxuRgYyvON/pgwICxJQ1RuPS3g2AxX+PSWkKOUuiy+859SRpcjXg9i/cAiKc1hrrE+q7lSMFDri99AH65PBzO3X4vej1FWyxFiZtksfs29y76bnVHzmwO7taM86wgSNf0ON/Reu+5+fWsPFBSOI0D3FpSUD/qtwIxSUsb63GgqnA1g79i9w95eLyo08zSi79zxNOIpYSgDrLz/H/uAuWiWcpPP2d7y6fRyFf3Cbfx1KUB2LidpadoT7MFSx+T+ees0nzIyMGLc/mEVD5P5rd/O/OVDV51e007bieXwimh2k/qOho13Xs8qtGUH++/jPRvoPLqP8MxcObKSVxQWsdP6dq6gj7OIKbEL1SHKdyb+HR39cfw0Bxxax1DGYZi3G8DzuEn9zjUIB758cZdAcN+bYzaIu5QVuMWVER/nToSKZMYMnIms0jdFt4OjFq2wNSsG2lxRHFxhz8aMCK8cOxtPVHokpjjzYPKGpbyvLxXLYCAr7TmCqchtOXzyLhUsSe/Tbc2n9JPY/FbJi2hgi7znwXnMtQSdtyH98DpM5Z5i8ZiGyWdE4hH7jfvgDBrb/92zhf/Ak//OvCp6iq3yEyy9voCMvzZeXrizzLMVh72Ja/2du4j+/tvpOicI/eib+V4b7f2+Q+ml8/vyZDh1+RnAKU67Td0MuNi29ydU7jOPyEY0XWFNE0ptiesiLk/z6Hc3bK6Pe86dxLPuWTULKR0QlJaGuhg49+xJ7eQ7H3jfCjaDsI/FpVWj1UUKsroik18kUFYvQqYcu3RX+/rq+cLPnWZ0m8imXufp1CoFOf4ebmrJ0tDuN4fjLGMb2asfXnCcY9rfjbl48zsbqfLV24rztSAQ1xWwY2gnFI3Hovz7BEm9JHvkcp7WokKcOs9ka0ZcHrmv4GSATcnaqDk/67eHW1kkgqOD0tF7kmN7Brnkg006k4PPYjc6SQtJ8tmN9XIjfDXPmD7FgZnAy07s3o7bsNYb9FrA9OJDRXf4YWUBR/idK6wR/PnShqBjt5OWRFvtld1uTST+9jVzzc0NLvqkxjL21iTOJqlzeO7fJwnl1dR3zr5TxNPQCsiLwzNmGrY+64+2x5ee8BFWkZ75BsbMCOQkp1DbviLaWEmWfU0l9W07Xnlp0bNtoML68T6VYQhHlDi3If5uOZCdVviZFUVgng7qGGrJ/hsGqSI2LpbACJMVFETRrw0BtFUSqPhEdm0m1iATiIkKQ68UAuUpSC8VQ6SaPGEK+v0+nUFwBZYWWf9+Q1xaxcOJI1Nd6s8awy59zrfr+ngfOR9hw+SPXndfQoVdfVOTFeZeTzLu8MmTbdEdHo3HzXA83vW098L9znsLst8i274Vaj8b0hOrSz7zOK0e7l1K9AMb3D1l8qWlNz27tEJbkklnaGjlhPmnvv9OxmwbdOv497ldb+obRKmM49DwGvW6/bPjLPhCVVo6mdg+kxIV8epPOVzFF1Lr8dCOCqgK2jBvGYIcXTFL5+yZPWJXHvHF29DHuhb1/Ce8fO1L5OZxBA9dyKjyMkV2kKX4fQW+NDYS8eUTnugLelzZDvXv9u1xJSnI8X7/V0aGLOirdWjfcj7riPLJLZZAXKST17Vfke2rQvb0UmYlRFAvbo6nRHcl/sO/94LuOYe5diLmygla/qrl1ZSRnfUJZUYbXidlItu+GpkpHCt7Ekf1ZjF7qmrSRaYy+vc9MQrR9Lzq1EuFNdg5y3ZTJiomhupk8mhrKSP3wVUJhMXEvE6kQiiMhCuKtOtG3d2fqSnKISvyAUFwSUQTIdtWkh/gn3tfJodxBFhEE5Ge+pk6uJ51aNYPqdGYY2zHd2Q+znj89R03xR6KzS+nfR4V6Js3PSqFUSoGenX4N5GRhOWYtW73uof2L968tS2VCn8lY34lkllZbqPlI/+4mHA8NJXbXBMJ7b8RzuylQyx6zQRRNOIP9r8pR+Reyvoqi2KaChOR3NGvZFa3enf6E99qKQpJiUylDAs0+OrRq3oymcCNOVnIi0vIqKMpJ1z9UkqKSKBKIo6qmRbvW0g0QnPI6lU4dO5KZ9Y7OKlq0b1FKfHoRWmpKSIjVkPs2hbfvSpFqrUwfDUV+NT9/9UjfsiIYMXAedz+8pkczccqL8qmQkKdd83qbVUd29Cs+VAro1lOdLh1aQwPcdKfDikfMUqvga2kLNLRUka6/2cJasjLSkVVQQa65gMTkVFRVu5OakIqwuQLa6l3+tAXCinxi4rN+2BABovK90VVqQ/HnNJIyviD2w9d0VtWlU2sBWenJfPxUTeuOvdFQafdbyK/4lkdyxntadOzKqwPTeaRtz+UGuKlusCHv88pp0UYZbXWFBgVEUPGNzPxKuiuIEBOfg1SrLmj07vwjVVhAUUEqyWmFSLRQQEuzJ1LiAvJeh7LBxJr2a45jMUwHXW01pCV+UXCqS0h5nUYZMnSqDsdgQTqRCUdpW/GNpDcFqKv2QjzmJ9zIi5eQGJ+N2gAdmolUk52ZxIf8ClrJqaDVW74+5E1ilDvzJp/GxuEofXr2YqBqJ4q/ZpCS9gnRZu3Q1lFrvP9N4KYdHzLjqWnRm24KzSktyiExOQ/EWtJXVwup+nxoYQ3vc7Jo2UmZvLhoSsXboaXVC+nf7LArSnNJSH5LnbA5mn360FKqfs515L/NRExOmaLUGL7UyaCppYaMVKO/EwpreB0bxbcqESTrf0+qHdodv9NOa8YPuBEjIzGF1l01kGslzuePSWRmfUdSVpE+2sq/TdkW1JYQH5tMjXR7RBIusdZFjMA/4Kb6OylxKXyrE6e3qjbt20g1zDEjPROFrp15k5RMpYQ8ujrKDX6h8SJreP86hdyiCqQ7dUWzq2KD3airKiYp8yMa3VsTn/iG5h16oKbUhi9vEsj8LIqWtiYt6jM3hDXkZacjIqeKoqyAzIwsOnTpzNukJCrF5emro/zn+1dV8YG4+GxqBVJo6PShdQtxivMzcD+5mYNxWlzbZoSadj86tGxGacE7UjI/IGzRHA01DWTqVR1hLXnZqcgoapCT/Io2iup0U/xlZ1MYwfZTyYztW8uK3c8JjXPhr6GquuoiNup0RGR/FEenaCCsLWTNGD26HQxnSMQqVkap4+u6nbbidYSence6yNEE7GnPhPH7ORwRxgh5Caq/PUVDYz/3k++g3uan7U27sQ7LSxX4+J6lczNIvLcT06PNiPYdx9T+s1nu94wpvWQQVuWgo2yJ87MgQlYZ8HrYUa6vHl3vudkwuj/N5l1h70zdJqbqc9ZrMj5+pU17ZXqrKjQELMqK35CUkodAVBYtHW1kGi6ljtzsDJp3VOJLSjxFwpZo9VWFslyS0j7StpMGyp3+iCjU8uFdCtnvipGS7UY/rS787p8uvn1JIzWtADFpOXR0etOs/seF1WRm5tC2nRyZGTl07aHGh0x3LCa7sMN5FzrqGmgqihKfU4p2byWqvr4lv1oGeQpIfldC15596NRegsrvH0nPK0JdQ7Vh3VFXTnL6O7ooqyIjXkxCYhJlZSJ0Vtam2/8kEvJPkON/L9wIa/Berc9zYw+W4MZ4+1x87jnQRUYEPgWgqL+WPmpK1BV9592bGla4+WI3TI6yVB8s19rToYcaaT53yGs/nLMuTlR7L8L+/VgCd+uxZNxk5OecY+/cfrgdms+9FAlUOosTFJzPac/bjOz1e4XIc+s0nAqm/hZuyt/dQHFsKEnPz9FZVhzBt2ysDHSZ4/MWe8MR2LgHYNmvQ4Pxf7RVm8uKjoxKO4K//GI8dzSm+VS8PMugzVF4+15F6U+OKMVKW4+hp7xZYtC94byU82NZ9mYuK2T8OJM/kkfnG9Wo2kxv+lk74HRqIXMWuBKffKcxQiSoYtEYNdR2RLBqxB+R6q/smGyFX27hn45XINqK7VdcmKSu8OeSq31xkO77y4m5uQc56aZpDfVws9qrhq0LjWmh2BlNZVVaSoPbBguuS8zm4X6zhnFKX55nxOYIbvu6o/zHvCrfYKA/CoFyf6TLPpPwKhOzZZPJjk6nKv87xbJ9cLt9HrW2YjgvG0CAwh68Ng7m2IKRuNYMQ/FtGt8+59BuzHI8Tq2ghUgl9htmEPypDV0q3nA3LBuL3c6cm9+dRTMXUqagTkVUCBEf2rH68m3WiTsz3L0lQQ5rkBWr5c7q4Vxvt4vb24z4awym9I0vIyddwj3Ck171m+MfR1l2GDt37uVSWCEL5kxkiNValJIOseNqHMqaysT6hWN8yJst45Ug1ROlsesbNu0CQQ2ZyRVsuubJwpFK5ISfYeDmGHLDrjQYIq/Nk3H+Yoa/81yEIRtR3JzMANkqKioL+FCuzCXvW+h1birPCGpL2aarTLvj4awd/TNCLfz2mhF9TZh9LRRrte/MHj+T8ZceM1f7Z8v1ytynqOkv4FF8Isq/kX1CT8/DuWAcO0bkYLg/swFuCl4cZ+D2b8T77qM+S6+2JJ8hKsrsjMxDOnADa0N7E+tqx4NTs3GIFENFSYpnT/JY63SLabptKQ/eRo/Nr+jfSUjx9y+8KWuLiUEH0pLKKUrLYdCS/TisnfB30ycoZo+BFiIbg9g6rlfTlLTvL+jR3xqVPuoISr+RmFDAzOVGvIhIR/j2A+J9zLnptB35ZpUsGdOFVnYRHBwvyZwJY8hSGIHM+w/kZ2ehu/wojhsmIVr2kRULp5PbSgvp9EiCMwQsOX6VDfpFWFtvQr5ff9L97vFWeiB7rzij99KWNd+X47lhJBKUsn9cf0qW+nBgfE9EqWKHqQEVU85ydG6/P+dVkRuF2cSpTDobyxI9McZrDcLsnC+2I39VSTMZP2gWYzfvQ1VOGvWemih0aEl59m10p3nz6Mk1OjVs7mFmf3lG2gfyYocdmvvvsXJoY7DIb89YzpVZ4nv4l0BE3EW0F/jSS7mMkiJxEqPT2OQewHJjFcrzU9hhs4x3rTToIsgg5WsP7N1OoC5IQ1VvHDeeZ1HqtY+td7I47uiAdptidlpbkNaiL8rNckn62Ib9HhfRlSlEU6U3Mh2H0Uy6ApuNV5igHobCSF8yE1woeLSfLU6R9NZV5+XNQEwO3Wb7VI1/qPhVf8ti4URj3nWZzsm9dqh3V2yohRBUF3N1vSW3XsvRR0VIzMsCbC9ew1yzFctNNXj8XYnubYUUZOfRbtQK7p9ainjdZ6aNMUBv1yNW9Cmhc3dNNEcbIfG1mLx3BRhucsJ+4VCExSksnreU4g5qVEQFE54nx8brt7BtG4b5lkv0UOlJ9J27lKiM5+q1s5QGbOD4g/eoairyxDMWu6s+LNRvqkzUFr/Ewmg+2RJdaNu6krLXb+i7/hbnFw0g2mMTO6/H06tPD6LuhDPR/h4bx3enIvEW2uZX6KtdQ2lZC17HpmF3zoP1U/rwNdYDq9XHUdEfyZuQEDqM38jFLZNI9NrO7EUOtDSaypAhY1hvM4320j9sWN03ji6eg3N0Ed06iiJZXUHK5xG8SjiMdOItlK3Pk/gqFPmkerh5zwuPLdzeuICA2mF4Oa4lzmUZBzzf0lNNkaiAaCxOeLNyZFuun1zNpkN+jJhhjvqQGWwZ8ImZK/cjqzqI7/HPqdKYx/2Ttoj8gJsJB4IZXuWN1WJn7D39GNwilqXrd1Or2BdB1jNyFazxOrOCtmL5rDQfzfMW+rR5847CvAx6zt3H5Z1W/CoACvJfsXrdOr7IatG8MJHEGn3uXd9Lx+blHFgwihvF2nR9/5ai4kxaGW3g+lE72op85+z2edzPa49yWQZ3nrzDYo8DJ2e0o53GDF7Fx/LGdSeHAoq56HqOjrlXsNrsStd+A8h5Eo7CpJ1c2tDUXtWW57FvijmXv8jQRa4Sya+FVLSzJNRvJ82qv7PTehoJKNNLpoDo9xIc8nRlgMwXhg8YhLD7QGQ+FVCQ+xad9dc4bzecZlRw4+AKDnpGoazUhrTsz5gvOs7OpUZUZgfTWteKsQZa1FRVkpxRyniLgaRFvUX44T0iAxbgfnoNChIFbJ42DJFl0RwYWYqRvj7lnQcgm/+ZgvfZ6Ky7wrllo5AojGfThhW8b6ZFm6J44qv1cbu0H+m3D1ix4SBBX+VYYDwAK7v1tMy5jc3akwjbyCH4lIm4lhVXT2yna8tits0Ygt9nXaTFhiA1HAAAIABJREFU8jGzPMAGu7+n5WY9Oo/52mc8+Q3cVBdnMEBuOA4Zqeh1rQ+8Cbm9Tg+P7hcwilhE9JAjOC0f2WDjCsJPobUxGf9tPbA+9Y34h4cafXlNKcM0VdjgncrE3n8E7+rwWjeOq1J2PNg3qeH7Rcn3UZl8hhDX2ZivjCAyzJF2P4Jnk7XlsXB4iO/qJRie82Ve/7YN37m9YTgeLZbitfNnwDvDfy9Ljkaio92T3E9w4sZZOuZFYrtqI1Ud+8H7ON40H4Pv1a3IipWw0nwY4eigUJVHalwyupam1OTl8u1zFR+/SOHg641BN3GSfQ+w8dxjuuuok/jgIUO23mLvdO0mmSTVaV5Yrz5OG41BFEY9RWSgHbcPz0GkKhfjocP5KqGNZLMq5q10pCJ5NztOhjPR2pSBRvOY1vExneZHkxt5hexbSzE9lcTQ9nWU15bwrqQHbvddUKmKxGDsJi4/f4l2W3G+vXTEYNVDPH2ceXJiDndT26LcoYKnUTUcuu7C6F7/embFH87xfy3cVBYkMG6AOWejk1BrW8Is3TGMuuDD/EGK8CkQxYFLOe39BHMdOQJP2LL88WASvW0JPTAZt7p5XNtuyve3t9Ccl0i83x6enJzOwUx1xlf6UaC/H/vFhjQTVFNRVB8xbElNbQ3OUweSMeEsJxaN+K1z/WdwU5Z+iY4zE0gPOY6CjBgUv2POGG3MXDM5NtGYdbcCmaLdriGa8fzAcA5J7MUw6yjhPddyc31jbYIg4RqaK3y573MLlT8DHN8x0xnKxHP+LBzaqBq8uTaD6TFjWd3Sj0vlZgTaz2hcD++C0bTYx7n9i5iz/j5vYj0aPxdUs2x8bzqtesJm45/Kw993jn/9RMib6zOxejWShydtkP1LJD0/OZjTl3wpr6sjJ/op3zqOw/P6Tny3TuJWu6X4bzNpGLAm/joDVt3n5gMvev8xr8q3jNI3QG+VB/tn9Sfhymz6733Pi3A/+nYoxma4CT133WejkRKXVg0hoONObq8byHHb0dxvtobAczMRLQhnmN4W7F8G0V8yHx3VBTxI8kOlbQlrx09BdX8QZsUnmXhCnJC7axH58BSTMdvxT3qEaNhejG62xO/syga4ubtuNO5tt+O+xfBvcBN+2Az7Smu8dkz7W25/yn17LPa9IfnVmYa5Vn/9CDIdEKGWzBB7hm2uIidqJzIZnnQbt5czD8Iw02iFz46JnPpkhp+jLXkR59DbHsfbYOcGteLudgsuf5mI94XZELqV9ksSCQ27hZZcFXsnG5I3wYkLC/o2XaOCGlzmdeCFQQCn5g5sktqS5rkHq6tvmKpcxss25tzbbdHkQRcm3EPHfDsxiQnIN2sKsLVF6QwzWYXDHS+kE05heCiHd48d+BS6lwEnREn12kZ92URdaQHD1DqxNugjbZ9sZV1Yb6JdllPxpYBmbeWpE9RxZ+dsrpRNIeC0BRUhO+m6NIbAUE/6SOdhMWwgJWZO3N0xlU8R5xi/LJQnSbdp/5clWZH7Cs0hdvjGPkW13V9CtkUv6dlnGltdQ5mn1wG3TSYsiVAmI9gZeWEqRv3ms9TnIWbKUqwY1wMZ28ccGCvJfNMxSJhexmHFcL4lXGOYpR8PEjxomeGP5oR7pKU60Eosiykjl7Pc3ZeWfnPZmjkdn6Pj+RLtyuR1kTx7fJbMi1ZsKlqCx9oRiFPK4Yl6FC+5x96xPRog7MrS4QR02sjNLY3BjD+ONL9TGK4N5YRJDR4dbHFbb9oYbfvzKMTp0Ble53+nrPAD/oEfufTEH/26u2jZhvIi8CJyzRuf23z9jujuuMeLA6vRO+qH3cDGQE3IscnszzXm0cnFP4dNuEIncwcu+zzEuJcsSRfsMLsrzRPvU8SftmJfjjZeO+Y0RI0P2Iyn2YxLHBkjiZqeCbv2LePsxVfYX73MoM6yxFxeztSHbQk5boe0eC3O2+aRoLmXW3Y90e6lhvmhQLZP79dwH75luqMwzp+sqCvI1xUiaC6HqEgtn1+cYPTWMp492cM/S0Au/xzD7q17cL/3HIOF+9m7ZS4SKe6oLbzCcx836tPxIz22sTeuP/GX57FsgiqfBh7i2u7pVGY9YrDuSgI+xaMsWsi0cUbob3/IMu0SuvXQZrVbHKtNepHkfZBpO7KIj7tI4cMdWF9thf+NtdTmPsVg+CYi08O4t06fl5pHOLZwKO9enUVvXx3pnisRKy5AvGVbhMI6oi8tYfnToYS7zP2ZiiSsIWCtHqdbbm5Y7xIlOSyaaICI1W0uLB5A3ddPICPXYENyQg5hclCS+LBNSCTdptvY3VwNfc7YHjLEO6/C8lYJAd6X6FqXT6VYRyTFqvme8YDxU124lXqProJyNqiq0fFMIGuNm6blfX16nlHrHnPD7zZqslUEn7Rk4dVeRCUeQTrJE9U5jsQ8DUIu6SRdd2ayQquA0K86uDpuoV5/rSr8iGhLeRDWEXd7BxaXO5AavBqpujhG9V7L3kgf9OtV5rI8KkTlkRQX8i3nBSZDVnC/IIZOtZ+ZZGKCxuS5PHX1YsvNQMZ0k4LyAsoFrWjWDCqKcxncxQjn11HoKVSyetpoPvY9jMfOCVS996HfCEduxHqh3eoXW1BZSHl1c6Skxaks/8rEztqseZXIeBVpDtkY4i9uQ6jTQkRKX9Ffcx1HQ70ZIJ7FkAF2BGREoChTxsp6/7HzHvOV0mjfbyanNk/A1e87Z1wc0WgrDkVvqG7eBVFhHXkvPRk/z4NnGd5NlIeMgJOMWPeUzPibNBcT4fKGcTglDSDMbxd5LnaYB8lx8/BSZEWqcdu3gMBu+whY3Z2RAwYxaLkbR+YPoTDZlW7DvEl750azZHeMbK5x/mEAgxUkKXh5leFzL3P5cQhaFU9oo22F56s0zHq34vSioZx515fIu2eQl8yiX6epHAgOwkRFwFarUYgufs7eEWUYD9VHY8E1jtsOpST9Bl2H3iMuy4VukuWUVUgi3UKCWuqY1rsPFu6BWA/uTLjTchZG6JN03QqJum8sMxyGmK0rp2bUp41/Y0Y/DbptesChSV3ZYa1PrMoxbu83pUE8+83xz+Cm6nsy6orG3E5/Tb/O9RtlIT47DTkjsx+Tl3ZkGp3nnI1ew6hFry7SfWkwAevVmOkqIP3+7sZfqy1jpE4XlnlkYa71h2Wpw33FKG7Jb+LetrENp5VlBNB17A6CnRYwdV8i8QFnkf2xrCz7y2F8xBu/bWuYfCEQa53GTfuDXYY4VM/C98CcP2d2d6MRt5iB404rWjb/oRRVfKa8thVSUqKUFmYzXtmAo+8yGNymltUWI8jptZm7hywpe7afLlM9cPYJwryfDKdmGfJc9yRuqwZT9z0fgbR8g60sTL7KgDnpxMYcpf2vXZ5KcqmU6IiEqIDCjHCMRm8lKP85clV5mAwfjratC0cW/AGYz9Hsfgi3lx7oyEnx+eVZOi+N532oM2+8VmJ+9iPhEbdQkqhm2UA15DZ5snOqKqethxFn7ITzrH7c2jQB9zprHhyeTPm3Upq3aU11nYBzc0xIGbQd51UGv3/o/4NP/5fCjZBE74OMnB3Gmu2jkagT5YXbacpMTxGwd3Ij3BifJCjIFw05EaJvbMHyhCxJLzeTfnURa8N6cPXYfHLcNmD9qh+Jl5fx+PRsrA4F0abjQBKi79G2nsiFdeSnPsHzqiuByZ95HxFJ/503cFht/Nu853+q3OS4omAWSUrkGTrJiiP8nsPMUf2YcTcbe+PRLLkRgEXfRtk+bFd/zrc9xeiMowQpLuH21nENj7o62oF+6yPw9nFF+c9U5WKm6ehjcPoBdiOUGs7LcDJlQfoMVsn6cf6LIcFnGl8sQbYfOjNO4WBvw1y7GyQnejXmxAqqsTNWpeeWcNYadPqxrKpJeRXDl4rqX5aZGD376KLY8g95Rcjb67OY8XI4D0/Z/g1ufl2ftaXZKHcewA6/V0h5r8dFYi4P905sOKUi2gn99SHc9vWgxx8ZVfVwM9KMxY5PmKbTki9pl1DfUEq25wpkJCrZazqUijmuHJiq1gRu7G3GkG0WwLlJ7amryMBcxwrbsFDGtKpkWE8DNvncZ7BkKlPnbmKTVxwG5e7ozwvF5f4B6iIvMXbfS3Ki7yBsAjd13Fs3CrffwU1dMdZ99Zh8PQzzPn/dakN9zY353rekRJ1tnOunNPxuX+XOwyQ+5n8kLncY2bnHaZl+m142bgT730dJFmIvzmftI3Ue3FhHQT3c7IjnbZBTA9zc2z6NS18mNMCN8PEWuju1Jf7aOlpL1nFtqSH+3fbitmFo0zX6A25ejgrg5JymcFPvELZP7M3FHGUexwWg+peanMKE++iYbyM6MYEOv8JNXTmX5gwhWGMf+y3VyQ5xZObFdzy/dRypXBcG7y0l8cEeZMXrlZtP6PdSYuuTPGQfb2mEG9eVFL2J5vbli/jH5/MuKZmW+pt55DKf8kc70HaWJOr6dlpLFnPUZBTCrQFsGNaegoQ7TJ7kiGv2QxpX/B+HkOjbm7AO6kOiw4yGNLEmR9FLeuiv4cbDUAZ2EuXljU1YxRiSfsQIUZHPzO1rzKjrD5mtLtsEbuZONmPg/iiW9JekLDcEo+HHcEj1QenjKzR0t+IV40bHNw8Ys9GLmz7+tHq2ialOrbh71YZkl81sCJMn8c6eH3CzFI+1wxGnjMMTB/8FbobxsPNmPDY3vu9/HnXlHJsqz/r7nUn7lkCvH8Wyv7X/ggp890zAJt6SZPvWDJruS2joFRR/KDezB3Zg6CE/XuxeRp8D3iz/oRgEHpjA8W+TCTi64Oew8ZdRXhdO2N0rNGSr5t1D3syV8EBX7i8x4nh0Cd3aNnp3oVAcy51OrBkogmrfwZSX12FxIoSjswchJlLBZduJrAspROUHcAqQZNTSExya3g0dDR323UnEVKuxecOvcNOmMoeHXte4/SCOwq/5vC4aStTrk/xP/sq5rCASywkz6DjJgcVKoeiv9Eane2Nxb32ac3ejddzcbdpQc9NuWSh7J/Wi7GMiZqoTOfopk75iX5vAjVJvXdyf5zGsuwzvIq5iZvuAxyleiMY5YrwqFuebe6mOvITxzud8iLvLy5OTOPZpIhc2mvLijB2bvloSe2IalR/i8HG/xv2wTD6/zeB7Nzsi/Vb+mZIrrCtmtVIvul8NZ+VolYa0wcsLh/OkX2PNTWX+a/xvX+NOQBKfP38grWQM8amHkU66idpCF16G+tCQIfz2PsrWV7h/7x5q0vmEP3TH/cpj3pd8JymtOQ8/PkS9oeZGnY6nA1g3tmnNY4T9ArYl9OHxteUN9+zD87MY2L5tSEtrAjfJp5EzO4pApCPODwKYotP4HMs+JPHgxlXuPU7jQ+473tZO5nXiTqRq4xitupa9P2puhNVfeRZ4gxtXg8gsKiHmVQGPv8WjXvuZyQb6RGaUojrvOI8PWTXYNGH1d6Ife3Ljsi+p5TU88Uviblo0hl1rWGU5jvbLQ9g2qjU1JfEYaqziUJw/em1/SZmuKyUxwhuPi3eIK6ripd8zzsYmYKkuyyFbY96MdsHBql4Z/ci4HqYs9n+ISdsCTPpOYF1ACLoiKVjM3cYat0jGtk6gfc9RyIiKYuv8iF3muo3rq/wjj+5fw+NmJO++fiX5XUui3vjzM+ehDv9ji9maakDURasGqI9x28BKV0mC/bdze6YB6yNL6Nqheb15Rogkg2xPcGpOV0YNGYnNhQisddtS8jGcXl12EfHVjwKPbay4I8vLgB2N73BZKsMGmTPLMRgrxWTkh68i63UsCjLiBNsv5sgXYwIPTm5IDR6v1Ic5XiFM0xJrAjdGI42wOvmYuQPaUf7lGWpddhD48QG9ZepIee6Dh9NtYksFvAp4wV7fJ9gYKBHmsALbSD0SXWYiVhGFocZGDr3wZZBc4zM4ZTeYAJnV+O8fxfYZQ2FJNHtH/+NOFP9cuUmjr7wBl9NTGdS1PidXyL3NQ7micBrjyEUkDD+Ow9LhDb9b+PQ8amteEbBVBevzpST5H2j0kbXlDNdSYu2dDMzUfio3t1cb49JyBd6761N3oeT1A7qb2RNydQ7mG17wIsSBNj/gZmofeSad9cd33TLGnvdjTr9GSLq7eSTXJG25t9vqpzn/9ITFNmuJLGvJxs2HsRrdH4m6EmLDvLhx6QFJReVEBcXh8j4d4/YCVk83pPms2+w3rfd2z1AZfJ3gwLN0aynCnU3juCi2Du/9htR+ySLw7nVu34/m0/evxGRokJjriMIvjlBY/YVIPzduuISQ9b2YmPhSnn15RY+qPIxHj2PWqTBm6jamhiN4iqbyEdx+1Nz8Cjc5t5ayOLgzcW6b640pJ83U+WB+mcOz9Xj/6jIDrMLJTHbAVk+LMeceMX+QAp9SI7jtfIXgrCKyXkbTd7ED13c2DeT91qf9gw//d8JNXRlnbMZTMPU089RkqbcmX+M9mbvrIbcjglEtC0TR6ASBwb5oyokS5b6F6adakvRiE4/3TWdn0Edqvn6iYwc9HO860lVWkvqGAic+j2KVuA87sobzzGM94oVRTNGzYsS5G8zUlOfupnEk9jvGhbUmv4Wbu9stcfxsToBjY+RbKKihtLyG5i2aU1eehpbiTNxTH6OrIENBqh+DBq/lUX4iFwzUabXhNlsn6yCo/srCDp1RvZvA0ORjbA1XJthjA2IICNozlV2pQ3jovg7xslLqmsnQQlyEE6bavDW9wMmF+iAsYVc/FQpX3mdJc3/mXyzmUeBxmiMk3nUFs5xaEHjLnAV6C9mRFceg+hKDsqcM6LySA4khGDVEP+qPUi6v3sTjb6V/zrVKVJbte/ag3vmP6IaQ9y5zsHiuT9DpRf8UbuqqPmJQ31XE5xXaqadZeas1kX7bG4x60P4Z7IxXJ/DW9p81Nw1wY8pihydM69OKgrRLaKwvIttzNTKSlewxHUrlP4CbrIl+nJ8iT115BuZ9rFkU9piRzd8waMxy2okX8O27JMsOOjHPTJfcoAOM3xtOq/IcRCVVOHjNA32VFlQ83o3WeSFR7rtoLVHDzZUj8eqwG7e/KDffU9wYODWYx4lX6PSbQv0Ub3ss9uSQ3AA3QraPVCN56BZOLjIg99U1TJd+JjP3VCPc/NJQIMZ5Husfa+Dtvo4vkefQWR5B/kv3htzyW5sn4/J98k+4cWxN3LUNtGlWx9UlhjzsvhfX9X+Hm+tzOhA1JoATs5vCTUWsC4Zr3OhQXEHXxUc4aTOoiTn5mngfranbGpSbX+FGWFbAoonaPEgRRURUSF1lOV/KalDSNSbCYwXjRxzHJekuGi3E+P7+Pl2VD/D8Uyifbq1mXbgqT8+ZM61rTzQvBrNYT4mQC6u59s6YENcFjXDjKMErlx20aVbMERMDBJv92TRCvgFuJk12wi0roAncCGsKWDN8OKpO4dhqtf+7utoAN6u5ERDKwM5ivLixCesoA9KOjUWMz8zpa8xol9/DzYC9L1k6UIqy3EcYDT+OY+oDOqTfQ2feFbqTTU11e3Y6X2PcwG48OzufpV75iH/PQV5xKMeunEVNToKsi9OxTLfk+VFzxIVF7Bk3hOoV3uz5odxcthtGUNfN3PgL3HyO82LE9B3ol5XQ7ugdDk7v/086wFUTdnI2M8MMSHUfzhStBWyKDMGgvthZmETvttNxevWEqK0TyRppz3m7wQ254WtG9KNuxgVOLR7WBG66rwwh5IEr3WWh5uVJVDYnE/7AiaD14/Fru4ybu4wbzxcRQbQ+wbu+ocCQiVwPdGHp8PmsuhfKTF1FfPeYc6BgLo9Ojm9UPkVEEBEVRaTyEzpafdnjlcikeuW6Cdxc5orVICJ6L8FplTHfXrsxbfVHniSfooOwjpKSCprLyjRRS+tqq6kVSvJHc8I7G8ZyqtyIi6Z16K8sJCNxH/WZyw2XICqKqKCqSUOBergxVTXl2KeM38KN67M8RijXw80VTG19CU3xpPDeDiztI2lRmYtQQoXD7jfRU2qB+0pDzieUU1xQSK9eE7jgcRQ5ySoW9tdAaH2Cneb9SPPZxfr7WkQErPoJN4JKTpsokTvPlyMzdBERVnJuznCiBp/j4hJdthlokqq/iVOLDPgQdZEZWyuITj6CdPJNVOde4WlEAJ2koOzZeQZvf4b3g2ukHJ2G7ZPeBDvbIpIfyfyZV3DOCmqAmw1q6iicDmTNX5Sb1NubmX9RiN/DQw1KzNuQIxiuKuDZX+Em6SRddn3AeZIkq50S8Y28h7K4kOV9lPg+4zj7rQaRHnyGBfZSvE7Y3aDcGNbDTaQf+h2b8eKkFbO82+DmuJGWRSnMG7OKi19TG+DGzNgEww1HCZ09l0G3o1g/oiOxV1Zh7fCRy65H6UghFjrjORCfiFG3H3Cz7BHbRrehpjgOQ83VHI7zZ/AvcJPhcwjTDY845elE72bl2A0YyuzQZKZrNMJN9qjrOFnXN+35wLgek7DzD2CEVBYGE5chL1vKhy8SrDx8kTlm/amtbyjQZzb+XttZM/EYO5+GMqGXNN5L9dhVPBXXPTOpzgpi3gJX/N6G/AI38Pz6RuZdlCExbHtDPc7zy6tYd1uWR/67ebFvLPu/zuPeMQskhQ2rFRExUURrPzFyiAELz4czs387ij88oXfXPUR89aUu7ARWh7J4HOncqBDlRdLXyJbdXlGMava0AW4yUmIbgqvB9os4XGBM0KEp9SE3xiv1Ze6dECw0/wo3Y5hx/DHzBrWnvOApal13EfTxARLRFxln685pH3fUZMVYNXwoYy4Gs2hUd8IcV2D7RI8kt5mI17zFQssMK98nTOnRWBC43awX2SMdcFuq1QA3wsWv2DfmH3fRyQlxYOqap0TEXacxpiukrKQUseYySNQWsVpdEdVbGSzR7QR1uczvPQx196fohyxjz3tj7p+zRZIa/PZOY2viBAL3tcfU9CJXXz+gtwjUFt5HqfM5Aj56o9pcSFmtGK2aS5LiuhwbT3kC7m1HFgFRriuYclyOmEfjsei/joMxwQyubw8reIlyazvck0IIWjqGkunOHLHWAcpZNKgv7Za6cGD2wCY+VSiooyA7EsNxs9h5Pw31xN2YHUzH0f0Y3fjEosHjWZf+5k+4kba+xYFJ9WUHT1EZfI2gh+dRaiWC18ZxXJJYh/e+0ZycMogAxblc3jiRouwHjLeK5sUb51/gRkDkoUksDOuB29nVSBfEMmf8Nm4UJv6Am7HMPBnGrP4/9neCZ2gqH8Lt1c2/KTcNcBPUiTj3LQ1wc8JUnXyLyxyarQffMxnQR5/jjvtZfSEJb4+TtCyIYYKWCVPvP2Zyj1Z4bLYmocd6XHb9JrX8f0g4/yvhpiTNB60JewiIfY7qHzUOVTlM1xuP9j5vtuhmoWhoz8NHAWjJixLltgmLE614HbUZ79VjORJZS/durRHrosSYoRbMMhuAzxEL7HPHEXbYiEWGGpRNuM5FGyUsDU0ZusGR3pIZHNi8hT7LPHFc01S5KUqPxuvhMyLvXONxVT9WzRzIuNnWdMy8gdJoR26lPmZUOzEOmg7kpmAAswy688LbjdI+G/E+PZvkO1ux3BrKhNnTkc7w5LhvO1IyPVCsfcXYwXOQGWvDuLYZHDv/mC2ewcwdJMVa81G81jqJz35j8p6dxmj6RUbOX0iXzwEculpCeFYAWs1zmGZgQWn/GZgrfeHcBS9mXAhkg4kSVzZacCCqNUsnDeD53XN81lyLz6nFNP9Fwqx/AQUNhvXH8WMD86t6LEx1QHFJJjEPjqDQ4tdQeTnXT2wkv6YbUlLV+N+7S0xlf2ICzyBXFc2EAdOQmrCEifJZnLgQxqrrPtg2RCl/HPU1N8MmsMgpkul9W1GQehHVdd95c2ctspKV7J6oR8Ucdw6Zq3NxxWACOu7Cc8Mgji0YRabZQxwa4CadKVozWBzxhJFSrxmiPpOueppItpJBqecQltnNpfrJHqZuC6W3mgKi7dozQMuYVUsmIfL5Cf2G2aBrvhj5ipf4PfBDY74X13+FG0EV3psGcVXhPF6rh/w2VbEw/i5GE9czdOl8Ro6wJeHAKJJ7zWeRcRdcDmznTsoY3n04Scv0W/SY58KjQB+UW0KM0xzWPNbE98Z6anKeMnawOSo221CsfIb/vUA6jzmGz4VZCEM20dWhNYkumxrg5ordKAK678f9L8pNfevLZT17o+P+jEX6jbVZDW6irgirflpo7/VhXrcsTK32ciz4FcMVfuY9VX+Opn9/K27FJKLavmmqV11tDXU/FknGo6OYHMwhK/gCEmK1bDIeSKDMUGbrKxDscRXZmY5cW2HIU2e7Brh5dn4KFjqa6Gx2oX/bT5zZs5ca7V2Eus1vqLnRcJAg2m0XbZsVc9hoBHVbH7JlhDyf470wm+TAjZygJnDzLdGLYXNOE/Q0FIXf5TgUvaDH4FW4Bz1hUD3cuG1getRoMo/Xw80nZvUxwtAliDkasiwzVkJ28RMOjpNgjulEBhyIZlk93Lx/hOHQozhl+NMuyRV90xP0G9wD0XZt0FIbzRLbqcTaz2C9TzEqXVsi3rEzo/Uns2D6ML4nXEN98glmzFtAVXYIAUERzHJ6zo6x9TU3Jaw1NEbW7hK7pv6MoNeUvGH1hAm0WnOPPUPL0RoyjWP3njFO7WeAIfXFRW56ZyLfuTNpr5/h7f6Ug09isFRriePScdi/bofNxAEkPDjPJ81N3LZfQF7wSSYscWHC4qXI5dziWngLPMLd6d/ulwh3whXkh62g1xBTJhv0wMfBAa0t3hxbOJj859cxnnqQOcfOMKLrd9wv+zJ+9UmMO7xFZeBYbjx7Q8vIfZhtf46Ttweaguf0HWjLrKPnMFEX4OPui85ce6brVKKpqsW+eylM/hvcOHPNxoDI9lPYaNGLawe2EPDOkNjUU7TMfohy32WcSY5jauefLboyX1xkqp07w6daIl+XiPu1xyx3fMiCfuUYdepHr80nsTJLShiFAAAgAElEQVTuSuz9O5T3Wca2qT1ZbNiNdsuesH9qb0o/JjCx1wTsC7LpV6/cmIxmyI5glusU06VnX9xf5jNSWYa34ZeZsMiH8BQv8tzWM+vgM3qoKSLaTo4BmsasWmrKJesBXHsnRycFGSS79WTc6BlMN+6J3fD+CIzWYTlAkvN7tpHZahXPfoGb+s1bbsBa+i95hO3chXyLfURAVDgGW/y5YNeHnRMHkdprLkvHdubKgW0E5U0gOe0ozZM9URw4hx76Y7Eer4O/gyNdFjlxfpUxjw/OZNHjtrjsnoqP4yGuB0FwXiAawjrurlBlU9YorMYOZsnsmci1aqwqrP4SwagR8+iiPxNNmULuefuSLz2F2MR65eY2KjMvEP8iBLmkEyhsfUu05wEe7pjCyURdoh/uYN1IdYpGbmSGXksu7d9JxFdLMpJ301xYxuLhqmRqzWd0/6GY1lzH0lOS4ztm8+zWGc66phH2LbERbkaPZtyhx0yUCkNz+Cauv3pGl5cHsHZ4y7GDq0n0cWL3qVDuvo5jTNdqVlqY0G55KDsM6+EmFgP1VRxNeNhEucnxPYTptkfsO7qTd09vsHufO2ejGuHmwMIx5IxywXlWvS/Kw1jZlKX+gQwVT2HMwNl0HdkfcdnmKKkMxW7RTBQFibTXmM6LxGSK/bZjbp9JULg7b/cMZdcnYw7ajcTH4TA3nkoQ8+ZhE7j5lvGQwbqWGC3cTvvyZHxCAhH2XEiE3y7ECp7Qp78N4zbsx6yfJP6ud+k97zyz+xQzfPBwbC5EMmtAe4o/hNGz6y6efQ2gS206c01m8EljBNZDlPC8eI2aAUu5e8oO4dtg5IauICstoQFugo7ZcOizCY+OTG2AGxMlbeZ7hTUoN1ssRyC65BX76mtuhhsy/WQY8xvgJpJeXXbwKN8XqZgrjFvqxoEzR8h/cYs9hzzYeT8C21E9yXp0Bi2Lq6zfasYk0yWkXrdla3AFNpZG5KZG8uBZGe7etxmqUMFWSz2wi2G/0e/gppD7F24SHR+Bs89bVmy1ot+IKYxRLmHS8LGoLLmN/RwdUn02YLLhFdPnmFOXeAvPhJ68enWFNmURDB1iS9cJ89GXSubC9Uj2BL3AoocoW6aO4aHYQObpd+D+9TPI2bhxdakRgcetWOnVnuRnp2lWkszYIVMRHz4LE/k8Ll7xYf6d56zo247jc41w/tgNGxMtnnueo3zkfjz2WJF5/wCTNngzZZEtsqnueMR2xDPkMlp/NiqoxXXPSap6a9NdJp2tK89xJDKZjk+2YXo0iaOH1pEWfJX9x3258TazAW5WThuF9ExPDk1uhBvlAVd4FOxA91YieG4w5qLEBnz2G3B61ggCm49j03Rtbh7egXuMLql5Tk3g5sWRydiEdMR+iyVP3E7h4JnLs8JoetbX3Iw0wep0OHMG/OFbypmg1hMpk/kYDpnAlF6xdJoXRW74JbJvLmZxYBfiPbY2wM3xCb35OO0qR+bU74NqCNkxGetroUze6MfZJcMpz41i4jAzphxxo2NFDMd2HUZl9mVcd/3/yk1DGsEf3dI+xD7g+vMi1i2e+UsHEiEvvc4QJ2OA7bBm7HMMZ6HNfDrKiJAb649bhBRrlg3FZdt0gmvGsXq6LkVZqRzcvJJJl55jQCRh31RZOqk/5bkpHHUJZsGSJZRlBHHVKwIJmR4YaxTzqd1YJg3r3SRy+jEuiIs3HlEqFCKsBwCRZkxbux4tkTeccIlixpLZdGkmSs23XFxdXUjNLUdRXZ+FM8bQQlKs4T9nnvl5cC88DSnZnixYak23tvX5WUI+JIbheDOQ6loZDKZbMlpbuSHNI9D9Cp9ULZipK4+IsIb4R164B8Ui0awr1nYzUW3orS6kMOMVju7elFRI0n/CFEz1NJAQE6G6+CN33a8R8+Y77XoMwWbmWNpI/xvtCgWF6GmZYR8QwJA/O601RldyokLweBDO96oKJHtrs8LcArmGJFUhn5IjOHvDj5pqGUZMs2BMP5Wm/7NQ+w1Hh6sMnmKHjqIUZQWvsPetYOOsYTQTqyX4ynlq+8/AREueV97nSJUdw6wRXXji6Uyh+nwma8ogqP6Cy8kbDLZbROcPIQyad4U9e9fRRbqaENdTuH/qjYdVJYvvtOXAqrHUfcnj5smd5E26xp3FGmQG3OFq6Eu69hrAsB5lxNTpYTVa5U8lq7rkDWbaw9kdnszAPxWvpmEHYV0ZQXedCI4pxHjedga0ysLJ+RbFdS0ZPLIv0RHFrNtkitSXRI54xmCzYC5tm0Hei1v4ZnVgrtUIJIW1vA9/yDnfCDor6zK4h4Dkkh7MmayLMMufg8+lWW05EmlxAVF3nUlva8yMEUpNYKv6ayr9NY24GpVOP8WfG9jKjEAOBpWwesEUWkuWE+TqzLtWRswzVf9zjQtrijhgpkH7vbHY6tbn+v/+KEgLwSn0G1sX1TtMqPycwXW3m2TlV9FZZyQ2lqOQEhMh1NGONU96EeO6is/ZkZy99hDRFkoM0ZTmbUlPbKYPpCbzIcefi7FiuiHS4pWEXXJEYLAAA2UZSj8mcf36c/4Pe2cdl0XyB+CHLgHFIBQUFVAxQARRsYM0sfBMsM4+Pbu7W1TsAhsbVFAQG0UsUMAGlJCUjvf9fV70FK9+oJ6H3O5/4uzOzPOd3XeenZ0Zp8mDC829EHF29XC2pHTk6JyOf17GrEiWup7CafAw9NSleXXXm/1RNZjkYIQUaRxcsw2DXkNoqCnPiR1LUWg8DJtaMhzavYsq1mNoqitLTsoTtm4KwPHXAWQGbMF6fhibF/VHKSuZoxvm8rh6f8Zo+7L+lS2zBjQg5WkoG1ctpfas8yy00eCm+x4874dR38IGfUJIqeOETe3ySCXfwaHjGMZ6BNBe99NLgrehPmzxi2X8z32RLNp0dtsK4qu0o4+Nycd2mJUcxeE9hwl5HYNYVQ1bp6G01K9YMBcmN/k1nofcufM0GbWq5owcZE9ZJTnEuVnc9/dkn88DZBX16DukJ8a6v9vT594Oaoz3x3WILQHB99AwsePnHlaoyEojefERGeyLx5EA0uRkadCmGw7N6qGYE8vyDTtx+nkyumXyObvLjWjdNji3q83bsMvsdfchQUqWWs3scGzdCCXpDNasWkOHfuMx1n7/Xjbp6X60bbx4GrQT1YwItm4/QEqeMla2VoRcT2DI2E4opb5g/caTOIwZRc0Pn9xJzpXsrRQScILj5x+QJS2PXe8+WNQzQk5aTFpMOAc2u/MiL5+KdVvS16E15ZWlOLZtCcpNh2Fdt2LBc3HXil3Yz5pMZekM9m3fRrW2g2mmncWi5etwGjWd6hoKJD+/za6jjxg+oQ/3d49j+kUd5oyxIz8+iv1rZvKu925MgybwRMsZFzsj4kPuMHfaFMadDqW16jO27z1FjpwmrZpX4254OX52sfp8Dw9xLgGem/AOjMagqQP15cJ4om5Nr2a6pL5+yJadh3knUqNZGzPuBWYwapwdUiGHqO28g73TnDl74zYa9a0Z0r01avLSBSsu7ti8kchkEfWbtyEzLALbMUOQLCeRk/aQlSv2kVPJhHEuvVD/+OmpmOiH/uzY741MRSO6WjfC63wUw8faIxf7gOUHbjBu5BBUYq+w8GwSo/t1RCEtiq0bt2HpMpuaonts3uFJplQFLJsZce+uFOPHdUDyxXdEsCc79t9As5kTY+wMcN+2icfRadRs1BKFZ0G0/WUimqI0dm3bSm3roTTWUyD42HYuSJsx2t6IMwd2EhSWQJVGNpR5fIHGQ8ZjWC6fk/u2o9JsGG1rKpGf/ZotK09hN86FqoX2S5L83p4/tpdLwVFo1m5J1bcBVOs1ARNNBfyObiOxZi8cTSWfGKeyY8luLF1cqPjmPG2G7GTR8jloyWbiu2cVRxKNuLnrZ+as9GDUuPFoKeZyfIcr7+r1pI+ZEpvWb+ZNMphYNSE19Ck9xg/7fCljyXycB35s2OdDOX0TrE3LEfhIikGDrJFFTFxoAAcO+hCHHNUb29C7vQXKMmlsdnXDousIGlZRJjv1OcsW+TByjjMairIkvX5cIDXPMkVUrdWS7t3bUUFFnuzECOZtOsWkX8ehriBNRMBR/NOMGGJXVzLrlR2L19Co/zDqa0pzdr8bUpajsK6ew7bNWzHpOIxGeirkpr9k+cLzDJk1iApyufif9sAn8AUadTpQPfkaOtaDsaxZnvzsRPZsWMKjRCUGjZ6CYbk8Lhzeif+DaJRVtOncvx/G1cojnZ/OOfeNiJuMxsbgz5adjsJ1jhuRmTkF+3chLUPdNv3o016b/Zv2Uql9fzpIVu8UZRNwfDdnbj5FWaM2Awf3oGp5yQsPMVHBvmz39CdbpE6bXj1pW+/9iqMZsRHscz/As7gcdExaM7h7K5RlpXl64xiHI8ozuV+Lgt+Q+MdX2XbIm9QsZSwcutC5SZ2ClQlzEl9x6IAHD16+o1zNpozsb42qgiyinAyCLxzmgN9j5FT0GTi0J4baHz7z+vCz+dz/CId8gklVUMHSuhf2jWsglZ/Byf07uPkoDt16LdB8c4W6g6diqCLmlPsWZBv2xdZYskjBS5ZtuM2QwV0ppyjFA6/t3JJpyUDJIi8JEWzf6sHbLEUsOrTk0eVIhv/aHbVCm8tKfst3uW0qWFXRqHELpMLvYjdhPOXzU9jmtoOGnYbTsMqn1VaDL+3kkNcjDK0H0aN2CguORDFjWHckL209I9T5pU+bAs6Xd60oaPd2ZlULapkefZTKRvM4F3bl/XYM4nye3j3PtiNXUa5gjIXuO5LUm9O7/Zdt/yHJo1SO3BRx1OqPyfJS6NqkLibjjjHCpjpZsY8Z1LUHPbffZKhVlS++7H/9xJW9zUntuoW5vUxLLIqnB4fS/qAeJ1cNRls5Hz/32cy5WoPRcqu5YradJf2aIp0Zi/vsYdyz3sJup9p/v8EcYh6dWkzrBQmEXVnJh5edJbT+Yp5dXIPdFlluu49Gsp5F8Q7JZrmz+cmrLgHreqL0FTtxv418httcZwIqDefcot7FK8bfpM5Pf0W/VvZ02nON3pJPVf/pQ5zHqbnWLE4Zyf5JzVESpeK+dDS+Ct2ofmMKZcd6MaaNAVlxj5k/dizVZ55hitVf79Xx2HMeozylOLNnJpK94ErEIZlzMz4A/5O70CvC/iXfosyZ8VEEHF1OT88yPDu5kMIDSd/i+t/8GvnZzOtmyBOrVSwe0ArpjDfsmzmYF7aruTvXkV7LzvFT8yq8e3mLbg4DmH0+lM7GX74f29+VP1My58ZlDzcDzqBZAvah+Oas/8ULBu8dhZ27Cr5uv6CllI//rpksCqpB0MHp/2KphKwFAiWRgIjww+OxPVqVoD3jKFt4O4ZvWFxBbj6DKebFlRMMHLmMTCUxue+U6D51ERN6N0ah8IoS3zAA/4VLpd3aSu/tMezdMJNyxd4g8vsQys+MYeHwXzgY/ARVBTnUq9mx0XUCmnmP6ec4gRd5GUjnyNOw42hWL+hRaB+hvyqfmMSoMCLztGlQ7d/c4O//8xPnpLBpeHtUp/vS78N3z///rM9TSD6PataqF1u9LtHgKzarW/RLJzyuqbBl7yaaGn7+Rqu4ZSqcXpSbxP27MdQyq4Xi/9lp/WvyKXxuZlwYY5zGcCs5Gfl8GWq2GMTqhQPIe+ZHt94zEavLkpuhgsPwacwc0fpvN7Rb1s8apT5rGW1b61sV7+uvE+KB2cybnNizlipF2nn+67P03zcFl/nnWbLjFN2aftpT5+uv/E9dQUxKZBADe0/iRU4GMrkKmHQaw/o53Xh1fh8Dft0AqtLkppVj0IIlDO9Y7/MR6m9YrKxHx2ky7iBnj+9H81/b4v4bVqgEXSonLZrlY3/F/fYT1ORlKFejE2tXjcGw0L4sJai4QlEEAv8egdwEJrZvScUpnky0MfxHNuqWVK7UyI2kMrGxsZ9t4vnvRU/IWSAgEBAICAQEAgIBgYBAQCAgEPjeBKQSExMLTwn/3vl/0/yys7PR0tL6ptcULiYQEAgIBAQCAgGBgEBAICAQEAj8GARKzchN4QUFfgz0QikFAgIBgYBAQCAgEBAICAQEAgKBb0lAkJtvSVO4lkBAICAQEAgIBAQCAgGBgEBAIPCvERDk5l9DL2QsEBAICAQEAgIBgYBAQCAgEBAIfEsCgtwUgWZ4kB9pGvVpqP+7fR7+37nifEJv+CDWs8K48j+wnFDaG3zvvMSyiSVl/moLGlEmfv7XqG3eAi3VL9in5v/V8bv8vxhRvojCk8OkZWQ+rrIhFokQicVI/bYL+m9lEovJF4kK/lU4feEiizPfcvFmKE1btkAp7SVn7yfRorEJSjKSa4KMZFf1H/TITU/g3IXndHAwQ/5brBCWn8m9wGuoGLWmpsaXchGTny/6y3j8oKiFYgsEBAICAYGAQEAgUEIICHJThEAs6FufJ01c2TWyeRFSF0qSl8GUTvrkDbjEil7/wBKu4Z7UGLCds95nMPirVXNzojAxbcu8g4F0qluylyT+S7i5IXRr0ZM7rzMk6/shJVUFjxtnaaJZhvTYByzs3xePx8mUr2DK1qO7aFitLKKcVE4vGsX4Hf6IxWWYtnEvAzqa8fuVqG/unsiUG4b4bhqCTOgWNEcGcvPENuIOjWPYaXWCjs39P/vZFK9JFCu1ZHPOkDBUaxgWbKxY3EOUGYdTbWP6e4VjX+cb7J2RGcnQzm0xnPuAX5t82UYZyeFnqGczieN3bmNWVliPtrgxFdILBAQCAgGBgEBAIPD3BAS5KUILWdTflAjL9ewcYVWE1J/LzdTONckb4MfynkbFO7coqcM9MRy0kzNnTv293DRqz/z9N+ho/KPKzT26d5jJoGVL0VcRIcpXpEZtfRTzEpni1JY7tcaw+qfGPLy4lilnK3DzyEIe7xpB/11Z7N86HvnYYFwmbGbWfi8c6xbq5IsymNu3M+VG7GWMlRY82obOqECuHdtC2ZQQ7sbL07KhwT+2Dvv/C7EoN4H+qtVxuB1O77qSvcKLe4gIXuXABvlf2TyqDcXXo9/llxnJsK4dMJp9l/FfKDe56XH43YygcYsmqMt+6ehPcTkI6QUCAgGBgEBAICAQ+K8QKLVyk57wEPfDR3gdI0bTwJr+PZqgIi9F6qvrbAzIoX35F5y++gz9hp3o08WMgn5WfhZXzmzDNyievLx8ZJTK0HPor5yYZE6ExXp2Dm9MsI8HgfGmuPQxJib8HB4nb5KRroBZhwHYN638+Vv+vAw+yk0Pfa6d3MfTfEv6datD7rsoTm7dx4OUTGoYNaVnb+uCncdFeZmcP76PK/eiUdVqwoihHVCVExNx0ZPjlx6SK69C14EjqVVZGalCclNTJRl/nz0E3E5EVqEqvQf2oYZkG2rJyM0HubHTz+fI7h3otxuBefU8rvsfxOdqNNKylejt7IKBlgKI84mO8MX9xDUy0uUwbTeQjs2qFNQr1M+D+3KNULt/hOvRItp1d6G5ifbndRZl4HX4NNrmDbh1zoNXkXk4DJ5A4+oaBZKQmxaH9+Yt3E3LRbdGYxx72qAmL+LJpX08UGrFm0vuKFVtT7+eFnzcNzX3Hr26LWfOwX3UUuajbKS+OIdN+0VsCPKnoZrk6om00W/FVJ+zXBhsi8y4gyzs8n7EbGWvxjxtvpSNo1p9vLez3wTQuvsq9ngfoaaa7Gdyoxh9kX2385jQtwPPrrhzS2RMhagALoWlYunkQiuNaLbvOkVuGTOcBzlQTlkSvAyCrhzgTMArkKpA558G0aDa51u3i7MS2eDqhqWJOecv36BDr5E0rJaDz9l93Lj/DjllQwa4dKeyaj5+7rMZN3QDNZ1/pn6jVvza3Qz3A8dwdBlJBTlIenqNw76x9B3WFaX8TALPHMYn6BmqFY3p9XN3tGSkECcdo479JXzOr6BKmULjVlmRbD/0kKbmypw46Uu2SJPB436mspJMAZ/UyHsc3nmMKJGYRq160r5FHeSzoz7IzT3GN4FTuzYjV6MLNs31yEyI4KCrOy/yRdRv7ICDjTny4mxO7lyBmnEXgi8exqBZfzqYybPB9SRDfhmOinQSl3wP4h8Yh4xMFQaPHIhOua9WsP/Ks1uop0BAICAQEAgIBAQCf0KgdMpNfiYnV43EP6EuDg7VWTNyHLXGH2bZAHNeX1tLFZuFtO/gQAsjRY4cvEhP14tMtdYmZNtAep9RYb5zCzwXLuCNxS/sX+HMliENedp0DSN1gxk8/RSbfb0wl3vN1PFT0G7qSFXFcCaO3creO6FY6hbqzH6QGwb7Ypd1hMmu91l/3AOzsrlM6tyYKIMRDOlQkf1LlpLZ15VdQxpzfPZPTD//Dkf7ZsTfvYLlxEM0f7cJ5znXGTh2EGVenGfyqmB8HvlgEH+6YOTGy+sUFR9tZNiqe/Qa0YOQA6s4GmvG7WPzkSmQmw4scD/H2wOT2BthiOe+OciF7GHUyit06NudWP8tLA3Q5LHfBtSynjF78jTUzbphqP6KcT+vY8uNh7QxKIvnvC78tPsVfVq3R08+jG0B2ew/fRyraoU+UcpLYETnbvjHKWDbqjXSL86z7YkO13y2U0s1k9U/d+asdDfm/FSTPcvmktp0Eh7TO+K7uBO2iyNwGjaQlsaN6TvABoX3/WzIvYd188HUtO6KVjllLE1taGVlxNvAjTSf9JBHAZuQk7gNYpya6tB23lHOTRtH791+ONZ+H4/jczqwObMXZ5e6fLwN4i4socXqSG4ec0Vd0qcuNHKT7DMN243ZRPuuJGBND2zWPqZblzZo5r7EzcMfrbrmdGpjzYsTW8izX8Lphd0QhR9j0MzjWPd3IjnQnRVeeTwK3I9CQdk+HMnPMDCsRb5OZ3rZGmDbYxRV3noweccrXH7pxqU107mh/hM+G4eSEOqNo/lPNHPdjl0jC5pWjKOJvQvuV+9jpATPfVbRa/oDzgTuJMN3LU0mnGXL0rE8DwmmucskTMpKAL6hYcWOrAv2w6qK6qdypNyggdlwlGvoY924GY+9t3LTcBwhu4cjm/KQwY7OlLUeR1/TPCb9soBurqcZ00SZYd06UGf+HWreGM9SLxm2ua+mKq8Y6dABmQ6z6WsGK2evpP7U3czrVJXRDnXZH1aNXk6tadusKx3MsjAwcuZO9H1Ed9yYuTMC+/4OPD21DNenNtw7MoGyEssXDoGAQEAgIBAQCAgEBAJfQKB0yk0BCBF52Vlk5uRzddVg1kY258S2UbyVyM3Qm8TedKeiihQeE7vikdOX02s6s6pbLeTGeDO6tQGPfJZhu60MT/aPYJlzIy6KTci7H8EK//M0UpeMcIhBSkR2RiY5OaksbWtK2bXXmWBV/dNnTHkZTOtSizBde94Ev2Hz2YPUL6tASthhTF32sGX1HMpKQWzESXqvfkfM1fk41bWkt/s5+jTSKahFfp6Y6Q6GZHVdSL9G1YF05rl0oseOx/Qtc/3TZ2nq+YhF+WRmZJMQfoGenVfiEXUZ/ZwozCw7YFKrOs/EjTjpMQdVSWdbLEIslqTPIiU6FGvTPni8CaGumkRUxORkZpCVk8GKNsYoLvRnqq0xx+Z1ZXlyT66vcgLyGNTIlIYLPRltbfCp6eUl8bNja8r2O8ji7pJP8cR0NalEo4XXGKwdQttBC3E7sAv5tCwSn53iF7dIAi+4cmOBAwvyp+A7p90f5sUgziEmOoa0zGzeRgTStedIxp64zwClUzSb+pAw/9/kRoRTs8q0mXOUczPG4bTrk9ycmGPNxswenFs6+GNZww9PoO9RGfz2L0NFwqSQ3KRcmIHt5hyizi7j0qquzHxqy6WNQxGnPKWpflNmX36MvXE5Qk8vp8/cJ1y/5YbSB6ZZGVm8i3tEH/PerIh/ikmhyfzi5KfUqWfGCt9I7I0+yIbkPFEuGRk5JDw8SncXbw6HHkQ3J4EB5QywvxZK7wZaEHsby45D2H0puEBuXviuwWnGA07d2E78ybk4zHyG15kVVNMqj8LHT77ENK9alSm+97A3KPRJXsptGrQczrKDAVgbKZMRfQWd+r25+DCc7NOTGHsBNk0bTH62iCDPKZzM7Yv3/NYM725DTl07rvgn4XtxM3oqsjw8uQS7daEcXfkL5Ip56LuKzSGm3NzuzGjrmqiOuskix5oF3NNeX6O28RACXwajrSaHOD+3oM2mxt/D1GgifrEXqaUhzMX5gme5cIpAQCAgEBAICAQEAkimZ0t2vywFx+ebeOZyd+d0hiw/yIuYNLIzMrDst5pTW4eTIJGb0aHEX3GjvBIcnOzInnQnzmxwJGx7P2w91dg0oQO7Rv+C8uRjbO1vwtJBFhyO1ED0VhqPy17UkfRJ896ybrQzm04HEpueS1ZKFvMvPWD87+RmumNdAnJrk5pShsPeBzFUExF9YxmNhzxk4uiWBR1ipKRRNm6BU1MxllVGsuLKMVrqq32ISipOtS2R7TaY5lXLFDiVrJIK7bp2p+qbMx/lpmqyF70HTCEwJJr03HxkVS24EXWeGhK5sWhNeWVlso174rt1+vu5F9EXGeQyiYtBz3mXJyYzW4/ANzeop5yK26/DWHvsOjFpuWQlpzHD6w5Tbd7LzepcFy7PdyiQmyHmptSdd5Sxtoafyc2I7u3QHnaCmbZVCv7u0r4muiNP0aeMP237eTJjmRNSGbmSNcwoW6sRjs1r47fAnuUqi/Ae3/jvJ/CLs/GaY8fUyIH4/ipHu94n8b3rQcWCl/0iOtevRt/dZzk3eABN3LxwaVSxoAy7RzfHW3sCB6Z1+VjWiCO/8tMRKfz2L/97uVnZhXmxPfBb/hP52W8YpGfBsBshNNNXI8x7JU4zw7h8ewsqSbcY1m805wOfkJInIidXm0spDzH7vdzUb8SGi1G0rfl+VCkuaD/9RszjfngsWfl5KGl15Fq4O7o58QwoZ4TtlYf8ZKrzUW72XArGUCI3F9biNP1+gdyUl+YP330AACAASURBVKxkFnCGqdPHEKvYnh1HdmJSsKKZiOZV9Zl64S52NX8nN23Gse6oPy2ryZKbFIpmHWt8bj8m0nUwM2+XZ0zvBohyRchIy1C9mQ1t9MUM796BF0rGPE4pz82Tbmgqibi09Rectucwe0hDpPJESEnLoGPeFvs6ZRnVoTqVJj5glv37tlBYbspHnaH/sFlcfRRNWj6kJJvwKOEMRoLclIInslAFgYBAQCAgEBAI/DsESqXc5KSG0qt+Vzoev0AXPRUCtrmwOaw1J7aP/iA3IcRf2fKZ3Jxe14m5rU2Rsx+CZPBCv6Y5ba2boiQrhWRBgectV9I59QATveQJ9NlA+u1ttHX2Ye/ZDVRTzGBBF3O0Fl5nYvMan43cSObcSA87S53bi9gQUpOzRxegEH2JOi3mcDzwPPXLy4FIRFYqKJRNorORGZarvZlmV5v8vBSeJ5Xh9CgT7jdby44xbd63koxM8hWUkHn6fkEBL6+j3BjbnH06v7JnQlsyIn1xdFjPoajLBXJj2siaubuOcGOaC5Hm09k7345jY6zZmNOZvQudyI0PpV3D/hx+E0qFxx7Yupxkx/mt6CvmsLBTA8pN82e6Xd0PcuPM5fkd/1ZuhndtwbvGi3GfIZGg1zTTNeHnk/fppBJKG7txbA+6T4MPaxvkpuYhVyYPX4ncKC/Ee4Ll38qNKDuJhR0bcbXZFk6O0aFnm570OngTJ0Nl0h+so0anC1y8fYDrU605Xn0GJ6d0QCotHPumDrRceIZJHT+NMr32nkd7t7fcOLIOVcl0lL8auZHITUx3/Fb0JT/rDQOqWjD8eghW1SVyswKnmeFcvr2ZW/O7MyWsKUfXOCPzLpTujfuxNubZ/5GbDFb0asc109lsHWpO2svDdO3ji+ejw+jlJjGuRjXqHwtlsFlliAnEuE0/tlwIo5k2+KwfwK8eily47kaFD8+PrLQEZg/sQnLH9bgNMAGSsNBswbLAq7Sq+pswA5KRG8vejHQ7z9AW1Ym/74Fh62XcfnaHXN+59NwUxzWfTZSRjGjl55OTJYW8dDTDulpTd/F18tbYcrHMIPa7DuHtpS00HeZN+ENPykgmSknSZ0ohL5/yl3Jz++Udjg1vx/mqw3GbaEtW4l3M6kzn0puL1NbI5tAWD8rbDaKtrjCK8+/8NAi5CgQEAgIBgYBA4MckUCrlRpSTwrqx9hx6bUjDKgq8CPYmq9Z4zuwYw9srK9Ed/oC4W7uooATu4zuzK70PPpu74+7ciEUhmpgYVSA1I4+qxi1YMPtn1vatx9MmruwcVJNZA7pxUcsF72mWOPcbgKJhaxSzEwj1P0CX3aFMbllYbtL51VYX0aBrLLdXYELvXjytN5JTS/qwcUxfjj7MwLipISlRUejbT2dmz/oE7JzBz8vPoFOlMhlxafRZf4ieZa/z87D5KNRrgZ5qEg+jFNjstg69mBPo9d2Br+8ZRBfn0HFBAB3bNeL1kxBu30rlbORVauZEYlK3BXM979JCMRg7h8F0dfXFMfcQPWafwaq5BfEvnhDgdR+v1yEYZYYxsP8gxPqtUMlN5NFFD6w3BjHbvh5HZjmwLGcIt5Z0LpCbAY1qU3/uaSbYF1oJLi+JEd1acSlGA315eVKSH1O+0xy2z+pPeblMDs4fz9ozTzC3NSfl2RP0Wo1gnnMzzs9px2LlZVyY3PQPcnP/4hoWrzhDprw8UW+ikNdqyo5tq6hVQY7zrlMYu9kXfV1NXjx/zcAlOxjfyZy4eyfpO2gqmZWMkYsNoXKLoaxbOZqK8p/mc2S9PEvTPts5fu4AemVkIGQzFYcFEui1g+Tzk7HbkEO032ouLrFjXkwvAtYOID/rNU6V6jMq+Cktaqjz6PQSHGc/5lbQTt5d3Yrt2J1YtbQiMeoZgb538Ih/hvlnIzdPqG5gitu1N3QwkOx9lE/AtikM2hxMzw4NeB5yl1uh5fCNOIK+KJcLK1vQdy+YNO2E+/LRnJ7TlynnEmmoJ0JJRpawuOpcuLmZiO2LWOkTj4FuJoF3Y5i28SjtDJQg4xyGlkc4f2Uj1dQKTdZPuY2JZU/UNfQLFtqIfvmaTosOMqtXPWSyXzCrrws3M7VpZF6ex/de0fPXdTg1FDPYvgUG88OZaPycnq27oDNkLaucG7C0b18uplbA1KISURFvaOU8n+GtKzG0pQ7aU8OZ20n3s5GbWy+DeX1mJkPW36RFE3PePAvj1MlYbsX5UUfxOfYW7akxw5d1TnV+zCerUGqBgEBAICAQEAgIBP4VAqVSbiQkszNSuH7tBln5ZTE30SAmRZnahpXJTYnixpMMmpoaIicNcc9CiM2vhHHlXDpa29BviRedzSqQFBFIb/tujD//nIaEkaFmQC0ddXKS47j88CVWluakxT0h6METlCsYYFw2nrQKDdBVL/SmWZzP84eBiDUbUL2SMulxUQQ9T6BF4wYFndonN67yNCkDFd3aWNWt+rEBPHtwj+exb1GuUBvLBjpISUFGzFOC7kWQLqtCoybNqaAsGcF5S2DYG+rVq4eijIiQoGtEvc2kRv0GiGKi0WtoipI4m9tB99Cv3ZDyKrIkRNwjNF+bZkaVePIgkOevU6hStyGy0RFUNrOgjKw0SbHPuHU3HCUNA+qWiydVox5VNVR4+/IhkSJtTAs2MxUTHhSEsn4dqmhICvPhkMhNj/boOB/EQe0FCeJyNLUyLRgBKzhEubwKvMajpEyUdQxpUr86slIikl4+IFJan3q6an9cejkvm9B794lOTEZOTZ2GjS34OAYhzubpw3s8j0lDQ682pkbaH84X8y4mglsPXyKtoouFuSHKv1t6WJybzEi7VlisuMjABhqQ8YbrEe8wrWtIXuJzHrwRYVm/BimRD3mRUxGTGpqIRTk8vhGETkNz1BVlyUiMJPR5JqZmhkim7z8Nuc2TyER0jEwok/yMCiaW7+c4feSTya3bQdRs0IRyH1YmE+Vnc//Wdd4k5WJsbsK7yDhqmBqjWHBOKtcDbiEup49F3epIZadx5+YtsqRUMTPV5+nTeGqZ1EIqLZag63dJFMlS06QxBpoScRLzbHdfhj9y4PhCJ5R/W6BBclnJyE27CazZ6o7c28dIV6iBpYk+v6mfKDOVhzduEp0lorJxY+rrlQVRNuEP76FUrRG6atIkv3zMoxS5Akbk5RB6JYDIzDwqGTSkYc1KIM4j4t5N5HQbUa38+0Un0l9fo2a9oQS/uFOwqWzInetExmVSvVFj0sPCMbQwQUUul8d3Q1GqWZ+qEukUDoGAQEAgIBAQCAgEBAJFJFBq5aaI9f+YTJQeSat65tQasJJhnerw4sJexmy8y+W756kuWSZYOIpGQLKgQLfWaA47xRz792/rS+4hxm/jKJa9aMWZZT0+duxLbnmLVzJxThIjGtag7b4wupu8n3v08Ui5Rf2WY1h7LIDW+t9n+eXUZ8GsW7OW1b6veBZ8AfXPlpErXt2E1AIBgYBAQCAgEBAICAT+jIAgN4Wo5Kc8Z+EiVyITUyhTqRmT5vRDW054c1ysW0eUwZGdG1FtMhjrOmWLdeq/kVicGMHS3d6MGDMGtVIW6qyEF8xf4sfUxQMKRuQ+O7IiWe56jK6DRlJT4/tUPDLMlxVul/hp5GwsaggvDP6N9i7kKRAQCAgEBAICgdJOQCotLa1UrJYmCVRKSgrq6h9mqpf2yAn1+8cJSElJUUoWE/xHWQmc/h5vaeYjqZvkKK33ibS0NCKR6B+9f/6tiwvt8t8i//X5lvbYldbniRC3r2/7Rb2CVHp6uiA3RaUlpPvPEMjLyyMnJwdl5ULzif4ztS9eRbOyslBUfD9DSDj+SEDy0kVVVRVJR7m0HRkZGcjLyyMrWzpH4pKTkylbtuSPQH9Ju3r37l3B801G5vuM3H5JGb/0HMkzSXK/SdpmaTvyJatR5uSgpFQ6V5JMT09HRaXQZuilKICSe07yW1Aaj9TUVNTUCq3I+i9XUvgs7V8OgJB9ySQg+fGQdNxKa8fmW1JPS0sr+KEtjZ2kb8EpPj4eDQ2NUslH8oMmEdvS2ImUxD42NpZKlSrx2wjVt2gPJeUaCQkJBZ0RObnvM+fue9Zb0kGWyE1pFIDc3FwyMzNLVEfyW8Y2KSmJcuUK7cn2LS/+L19Lcs+VLy9ZkKn0HW/fvi2oW0l5VgpyU/ramFCjb0BAkJuiQxTk5u9ZCXJT9LZU0lIKclPSIlK08ghyUzROJTGVIDclMSr/v0yC3Px/Rl+UQvKNZlxcHJqaml90vnCSQKAwAUFuit4eBLkR5EYYuSn6/VJSUgojNyUlEsUrhzByUzxeJSm1MHLz/aIhjNx8P9ZCTj8QAUFuih4sQW4EuRHkpuj3S0lJKchNSYlE8cohyE3xeJWk1ILcfL9oCHLz/VgLOf1ABAS5KXqwBLkR5EaQm6LfLyUlpSA3JSUSxSuHIDfF41WSUgty8/2iIcjN92Mt5PQDERDkpujBEuRGkBtBbop+v5SUlILclJRIFK8cgtwUj1dJSi3IzfeLhiA334+1kNMPRECQm6IHS5AbQW4EuSn6/VJSUgpyU1IiUbxyCHJTPF4lKbUgN98vGoLcfD/WQk4/EAFBbooeLEFuBLkR5Kbo90tJSSnITUmJRPHKIchN8XiVpNSC3Hy/aAhy8/1YCzn9QAQEuSl6sAS5EeRGkJui3y8lJaUgNyUlEsUrhyA3xeNVklILcvP9oiHIzfdjLeT0AxEQ5KbowRLkRpAbQW6Kfr+UlJSC3JSUSBSvHILcFI9XSUotyM33i4YgN9+PtZDTD0RAkJuiB0uQG0FuBLkp+v1SUlIKclNSIlG8cghyUzxeJSm1IDffLxqC3Hw/1kJOPxABQW6KHixBbgS5EeSm6PdLSUkpyE1JiUTxyiHITfF4laTUgtx8v2gIcvP9WAs5/UAEBLkperAEuRHkRpCbot8vJSWlIDclJRLFK4cgN8XjVZJSC3Lz/aIhyM33Yy3k9AMREOSm6MES5EaQG0Fuin6/lJSUgtyUlEgUrxyC3BSPV0lKLcjN94uGIDffj7WQ0w9EQCI3mZmZqKur/0Cl/neKKpEbFRUVpKSk/p0ClPBc4+Pj0dDQQEZGpoSXtPjFS01NRVFREUFuis/u3z6jtMuN5H6TtM3SdkjkJisrC1VV1dJWtYL6JCcnU7Zs2VJZN0Fuvl9YpRITE8XfL7t/LiexWFzQGVVWVv7nMhGu/J8hkJ+fT15eHgoKCv+ZOn9pRSU/trKysoLc/AVAyXNJ0o6kpaW/FHGJPU/yEkDSiSyN4iaBLomdpINcGsVd0kGWSGlpbJeSZ5IkZpLnUmk7RCIRkt8nOTm50la1gvpI2mVplNLfnidKSkqlMm4l7VkpJRKJSoXcSFpLXFwclSpVKpUNR6jU9yUgjNx8X95CbgIBgYBAQCAgECjNIzeJiYkFo/il8Shpo1LCZ2mlsZUJdfpqAsKcm69GKFxAICAQEAgIBAQCxSKQlJREuXLlinXOj5K4pAnAt+T29u1bypcvX2JGuQW5+ZbRFa5VaggIclNqQilURCAgEBAICAR+EAKC3PwggfpdMQW5+YfiJplzI/ksTVNT8x/KQbjsf4mAIDf/pWgLdRUI/HMEYoM8mbPuCv2mT6epYfl/LiPhygKBUkBAkJsfM4j/SblJS3nNUY/jxGdAY5vONDeu/DF6zy8d52RgBPJlKtHb+SfKKbyfABhx/zonzl1BVqEaPZw7UbnM+4ndaamvcd9xmHd5clh17IqlkXbB3z+XGxEvg304evEB+R+mFGkbNaN7RxNueR7i5rN4JBONlKob0dOhE5WEOeM/5t30D5b693KT9uIKjrZOVPvlBG5DGyJKecy23Wcxtu1PM4Ov/4Y2LzMFlwb1iWo/l7OuA/mrqaJXN/Sn9/IXXHzgg4FacRpuPteP7eF+Vg0GOrWg8JkZr+/i0NCOCvPOcWBoPf7Jae+ZsQ+xa9ABzVmn2T+iIV+zvlpCwFosf9rO7P3n6Gv1/jnw2xF+5SRnQ3LpO7Qre7ubsSKxFbfPr0JT7mty/GcaXOTlLVj0XsYi/1AGGch/k0w85zsy9VgyZ+9cQP8Lr5gV+4Jt+4/TpJczZtpqX3iVPzlNLOKhvy++d0Ow6jaQRlX//BOUrPhwPPeeJgYpWtn9RMNa7+dTinIzubp3B7eTs6lu1ARb+yb8Ru2l/zHO3HmOnJoWnZ36UEnlj/mL83MIOriLKzFp6FRtgEO3tih/aBYxt85y4nIoIqVyOPTqi67G+zsxJz6CU4e9iMyWwqJVZ5qYViUnNhhHm87oDNqF25g2f96WRblsH9uCiT5l8b18ioYVZRGLcrl+wJUbMaLfFU4KC/u+WBlV/GrW7yJv07dFN3DeybGZbT/d0xlxbN9zgJSMvII8FMsaYNulA/oaxXmWfHXx/vYCMReXY9nXg6UnztPL/OtZfElpn944gde9BDr1c6aqZI2inBSOH3InUqoqI/rYIyNpLxnP2bHjFFVb96StsVaRs8lNfkVLcwv0XTazbUoXij29XJTJ9j52zEqsw7XDrtxf34/xp9Pxu+JJlVKwfoIgN0VuSiUq4X9PbpKf4ujyMzllDNAQheNzKQ6PS1dpqV+G2wfm8/O849Rv04R3j24SVd6WY3vmkOy3EqflVzEx0yX62jmel+/JlQNzqZARTs9hY8lTq4NC+n0CQ6VxPXgYe+Nyv5ObPM6uGEgv9zcMaWuKWCyispkdw3vXY0brJlzSaU07PWWCA6+SqmXHuX0LUC99q7SWqIb/oxXm93JzxdWZDrNvc/xhMB20ZMh7uhe9OgPpt+8+S3sYf3X1cjOS+amGNi9s1nJ159C/lJuAVd1oNz2YGzGPaKhenGVO3zLUrAGeyXW59/Qcn14vwLvoy5jqtaHW2tucHNXgH5WbtJgb1Nexou7qG5wY2+ir5Cbebzm1HRYz0+sOY1tWKxSDHFydrfnF8wWX459ypXM15sTaEXFjI1py/6S6fVkzeOW3AX3rGWx6EMdQo8Jyk8ke5x6sTKzH6d3z0VUves/l4Iz2jNibRuDL69T4smIReX45ejZTcdp6Aw+XRl94lc9Py0+JZLxzH25FvCIw9BULTj9iik2tP1w74cUFfurSl1CZmtRSSuD+U0XWnTmNY20ZlkzoxpoTr6lvXIXH957SdYobG8bacufcNHr85EqlBpakPg9FxbgX3sdXUb5QzEXZSWxf3J9p6wOpa1aHJ/cf0WLwMvbM70vk7WXYOcxF2agJ+W/CydNuwynv7ehk3KWPoxPBSeroquXx4Fkeq8/70a9uWVxd2rEkrDqhATtRK+jxfn7kZb6ho2FNcrpu5uy6fgX3tSgvk62De+D5Jpeklw8JCkumnlVjNFUU6DZhLcPaG/4FaxHX985j2KbrnD3nhY7qX/9ovXsZSBeTVkiPOM65hR0+3tPpz/zRN26NWNccE31VIh7cRVbPhm37N9FK/xsK7Fe0ltfnF1K701oW+99lhKXOV1zpy0/13zoSmzFHmHw8mLnWOmRGXaO1eTOCpZtwJ/wKxirSvLu8CL12cxnveZ+Z9kZFziw36QVmdfSpPvQw++d2/wK5ecfCLk1Z+NacEO8dKL84QdvWg+i47xGL7X78L1cEuSlyUypRCf97cpOdSlhKLkaVyoMogYmWNXnqfImDw6ozxKIulaecZKFjfUR5ybTXa8Dw09exrZJFokpV9FRkEKdeobauPYtvRtFJL4/wlFxqa0ve4OUwxLI25cd4sKRP4z/IzfnVQxjxqjvhq+0/ddby45ho05ays68x3UqV3FcBtG3jzHi/J3TR/dRO8rIySE3PhN/27RCLkVEqg5qywld1xkpUSxQK87cEPpMbcQrjrJtxSrYDj71WFXRQ8p55UK3uAAa632dex+q8iX6NfFktKqgrkZuZwuvYFDS0dVGVySYyOo7ympq8extPRp4IrSp6KGYn8TouGVRUqVypAnm/kxvZvFziYmJJz8lBQVEVLe2KBW8L38vNPa4/v06FrHSkldTR0dTgD90ccT7vEmJ5m5qFrHJFdDRVeHz5LM9ydenYtl5B3RNiIknNzEch5yWt6rTD8KPciEmPf0Pcuyzk5JTRqayFZBXjrJQ44jNkqVw2n5fx2VSurIOcOJfYmHgycnJQVFRDS7sC0n8yOJIYG1XwtlgxL5rmRi2p80FuyM/kTWwMWVm/Ldooj7aOBklvE1CrqEVGwhvSssWUr1wZdfnPO/fv5WYJs09dp2tNeXKQQ6eyDooyUkTdv8LN5yK6drJipX015v0mN7JikuLiSc7IREZGHi0dHeRlpcjPTOZVfBa62mrEvIkjT1oR7SpaH0e4UpKiSUzORlxQTClUy7+PtaSqEi5vkrLQ0tNDSVpMUsxr3okV0NWuAOJMIl/EUKZiZTRUZEmOjycxLR0ZaTm0q1RGXlaaz+VGlrjoKHKkVVCTT8HV0Z6Zb03x37+QejUqo5ifyuuELHT0KqMgySv2De/y5dDVqfTZs+kzuclNJzI6FiUNbSqoKSEWZRHz8g2ZYihfSRv1MoqSHjfRUZGoV9QiMykOkbIGZcVvOXX+FvXbOWBYXhlRbjaxsXFk5uT+eazz0ngRFY9iWU20yiqRlhhHfHoeepUrI/PBKfMyErh0/Rm1cg5Rp9tKZp18zIQ/dObzODi5FwM8IgkJC6SGQjTNa9REutUidg7XxrzlYEYfCWR2x9qsHGDO4ivqXA9yZ4KuNo+6LOPe7ok8OToDC6eNLLsWxhiLih/ZxD08Q5NGPWi65hy7hjfHfXw7hu9L5EKYD7trVsDDbDwvTq0g6eomLOwnM3jfLayDJ9NxRzRHLnrRViOJ7s3q8kB3Knd95hF1dAL1B53g8IMHdKv+x3fwiYHr0Gs+hWV+IYxo+scxtGubhtJmhD+Hoh7QqfKn0ZOs9ERi3yYjEsmiWl6T8moKZKfG471hIt2XBXDn5nl0tCsXxDMv4x2v4xIQicWoa2ihoa7EX8lN2lN/apm2xnTebY6NMyPo4Aw6/rQCh6Wn2DGhPYiyiI2MIUMkpqyGJuXUJcMWYmKiX6GgXhFxWjyZ8mWprKFOanwMie8ykFd6/3x6H+J83sa9JjUtDxm5MmhVroiCNIiyU4mKz0CrUlnexsaSlS+Ntm5llH5rGIWexu/lZh1LfW/ioCsmR0qBypW1Ufggj6K8DKJjYsnNAcUyGmhWUi94/mUkvCI2VZ4qVTWRk8on/vVrsuTUqFKpLGlvo3iHGuXkMohLE1O1sjY56cnExCWBjByaOpVRkP304IoNOkG7Fr2oNnIXx5f15oXPEhrbziBFWoVxniEsd6iC19RW9Ngm4uzt0zSvqoYoJ43o2Hhyc6VQUiuPZgVVpBGTmfia+Hw1Ksin8TYNNJWyMTf+JDfipFjiUnPQrqpb8LzJSoolNikdKTnJM0iH3wabs9ISiIlPQUFRml0/d2Z+nFmB3FTjGcPsTblRcSq3jk4p4P0jH4Lc/JjR++/JTeE4id7yq7EpKm7XmG3xBgvT2aw5dxQrPeWCH9d5DlXIHOzN4m6mH8/KTfWngdYMdr3yxaKC5E21uKCDIcp/iYOpPfZrTzOqjf6fy02kI4+X2xV0tiRr3kuJ4plk0xaNBbeZ0FCaIK8Z9Jx4l4DQc1Qr1G+6smEC3advJ+e3B69IhEmPuZzaOpY/+crhx2yJQqmLLjepYbRr1hT5dovwWj2s4Lzf5GaQ+30mmSZjZtCCujNPcnCWLY9OzaNBrw0sPfeccbq3qF6vNRbmXbh0+TTJYhmsus3AIHEr+y5FI1uhOts9fenWQO3TyI1rV9xmODN5/VlyAFm5Sizce5KxjmZcXe1I64kXsDTVIPDuK6Qq1GTNvmOMaFu7UH1EhHi50Xf4RB6+yUYsV4djQV5cG92UfW9siAzZzBP/XVh3H82rlGx0qxmR/CyMZmtvc2JkA8LP7cBlyDgCYzIR5yswaYc/M/s34sqS7vTYGMnA6hG43hBx6f4drm4YwTy3C2RJuvwymqw/4cNg69qfydYT/93Y9hrF88QsdKvWIuXZI5qvvsHxsaYcXjmIITM8yMiTIj8vDykZLQ5fdGNpj4Fomdhz7uIB8kT5WAxYxDG3KWgW+l5PIjd1Os6hqrEh9+48JD8fhq49zurR9hwZZceww/HExNxki3015krk5qYr97eMYsj4rbzOlyroOA6bu43lM34i7dwCqthtZZR1Fdx8AslWLMfQBe5sGtue5PuHaOc4jHsv0hDl5yFCjo5zjnN0ll2B6N7x+AWzgdtZfPUNUxrlMaB9Y45EVyPinjcVkg5QqcpPjDscQsuEHQyfvIlnKdmIRPkMmLqT1fMHkHJpA/odpuP2KAHbyKVYdZ1PbeftdE6eyMidMeQjhayMDBM9rtEldj3Nfj1LQNxLmqjlMbFzc3ZH6/Hi5gmUCxnub3Jz53kAgdM6MWjFVRZ4BzPKSjLa0JvJh/3JR4yBWV+2Hd6OhWo0dXWqUce+K/cvnETLcRX7Ryqg13AEg3Y/Zls3FZZPHMC8rX4FbVJGVot1J31waV/rU6xTHmBYszFyTSdyY/8w5nczYdPjdkSHu6Mm/7nxJpyZQHXHVcw6FfZHuclPYErPtuyMrEHUzaPIiTLp1aw698t3xbWXBh1GbsYz6DWdDOU5saALfTaFceSoOz2amGG95jpHx1oSd3M31a0G0nvnc7b0rfbxBVfIucXU67qUNRdjGGOpyNXNg2k91Yutnr5MbmNMjanH8V/Qmeyws9RrZkv9Kf40uvMLS54acMv7IHWU3jDJsS7b3zTk4TUfFML3YGDmQpNVVzk9zuJ3z5Qsdo+wYbCXKiG3jmJY8Y+fHPqvHYTNuMvsDQ+kx4fPW19HeDPSeRSnbrxCCik067dn7+FdcHgC7ae7k58vRlZWhk6LTuDWWZ6xQ8Zx6FpYwW9jtTod2H1qH/XET/50l/alXAAAIABJREFU5OY3uak77RInJrXgmedy2vSaTrtFx9jza3vcxvRmxtaTpIhBr24ntp08QuvKWbSsUxnp6i2Iu+5FRosZRKw0pmULFwLjM1FSr86aExcY1FSTw2t/ZvQ8dxLf5SIlXwb7fotwdx2O6MZaanTYgH0LQ/b6+hTcR73mH8Rtek9+vxVlgdx0XoShiSF3b0vuaxlGbjzBsuHW8O4580YNZJn7tYLfdcVKtZi1age/9mzIkaGq9NxmxoOE89RVfU1PEwv8aowh+thsdg0xZvY9XRrn3eRCsg6p4dcY2sWS3b5PECNPn/me7J5i/Sl+KY/oYW1FkOYAHnuu4vRkC/pdkKf+i0CyOu0geHdfRjY34nwlR67tX4RSejhTXAaw9cxtRCJQ1TFhwcbtjLCtzelxRnS8URe7lEDOiw2JuLCbThbVC0Zu3IfpMMihB1dzzLl9/zgKT/xwsevF6ZdJSMuVwWnsNrYsdEQuK4Ih9h3ZefkJZcqUoYaGChFa1tz33oG+aiJLB9kyK0CO1w/9Ka9S9BHektgNEOSmJEbl/5fpPy03zwI206jXDoIeXUdf6gr1W61g6+kjNJa8sRLlsby3HlGdjrG2b+P3JEU57Bhozjq1kVxfMwQlWSmiL65n2r5LXPf1o1rvxZxaMrTgTcXnc27y8Fk7BIel3tSppIVk0yvbUatY4lKfybYt2RSaQpncXNKVjPHwOoV9nc8frzmZaQUjN+/f0r4/5ORVUFdXFkZu/n8bLxUpCo/cZL+8TLNm1piNPoHb5PZ/kJvJZmm0MrOizkQvtk9qS/jZ5TTuvYZFZyMYrhNMzQYtqGQzmQNrx3BrUQd+Wh/GSDcfZrXJoFvrnmQ7rOTq8h4f5ebyOkdO7j6MVc9uyMtIM86mEd7luvD45BpCN72Xm/nb/RjaPgcXm46E1RrJ40OzP3LPS3vJgEZGXKriRPDBFaTd9ealbisu/9KObQn2PA+Yg3PDqviVs8bbcz3RJ5bSfdgaWqwN4sSwcnQ0MiCtzSqOLunJ0xWDab3xBd7BFxF7/ULbiUfpO/swy4c1QVU6lxMeJ7Hq3hFFqUycG5two95YQg/MpoLSh86sOAMXM318lVvjfWwDsWdW0Nl5Ba1XB3J0UAZNKrXCeNMNlrRUxNbcBLv1t5ltmUjr9rYkV3Hh4tF5BO8ZheOca2y6cJf+5p/mN72Xm5k07++K25wObBjclmURRlz3O0b46u647Enj9evzuH2Qmyc3XXm0xw319t3QU5Zj30Jnpp96xzm/8xhGrEGn3WS6jdnH+mlWbBhhz9qHWiSHerPIoiabdJzw3z6ey9Pt+OVeG574zqdCmfemlfDkAk2N7Sg/2hvfX8vQsn4T7iSXZ+udKJpcsqbBxDSuP/Uj3fcgNGiNsY4qPpuHM3DTK84EBGAQuZ0a1rNYf2Ivqwb2oO6QLeyb1QfZnHg2dW3HhDgzgk6sxFC7LHd3DafVuMtcjr2LhWoes7u1YVu8IU/896H0O7kZszedlbNaMGLqIebtPcOo9kbc3jWFVr8cwi/oMgaqWQxs2ph3rRZxfnVHWtavxmPZZpw4sY961SqSGbqPKpbDGbk/nDXWKhx2P0Wr7h2RI5OBFg24ZTqex/tnUk7xk7h4r+xH75k+tHe0wsfrDgfuPsJW94/zOf5WbnLjGNOtJWezLHnksxMZchhsXY8T78zY1lOd3nM9uRgRRZMKclzYOoIOU8/j5rqcIb27Mf5IOCsdDcgKP4NW/Y6YzPTDd1pLfnspf+/YTMz7b+Tgw9d0rarAw2OzqNfPjbmuO5g30IFerrfZM8IM6dfXqW3WFrnuW7CNXsSR9Bb4n9iMnkwiywe3ZkpAGSKCLlEp9xrttNoiNe0E1xfaffbsy337hC6NjMno6IbXuoH8dksUTvRHuUlnpJUxnun1OHJ6B9VFMTi2bExcjSkEnhpP0OYJ2My9yNNH16hQtixZEbfwvpuIjZ0louyXWNWxwmLueTZ3UfhruWnYmnLtJzPCWpcz65ZxKVUHz0u+6Acvw2zgDrZ6etPGUIrx7a24UmMaj0+No6dFZfze1sD9lCdNqilyYGBbxodUwu+0OxXe3iUsoxqNVa9Qp/lwbJbsYnW/ttw5uYjOQ7ex9spj+kudxMh6DLW7LGPfsu7sn+zARF8VLl29gKXu55/XvpebBbQf7Mbmma1Z2q81rjGmBPp48HhtL/quv4vrlct01pFn8agObAwox51XvjyZoEvX9fV4kHCM2mVi6N+0FQGGIwnfM4n9vzZj8NbHTN1wnLGd65ETsg6DVotZ6xtEJ70czl1Koe+glp9CI85m99hOjNifzetIb0ZbGiFyXEy1e3PZEW7K06BttDHQxmjoAbZP68DeYS0Y4pGIR+B52lSEmYPtOfiwJo/Dj3BnthU2S4KZtt2HcR1NURUlYlFXn/rOm5G+s5ar+Vac8FhPHfUcxlrWwLu8C5fdJxB9YTsWA1fgGfaCMjt74rAsGFfvc7TVjKOPTQ/u63ThgURu1LM5MNWJftsjefr0Knqq32be3r/1Qy7Izb9F/uvy/c/KTfKLi/S2HU/njSf5ubUepF3DtMlCXL2O0FRXqUBuljjq8rbXKVb0lnzfncftA9PpufgNXn5bqKXx/gGYEfeUB8/fIiUKZ8WMDdQcuJJF/az+dORmcJAJR8Y2LRCScjo1qamVy0SbNkiNOsLounkscRmCcv9VLHdu8llUE16GcjfidcEw//tDCrUK1TEzrc6P/U7k6xrvf+nswnKT8vg0zZr1pOnkE2yZ9NdyYzzJm+0T2xD2B7lpQ/+NV1ng1JAbG/rTbIInfmFvaVEtGZcGTbhedyz3tjp/kJt1XN7ixN2zbkxZ5klqRjbxEaFE1XEi2ncbEVscCz5LuxUbQgO1HKa0tcJD3ppX3ss/hufdszOYG3Sh4da7eDj/Nh8ok1k2JuxO7kTExX4YazWmyuj9/I+9847rufv//729jMjeFbIqhNAgI1326sJlj8pOyN5ChIxsyR6Z2TtpKCGJkJVNktGu9/j93u9cLlx8P1y8eZfX63brj9638zrj8TznvM79jOcJnNWe1CfnqFXWlsqLL7OnVSxVqv7F6+IVMSqqizT1KdFxL/GLvE3ZsAm0mRnJsQc3aCibj8hOJvTgUqZ5H+Z1ahrPY6/yuO4Qnh6eT4l8OSNtqfgS1YvZUtzJj0BPR9KeX8CsZH2qeZ9n7wA1HCpZI/prPuNtdenXrQ8915xnttVbrJs4YOi0m83jWnMvcBENW81j3KEIXO3+2T/697a06ccuM8S6JAdHdcJxVwqnzx7k4fJu/4KbW+E+pFzczpS5G7n54CUpzx5wW6UihwNPUvvRCko1G4/flfv0qF6MHWO70XvHc1LiA/HraIn7I2PWzHIi3MuJja8cuR/mie67sxyStGdM+bMuy+7X4/TsmrTsf4IKFa+Rv+0GbPz74VtlEpfXDyPp8k7mLF7PpRvPSX/5iLjk4uw+E0Stl1sxbDqSKhX1uXm/IEdjL9LMSDbhksoS+/qMTKhDXOBqjAppcG61E41HhBD6/DJ18mf/H3BjT98FkWjpZGJQewghh+ZSQiuNNa4dcVkZRs0aVVBBwqM7sRSxcCFi7xiampal4J8b2OvVU75C/TjS9z3cLGlvQMgBH6Z6H+JtenqOrS2HkXDIi6J6/+yDkabfoKVFY45eT6BBL09CN4z57ITQ/w03zxnW3pbdL815cM4fdbLoZ1+Nc5otWdRaSusx2wm4/JiWxpqcWOFE+1nh7Nq6hJaNmtBlWSTbB9ch9fp+StbsSFe/m6zsZvx+q+TlPROx6LEMn7PPGFRHm+id46nrvIW1/rvoY29JoymHOD61JWpPQqlSpxnVRx3BKHQgvs9qE354K1XyvcSzrzXzr1Yi5lwAhdIv065qHRLbrefimp4fdZFXA6Zg+edC5py5x/AGnz8Y/y+4yYikXsXm6HReQtCiXvIJvvVDajDmVA1ConfzcPVA7Ked5m78dcoXVCftRRw7Ni5m+fZIJJIMbl25hvWkAHb0LUZ783+fuZGt3FSt3YQ0A3NqlNOnUPU6jBg4nEamRdg9riNdFwZTqWpl9NSlPLt/nXS9djy4s4W/LEuRZOrOsfXu6CLlVdha7Pt58FJFnwb2fZg6yYmkPcOwdTvB/gvROFQzIDU+jIo1GtNh1XnmVw6niv1oBm0+z/hWJoQudMLeM5oD5/YR4eXErsgXgCrdFwXwV8YGTNoswiv4Cs51Ddjt0pruJ1UJPrsOfxd71jwx5dXFLfJd47E73DDrvR//uJtoeZen3WJzribtoYre04/hxr0+7ocKcCr6OKbaIE6Jp3OHjpyPS6Z67WaMnjkF+xofOyWJDZhCzW4rWLX/KAv7tKDH4lPUuL2Q9l4RXI32oplxVyafvI6zJfRtYIO/ZkeeBS4gv5YqYWsGYD8+jEP3o8n0tKKNjyrhd8KoVVgV2ZmbOjWMSFEvwf0nbxm57gTzejYgOz2GWiUsuadbiqql9RFlvOZK7BNmBN8ha6YDMx9X5tbZ7VTUT2deh4ZMS6gj35ZmWFDC0bn9aDM9kqgnF6ih/80uCpTq0y7AjVKZ46sz81vCzduHF3HrN5DyTkuY8uffIJFI5xotaLNuP73rlUYiSqCFkRnd/SPoY1mai/t8GOq5j4V7jtOgdM5MRHZGKpkSDfLp5vwfMK8j409W5erxWah85ApaxHHvAQy615a4xR1zPJvInndnbvTGn2Zak6LcPDIHx0mXORKxg9IfUMvVvSuYsuYgWX8fHpBKqN7MCQ+3Dl886P3VNUAImCsU+Gjl5kEI1lb21By6jzVj7eX5l9zZSNka/eRnbibUTaORRX2K9t/O3jmdid4xDTuXNXi+X7lpQnefYOZ0tyBsaS9sRu/lROwLmhi/pp9ZA8JN3Yhe0zcHbv5YzsERBahftxtFnCbgZlWVPdPd2K3/B09OrSVulQxuLhP+LJbaBTMY09SG7Zp/8ODIvPe6ptw9TF2TthSdFMDZqa2QpCaRoqrBgg51WP+6LbcDh2Fdsio4ehG8ZjDJN49iUa0NNRZHEdDtOeZlW6Ddfhyj2uSAUVaKCNtOHbm/xYW2Hhc59uA6DbTg+aUN1G3gRMXBk3CqW56t7q4cqtiPJ4e8/oEbyT2sS5gjaj2L4HXDSL1zipqVWmDuHcHefgVwtLHilpoRKuIsatj3ZP6UIZR4GYpNEwfK9/Nn68R23D21kIZt5jPhcATDG/8bbqYcvsjwRqXZP7IjXXanExh8gAfLPoWb1tw6OYheJrW5VPsvvHs5cGXvcpacE7H/A7hZc/k+fUyLsm1MV/rufEHy3UD2utsxfl8i+fJpolfWHA/PedhVL/7BoF1MuO8orNyP0q1ROleLDGNIkXN47EtF/UUILRecxLtrYTrWtCKqdBPm9W9H3Im1eO5PZLsMbhK3YGQ/haUHd7KqX3t07CdwaMU4CmulsbiZJaMS6nLr7FoM9dWIWOOC9fD97L1/h9aF0hjdtinbUsy4fWbTv1Zuhm1KYblnG5z7zmfg2gNM71GH3RP/oseyS6xe6oGOuioqEhFaharQyroUNqZlKdxlA7vmfQI32+OZVOE4da0HYjJ0Mv0tyrJ59HAOmwwg4eDHcBMfspI//ppJllTCS81qnI89ReXPOOJKOT6G0u28mHHkFq6NK8rrWcbLBB6nZFGmVGFWDmrNpBA1nsacIJ80kRbmhqg0XsTCdilYdpjKgpO3cLYqzJqhNkw6WZzIoLm0KWmChttOIuZ35s7h2Zi1X8LqmOv0rKTH4/sP0S5ahpSY7dSzG0rvrVfx6lSevVNb02t1MmFXNzG8eHludV3GrfWDeXXeFwt7d4bvvURJ/74MDtQg8FQAtfM/ZkCz6pwvPpcLh0cgfXaGpqWaozppP+dm/vFP3yZ5y1xHG2ZdKEPs9X2U0f28/8N/wY34Dg6VLXlhOZZzW91Rz05llJ0h25M7cvHScmKXDqTF9NPcf3yTMrpq7JvZHcfFZxnjOYvquq+Y4jyWymN2s6NP0S/CjezMjfnUcPaNtHx/ngOyOTGnJ61nhzHRYxqViunIv6lS9TI4drakY90yvDYdy5H1o9FDQlJiElkprzh7zI8Zk+ZTpvdylljfpqajL8vOXKCvVXkent9IdWsXRgVEM8bgNCYtRuO84RyT2lYleP4AWnjFcDD0GAUfhxP3JFk+iVjDri1FrnhTpe0SPM9EMah+UfydW9HrlDrBQVs47d4Sj4iC3L15hKIaKuyZ1oE/F9zj9KOLpE43os0ifSKehFFDN57u1vZcNHXlpmzlxr0+Yw4X4tTlI9TQlpKd/po0sYSwEyfxneXEOVEToi/so8gH44CXt0/TsGZLCnXpzP1jl9gQGInJ4w0YNx1PnyFWbPLL5EL8IUwLJTPOriGLn1oQf3kzxXXVWD+qJcO3vOHcwyAez7Ci7TItwm+foWZhNTncyBwKVOu3miI3VrLzZgkCjvhTp+gLmpSswcO6vZjTzwapVAXVzEyqt+7CSScbRl3MR0TEIWoZpDOxVUOWpFq9g5tMto3rSq91j7h3J5QywsqN0o4xhEs8f55pFH6Jp/jtY/o1qcutql0Z/2cj+X5hqb4hbWzN8J/UCa/LxXHr40ByhB9LIkpz7NAiss6vo1W3SXSe7UP9YlpIUMGkthV6j08zxvMwLTu2QjsriY1LPSne3Yd1Y1v9a+Xm2IJ+uNxrx52lnT6Cm9HNG6E78SwzmhZF/Oo6XVu2pvbsCMbbFfl5qgspKb0CHzkUSI6juVVD1Ow8OLKwJwcW+BB8wR+fg/dZeOwSLrVU6N3UAv+XJozuacmRTbuIe5PFrP23GVT6EhXN7OjmE8LcHnUIXdwD2zEBHI99QVPjV/Q2bUBkjRFE+/aja4VSxP/hw/EJpWna0JHCbftjXzGLxQt8eV6xO48DfYlb2ZHmky5y7tlNLApmMrqJFf7qDjw4vuC9ppKsF8x2tGZucBJu7iNJCtuLyaiNvPFqx5rnLYkP92RKh5osPP+Wfi7OPAzcS/C1a1hOu8ChIWUY1aYxO65r4jzAEa20VPYcv82GAF+e+Q+g7exLHHuYs3Lz8toebK16Ub6zE/VLJ7PAy4+3tYfx5OgCSr5buZHt7ZzawYwF4Un0dnbmWdA+gmJiqD81kp1/3KSK2TBsR4ykTkkddHW0sP3jL4zFF7Gxa0G5fjvZMbk9d07Op2Hr+Yw/EsmID1duTs/FpJUnU45EMaJxaQJc29FlTzqBIYe579OVAZvf8vTJKVY4lGd6QkvuBo1meN06RFZwwKmxCf7rlxKdYsLhwFPUfrSM0s0nsDrqPn3NirHVvQt9/RPIuHOMnrWrEFOiCb1a1UZLBcqZ2uNgWwXND7xjpcSfokJFe16K1Zm8I4w+Rc5Ro9kwMtR0OR33nMZlXtHTxoYQbTOcm1uwd8sCLjwtx56zwdRK3ISR/WRW3HhJg7BRNB6wjE5zjrJ8hC0HXe3o4pfI4OE96NzPhXIvAjBrNhSTDu7YaMewac8pVKu3486ZLR/BzfYJzRi85S1R90LZ9md9PM4mszYgEIuMA1i3dadOhwHYVCvO03OnSK7rxuphZtSvXo7CXdezZ34v8n20cnOXaVUisGnUF+POTtQr9ZqFXht4U9eV54fnU+zvlRtREj0aVuVisV5scjWlVWtnarpu44BnezTfTRRlv3nIstWbSbp2hHlbgmnaayStrO3o29ee4LFdae17h8AL4RSM8aFJ19lYdXXGmDD8/J8w51ggfxkm4diwOXcKNaBn69KsX+1PbecV7JjcEl+Xxrj5v2aQazdijqwnTqsJl86sRz85mMqG9tSddRTfHmUZ2LwRx18b49KrDjt9N1C89UxOLu3LwSkOdJkbx4CRA3gStpVzydU4G7QPrdgVNGkzHuNmPaihf5+V/leZeiic0Q1LknjBj8r1BmK3LIzdgyzet8H0+DM0atSe8gO3sG1cq/fb4j7t+AK9e9FiZJj8zE2Xd2du1rg1w3XTTRz7DsZI7TYLVgXQY+k+lvew4uL2aVj3XkjP0WNo3aEXOmFzcZx7iD79nVB7coIVG4JpNHE/O/oWpZ1ZY1QG7+PknBbvzxzJVm4qmdthOuEMB8Y1+ujwecKVbVg1c6a8dTea1TPi5aVzXCnZlyOLWtK2VmnemI/h6AZ39CSpePTpzO0Ctaiqn8yG9ZuwdN3Omj7Fsahtx8vSTRjczoKIE5sISyhBSNBxytz2pUqLUThtiGBKu6qcndcXh3lXOXAuiKaVPvbS9uTYTEzaLMEzKJohDYqyo78DvU5rEnx2D9qX5tGouxdVO4+mTaVs1vuupbCDG8HLxvLkwChMHRfTtN8Y9J+eZ19gKAVaTCNu2zi2jqyD+xEDAq8co4a2mPgT03Fa9pwm9SsQ5L+Mx4W7c/7k3I88l0nePmCQfSVWR2RRssYAzketoUhiBHUrNOCqzMlJ1wXc3eAmP08WuW0YTQesxabHGKxLvsF3/VbKO07l1Fxnjk62pK2PDhF3z1LLQI3spHhqmhhiPGgna3vo0bFpV96Y9ydo52x2DG3GxL0J9BnUk6JqmZw7eoo5x4JQPzyOhs4+1Ow8gLoFE1i35QhpFR25cnw9RvleMrtPCzzOFeDRleMU1s3d+0uElRulHx59NoO/3cpNyqMwXAZP5XmaBMm7O2cwdCRghQv5ecOOZbNYdeAKBY1assFnCAW0NTizdgqzdpyTn5WRnaWRLVe3HbGQEW2rcvmkHxMXbydDU58eI6bT2ybnXo6Pz9yIubhnIYufNmD9YOt/vDdJXrNmvDta3ebTq2ZBuYGC181gZ0J1lozrlDtrlJBrhSjwsSvot4xysGaPtCk3Dk5lacduHE3PxtZtIRNamcm3Kma+iWBIvykkaFVg9OihHFk2m3qj/WhjcIfeLu40GeZN/yaVuLZvLiNXhzLXdxc1S6Yw39mVG0YdWeXWgtm9uvC8zmAWubfiZtgOXKesQUPPipEtklh0swKb5o7k8aEZjFl3myX+vlTSy2aNuxtnNOqwZbbzRzpI017iNX4qx6/doKS5C4tmtePgdBeOp1iyZelA4AWLxgzlSGwW3Ud5onbMlVjLZXh0MEYl9Smb581gc+gtRKVLMX6yF00qFufKPk+mbLmF51Zfqr6biL540o9xnlvIZ2DHKLs7zI6rx+ZZzhTW+dBlTwJLx7tyMCadbiPnoX1sGFctfZhQ/zEdm7flcYHaFNdV5fGF8zyq5Mhl/2EsmTaJ4g6TmPBXQ55e3sWISbvoOmspHcz/2d7z5rI//SZvp+es5bQ3K8K5ldPxCM5kvrcHCftnseBEBju2e3JoYnc2vq7H+iWuSJ9fwsl5HG8zS+LauyE7T15n+Oy5VHxxgK5jfRm5cgv2hvoErvFg/tk37Fs/B79hZkw/poWJYTGyk54Rfu0+ywLv4dzwnwkRGVAud+lJwBt9vJYuxzT/K0b2GkZcdhN27B5JAW1VEh9cZKTbJJ6nFcZ1QHu27TrBoDkLqPjmND3H+TF89U5alVXjwIzBLLqlwzqf+ZTVu8/Y7uOISlXHfckCWhgZcO3QTEb9/4Pzpm2H0aHkbXzCsvCbP/6jgWqQ31iWnExn6ZYllEq7yXjnMTyt2pX1E7vyMno/08Yu47pYQtU2PZk2tBf66S9xc/4LvcZjmOrUDNkm4McX11GmnguDt95kWRcjIk/4Mn7uNvIXbcoIm5vMvduArR5O6Gu/85N1fTeO7r70m7eG1kZarJw+kL23DNi6wQcDvZwKk/H8Gn1dXHmRkuPkRdZvl6zciuU+Luwf2RSXY0W5ELqXKoVViTu5i8Geq0ClEmOWTsS+Shl5HOmJNxk4YCyPU1Ro1H0Qk/rav1tFy8Zn3Hj2XYimuEkrvJe6UkxVBXH8FiqYD6b/hlCmta9BVsojRg5w50ZiCrVb9cXDreO7e3KkbJ09Hb/TIRQoY4fXstEY6eUsO8Wd2cfYuatJUy3FgKljcaxXSf77Rb+h1Bt4iB1xN+hc/p8lqoht03AYsoEVIdfoWk3mcezzT/QeL8Zvvce4Vd7YGrx7X/SWIytmszrgAqn6+vQfM4/O9YzkjhukogR8R0xl+41bdPNaQb9a5diwYCKbj1yletMpmDyZz+M6Y5n4R0GmuYxGpe00PPv+43I9/dVt+jkNw7DzXKZ3Mftg5SYnf69jj+IxxYfLbzMp37wD89wHYyDJZMrQ7qQYdmG2u6O8bmQ/D8bJfRaPnqhTo+lw5o+3l/eDGfdDmTPOi9AXKRS3acG8ie7yXREZNw7Sb/wqWo1ZSvcGZYnZuZDx/vF4LPKiZumP9Xl5YSv9p+yl/4KVtKmqT5D3ROZFqbFwwVRMiqpy+9R6Zs7ZzmN1Nax7uuLevWWOox+piP1LnVi2/yF2/adjmXaA5Y9qs23ynwSuHsbq8/nxWjmbCrKNH+IUPGb04kzoWwqVa8t8n2GU//uyo/emyuDEyql47b6EseNkVjjbgiiD3bMdWRmcSSu3RQxrWS3HoYYki5hDK5jjc5AETS2a9x2FW0c7NCUiLmx0Zcp+TZauX4BxAVVEyc8ZMqAnJVpNZkIvG56cXMlQ7xN0mLqaAfXycXjJFNbuv0iKgQE9h06nh41sCylEHZjJpKVBGDftjatFEm4B2az2HE3RjJv0bVGby0UnEnl4gnwCJjc/AtzkTuv9dnDzs8z0Mdz8rFSFdPKqAp/ecxOx1plG7mfZfS2WVqVyua9NJTFa2KI2WI+8xNJTp2hbQY3pbZuyMcmUyEh/zEsph19C0et7GBlVxLTXcpa5t+bqnuW0d/Nm0u6LTGv3oYc6JRH1B2UjO+MtF/xnYdXPG6+gR4yyyrlAU1HP2wchmFayY2b4PXrWKvPjHLdIs5nvYM6xSkPZuXgg+p9xPfyfyyRNZlxbG7a+qcW1QD/+uXbbEb1WAAAgAElEQVQmG4+O1Vl1sz4xVzein8sHm/9ZH+HFn6LAvbC1WNiPZcium8x0yP07UAS4+SnV5ocnIsDND5c0J0IBbhQk7G8a7adwk/b4Ao72rSg6MID1w+r/pqr82GKnPr6Cx/iprNh7kmyJKiVMW7Jg8WxaWxoqj+MOcSZ7Vs5kkud67ie9QqtANfqOncjUoW0poJ53IfdG0DJs20ym7J/jOOwziuLair3lOD0hjlOxqdjb1ELzByYllYgIO3OcMjWbUP6dU5ofVYvTn0bSukl7qrj5s8zZ6oNo04kKDOFt4Uo0Mv/wctkflbIQj6DAPwrsmdyFkSdVuRCyjSI/sO38Ko0FuPlVyn9fukoHN5L3e8W+r2DK8HZCQgLFiil2hlEZyinkQfEKyOAmPT2dggVzti/KppKzM9KRqGqhpYS33CteEcWkIJWIyciU3ZwCquqaaMlGth+4YFdMqt8Wq4qKlIz0zBzviSrqaOtoyg9b5+Xnb7uoaemgmXcZ7vtMKJWQmZGFmpY2eZhzv08j4W2FKyDOyiQbNbQ/ueRY4QkrKIHXr1+jr6+voNh/bbRJSUkULvzPdQa/Njc/NnVlc5ag8uLFizzzlc7IyEBb+2Of+T/WfEJsv4sCsvNeIpEITc3cfWfA72IvZS6nDJTzaj2StRE1NTX5+Zm8+GRmZqKl9Rl3b3mgsNnZ2airq+dJ24nFYnm5VFXzHpnLdqnIvk+ydpcXn7zcX+bl/kTZyqZwb2k/q/EJ29J+ltK/Rzr/Wrn5PYotlFIBCrx48UI+W5cXByNv376VTyjlVXh7/vy5fDdAXoQ32UxrgQIF0ND4vJtqBTSFnxZlamqqvL3lxclOGZTKJnLz5//48vGfJq6CE8rLKzfKtrrxI00pK5vsO6csfaUANz/SukJceUaBT8/c5JmCCQX56QoIcPPTJf9hCQpw88Ok/KkRyeBGtmqjo5O7L7T8nGgyuJFtmZaBaV58hDM3udOqSnfmRprjaznXP8LKTa43oVIVQIAbpTJHrs6MADe513wC3ORO2wlwkzvtJsu1ADe503YC3CjIbgLcKEjY3zTab4IbUSohQZGYNral4I90NfuLtH8UtIqBfnFs9V1Agby5rfunKivAzU+V+4cmJsDND5Xzp0UmwM1Pk/qHJyTAzQ+X9KdEKMCNgmQW4EZBwv6m0X4EN+IMLoQcZbHPdpLSMmnQyYmRPR3Q1VDl4a0YHmams67vNAbsmIf4hRb1LCsh28UuyU4h4sBclgQY4LN+BAbvzly/jr+I17iZxLzJpGKtFowaO5DSBbURpyWyc9Zk/KPuo6VflmFTp9PQpITsxjmidvqwcMNxkqXqtO47iR4d66CtqsKL60EsnubNlRQRxmZ/MGbiAErm0yIz+Qm7Zk9i25Xn5MtXBrcZM6lrUgxEmcTsW84cvxOkqWjRqb87XTs05J8j0xLWjmjHCYMh7JjsILf+k1uBzPdcR6NBnrSrU1r+mzQ7mcOLpuMXGItUxwDn8R40r1P+/U3o4rfxLHAdxbmSf7Bp+gDyacCbB1GsmOxBaGImJSs0YPyMkRga6CBKf8XRxVNZFXwHTa1CDJ4wk8Z1DFGViLgTtAmPBTt5KVXH3nEw/Xs5oKsKbx9G4T1pFhcS0qhQvRFjJ7tSpqByOhMR4EaRnYiUl49vEbh3N+uPhtLKfTWDGpX6TIKZhAf44+W7C5lvPsuOIxnRzRpdlXRigg/gs2Y/T1NSKGHagjFufalcLOeeJQFuFGk7xcUtwI3itFV0zALcKFphxcQvwI1idBXuuVGQrr9rtB/BzbNIHMfNo0nLfpRUuc7QnuMYeySOIXYVuBeyB2/P1YRfeUuxWmVp/OcAhnRvjsbbxywd4cSqeyB6XJ6QmysopQKitw/oXKcSBfp441SnIuuXTyK+/GBOLvyLXeObMCGmBotGdubBuT1MWX+PR3eP8CZiOfW6r2fk3ElUzXpB/2FuzDpxm+7lXtHtj1ZIW7vj1qACKxa6kGC1jMMTmrFhXDumRxuzdsKf3A7yY9YJVc4eXgPnV2Dx51pm+82mQnI8I2f4MGJ7CM61ctxTSjMf4egwANcte7EppUXMLm/6+uwn/dpzhmw9yODmFUEqIWRZd/7cImHp9P5kxIYwzDOAqLiLlC8gu6dcSrDvBMb6HCKmcAseHvaiYPZjXDs05Up1J2a3q8VO3zEEFRhIuE8/Apf2pudGMWu9nEi5cohxfjfYc3IP5R8ewMzaFTe/pViopTBh2gwcvAOZ0kiXLhbGqLabwhDb6vivm05E/v6Er+6HuhI67RLgRoG9SPJdnDt35ZF2AY7sP4Xbztss7Gz8rwQfBvtg22oyVToPwypfPLOWbWP41kjG1U5hYJ9JVO/QisTL/izbegHroSs46j0QHTUBbhRoOYVGLcCNQuVVaOQC3ChUXoVFLsCNgqQVVm4UJOxvGu2XtqVJRSnMb1aEi52D2DTEkqcRh1k4y5vTFxIpYWFC2/6D6d/BlvT7EWw/koJL86eY/nGWkzdWU0oVHl7aQC377Vx7dFB+MWLipZ207LqKQ5d20LFEZUZeuEaHKiWQpD3FzdKUhmHPed23DufrzmT12NaoycBhph3zMtxYUO8GXedd53joemT3Uqfd2U8Dh+3sujiRUaadcAm9QqsyMlfWWfQwN6PF6pOkL+3MKQsvtrrZINtx5j+qDdtUerF3vqPc0g92DaHN7mKEbppKPpVU1k1cSvtJo5jQ1ILqM/cwzL6ifEWqZ3lDrHecY5BNRRCn4NWiImKPS4ytX4rsl2F0cpjLqMkNaTr3OS9PLyTt8kba9t7OztjDGKqC+PVlrExHsfz6epbXs6PulghcahnI8+BuV50iI3ZTLWIsHq+7Ery8G7JSnF3izMRgU/Z7l6OGxWpCbgdgmF+dVzdOYW07hqNPIimrhBeOfB5uJDyNucpTkVh2hZL8kaBGhWpVMdDKPd6rlMVbWmLUZorW7smInbfx/gzceLs0wSNKn/DAPRiqJNHHrCSXyo4k6PQcir4zgOT1VSqVN+duNScSTi6nqJ6qsHKTS/t/AW5yqeGEMze51nAC3CjIdALcKEjY3zTaL8GNKO0R7YtVpdXJawysX46n92+TSAZLOrnhEuCLZpIKNUzLysFB9iTFbsS6fcg7uJESs3s8DTaW5eWewWipqSB+GEqz9gOZt2sH9nUHEHLtNNWLa0P2W5YOqMWj7pEkT7WmwqS9jGllIo/zecBIGvuXYVHdOKZeMSN83WD579KXV6jZpCfeyzwYNng1gRH7KaaTM3Kb0L4qql3XkLFuGMWmnGSMdQ5IhK9xYXBgcS5tnQGImGxfh8y/VjG3j+X7QbcMjgbUrYP5rBy4EWXEUb18R9aeC8XGqKBs/x0HJlixscI6trlUZ4N7Z65UdGVkjXCMxj6Tw83DAxPp7KfCjUMeOfGmPaOpTQOGLF7PgoETWXnmDKZFZKs+sNylARdrTMYsYjqX2/rj92d5+e+3Ds6i3ZI4Do6tiIVPQR75D0NPQ4XsZ1ews7VnTtgjbN7FoUzV9vNwk8KcXn049iDxfValaDB06QYcTT+3rUqZSvRPXpQGbiI3ULReny/CzYzeDZkXocWpM6epU/AVfRuUJDT/AM4GLqO0vNpJeRG1iEp1R1FryAoOe7ugoyqs3ChnrfvfuRLg5n9rpKwhhJUbZbXM/50vAW4UZDcBbhQk7G8a7efhJpPTPqPouSKbqMhlFNPNGYwjTufi+Rgq16tD/k8cCnwKN1f8x9BghzFJ/i5yuJE8Dqdp+wF4bttO84YDCY85STU53CSz3MWCO53DSZ5pRaXJAbi3rCxPLvHgWBpuLcLiOreYHlub8LUDc/KRdA3zJl1YsGgWQ0f4EnouAIN3cDOpYzUknVeQ6TecktPOMNqqkPyV8+sG4Xy8MJe3z0KaFk99y0EsO7WHOsU+dKH6KdzcwKS8IxvDQ7EyLCCHm8OTbVlbei0bGl2j/cwwNvgtQBy5AKMJCSSdmk/8/nE4btQk7oAMooD05zSzsWTgfD8WDJ/M2tNnqP4OTFYOsiLCZBymkTO51nEXvp3KyV+5c9iTVguvcsi9IhZri/Jk62B0NVQQPY/BzrY5HsGPaFTsnU2UqN4K29IUb4zE/wE313ZPobWTN9rGtShbQMzlyEgK1nQhKHAppdQg42Usf9Wrz4HXhdgdeIG2ZkXlmRbO3CjedopIQYAbRaj6c+IU4Obn6PyjUxHg5kcr+i4+AW4UJOxvGu2/4UZC9MGl9HXfw5rQ01gU/jo3Yh/DDdw4NgtLD3gWOAEddRXSbh2nRadxrDyxmz9MOrL/WjA1S+dDmvmKOY7VUZ16kzcjGqI9fDNTHc3l1ri1vid/hdrgXfcGo06VIHzHGPlqiOhpOBbN3Vm1YzrD289he/RRjHRl+ZQyomklSrrtJH2ZE1LXfUx3KCOP69TCnky9VouQtSO4vnMQLmE2nFjYA62PLvb+BG4yH2JVtikeZ8/RvIoBSDLZ7GJGSPMD5FvTntuGvfizcVmSoo4yfP9r/OZNoqZaEN0XPCUq0FvubEGacp/Gli2Z4L+BRR2HMDkoiIYlZA4BpMzrVpsnzRZT49xkTlguZ7tTdXn5rmwfT69NGRycXoGao5K5c3ICBTVUSXsQQWMbR1ZevUft/F9nl59ZrT8PN+n4L/DmYsKbf7KiokFbFzesDHNW1XLDk1tWbmSrklcP+nM89hF6ekUI3TCSuMqeBG4eiOqbu0xu35r5F5JYtPssQ+0rv3eMIcBNbqiF/86jADe5026yXAtwkzttJ8CNguwmwI2ChP1No/0IbqRSrp9cx+CJKxi//TxNy0vlt/DKLon7vx6JWMybuK1YtQvhxPXllFRV5dWtY9SwmE5w/GkM9TU4t3Ec/Va+5nLQAgZUqYD1xkhcrAx5Ex9EY3Mn/N7cIWGyPSvE3fH36IG6+CWTmtXlVY/teNS8Qeuh+9kQuJPKOhKidwzBcWkRIs4MZqytAxarz+BsakBW4gks60zF69QRsjb0xiujB8c8O6MpSmRUhxaktljCqqGmDK1dGdPl4QyyMXpfLKlEgkQqxqWBBTVn7mZwc2NUpNlMsjFCdfR+prarSdbLGBwqtsT1Ugzx68YSHvca2eVZaQk3ORqbSadeA5nfvzq9HT2YE3KSegXVeBwyB6u+dwi5uRjf1taIR+xhur0xkuRL2Fv2o++6I1S5PI1ex6pyfpcr+UhjwYCWnDFwY9fEMlSr7Mbe2GOYFdUmOsCDluNucuP6VvTVlM+jwOfhJpuQDRuJSk5/v/1PrKJF567dKG2QL9e0ul8ON1IpIpGIxOhtlKzbG7ed15nbriLqGuqk3L/Jqagb2LRoTX5RGmmoo6ulwoNL66ltM5oxAZeZ0LQYq907MNQvloGrT7Cwk2x1VAV1DQ1UVYSVm1xTET/JqAA3udVyAtzkVssJcKMgywlwoyBhf9NoP4Sb9PizWDe0J9OsE5alNBCLJahXtGfp+L/Q+cIB9ozEOyx2ncrlV88ICEygeZe62HcbzpDmFZjVqD5zX5WhY6VMzkS8wH3dPoY4VCJq0zhaj9mDuVVdXkafRN96Lsf8+pGdHELTap1IqNIM84xQgh9bEBa9jQr50pja4Q9W3NGlQxURe87EM/94CL1rlSHE1502E3fQtLk9N4P2YdZnOeumdyH1XiBN6nVC1MAR44Rj3FJpyqGQtRR7EoqRtTNnL8dg8n5VKpvz82ex4vpDzu4KQLe+HQ3r2jLXYyivQ3xo1nEupa3sUI07TFLJkUQen4CmbET47rkf5Inx2OckBnmjr5nG8kGdmHwqiQ51inDoZCQjNp1mrEMNrh9fQJMeXpg1bcfbi3vRbzQR/1WuqL64Qusajbhv3p66WaGce1GFgOh91NTIxqtZPWY91aeNiQbB5+7juvEwbvaVPjgnpDwVV9iWpkBbvLjCn22ac/DyazKyslHV0KZoyXYE3d5G8hZX6jj7cvjKE8pEzafVoIUkZYNIrEr1tp6c2DAI0e19NDLrxE0VVQrm0yFbLEVFzZgdF4NpWbGAsC1NgaZTZNQC3ChSXcXGLazcKFZfRcUuwI2ClBXgRkHC/qbRfgg3orREoi/fIE0sQSpbkpDN7eYrQ/2ahmh8MJj/UCpRxhuunI8mBdkKD0gkYFDKhOoViyHJTCH6SgzJ6SqUMKpIpdJFUJExgUTEwzvXuPf0LTr6ZahZo8K7+KUkJzwgJu4BErWC1KhVFX3tHI9aovTXXLt2nddpKpSuZIJxiULyuKTiLB7dieXes7foFCqHebVyaMrOA0mlpL2MJ+r6Q6TqhahmVpnCempc2OjKuPguHJ1iyz+nViQ8iYnizqtU5IWQSlDT0Kd2fTO0pRKe3b9B3INENPVKUqumMVqfnDfKfPOIC/ezsKxhhIwBJZnJ3LgeS+JbEQblKlG1fDH57Lis3M/v3yTuYSIa+UpjbmaIjnrOdrrMN0+4ePUuYvJTuUZlihfUlZdbmpXK1asxvEqBYuWNMSlfVCnBRpZXAW4U2IlkpxJ7NZqkVIl8NVX2HVDTMKBm3Uocmtic3qv0uf1oJ8XVk7kae523KaCtXxrTKuXQUlchO+0lMVE3SJdK5auNOY82VS1qYaCjJsCNAk2nyKgFuFGkuoqNW4AbxeqrqNgFuFGQsgLcKEjY3zTaL3lLy4tyZL25Sx/z+nQNjqdt2Rx4EJ4fp4AANz9Oy6+N6c3tIzRqPIK5QRewN87/n8FXOHPztYorVzgBbpTLHt+SGwFuvkUt5QkrwI2CbCHAjYKE/U2j/Z3gRirJIuFxEgZliqMuX0ISnh+pgAA3P1LNr4tLnJHM0zfplCle7Ote+EIoAW6+S75f9rIAN79M+u9OWICb75bwl0SgdHCTkZHxz2r8L5HkxyWalJRE4cI5N60Lj6DA9yiQnZ1NZmYm+fLlnsPd31Ne4V3FKfD69WsKFCjwPx1QKC4HiotZNojU0tJCXV35XHD/iFLLvimFCsm2euY96H/z5g16enp50nbp6emoqamhqSm7/jdvPTIHGrLJN13dvLnKnpycTP78+fOW0d6VRuaARfYtyIuPrD8pWLCg0hRNJTk5OU/AjWzlRtYo8mrFUZoa85tkJK9/QH6kGTMyMuSDiP/lPe5Hppmb4pL1S7JBZF7URzaI1NDQyJMDZFkdkw1GZAOtvAg3KSkp6OjoyCEgrz2yiSmZzfIi3IjFYjncyGyXF5+0tLQ8C26yNpdXJ0xlZZN955Slr1SRyqggDzzCtrQ8YEQlKsLvtC3te2WXdWqyWcS8OHj/Xm1k7wvb0n6Eir8mDmFb2q/R/XtTFbalfa+Cv+59YVvar9P+e1JWum1pAtx8jzmFd/OqAgLcfL1l8/IM8Ner8OWQAtz8CBV/TRwC3Pwa3b83VQFuvlfBX/e+ADe/TvvvSVmAm+9R7/94V1i5UZCwv2m0Atx8veEFuPm/tRLg5uvrkrKFFOBG2SzydfkR4ObrdFLGUALcKKNV/neeBLj53xr9pxAC3Pwn2YSXvqCAADdfXzUEuBHgJi+ebZBZVYCbr+8HlCmkADfKZI1vy4sAN9+ml7KEFuBGQZYQ4EZBwv6m0Qpw8/WGF+BGgBsBbr6+vShLyJcvX8od8MgcQuS1R4Cb3GtRAW5yp+0EuFGQ3QS4UZCwv2m0Atx8veEFuBHgRoCbr28vyhJSgBtlscS35UN2TYHMS2Fe9QwrwM231QdlCS3AjYIsIcCNgoT9TaMV4ObrDS/AjQA3Atx8fXtRlpAC3CiLJb4tHwLcfJteyhRa1uYMDAyUKUs/LC8C3PwwKT+OSIAbBQn7m0YrwM3XG16AGwFuBLj5+vaiLCEFuFEWS3xbPgS4+Ta9lCm0ADc/zxrCPTc/T2shpVykgAA3X28sAW4EuBHg5uvbi7KEFOBGWSzxbfkQ4Obb9FKm0ALc/DxrCHDz87QWUspFCghw8/XGEuBGgBsBbr6+vShLSAFulMUS35YPAW6+TS9lCi3Azc+zhgA3P09rIaVcpIAAN19vLAFuBLgR4Obr24uyhBTgRlks8W35EODm2/RSptAC3Pw8awhw8/O0FlLKRQoIcPP1xhLgRoAbAW6+vr0oS0gBbpTFEt+WDwFuvk0vZQotwM3Ps4YANz9PayGlXKSAADdfbywBbgS4EeDm69uLsoQU4EZZLPFt+RDg5tv0UqbQAtz8PGsIcPPztBZSykUKCHDz9cYS4EaAGwFuvr69KEtIAW6UxRLflg8Bbr5NL2UKLcDNz7OGADc/T2shpVykgAA3X28sGdzo6uqiqqr69S/9RiFfvHhB4cKFUVNTy3Olfvv2Ldra2ghwk/tMK8BN7rOZLMcyuMnIyCB//vy5swD/I9fCJZ6506xKd8/Nq1evpLlTyo9zLbvnJi0tDT09vbxQHKEMv1gBkUiE7E82cBOe/1uBzMxMNDQ0BLj5gkypqano6OjkSX1kgyx1dXX5X158kpOTyZcvHyoqKnmueLLvpZaWVp6EbtnklMxmsn4prz1isVgOOHn125Seni7vL/PiI2tzsonAvPjIyiazm7L0lSpisTjPwI1shrRYsWJ5sd4IZfrJCsg+jrKBW4ECBX5yykJyggKCAoICggKCAr+nAm/evKFgwYJ5svB5eVUqKSmJQoUKKQ/cSGVLHnngkRUjISGB4sWL54HSCEX41QoI29J+tQWE9AUFBAUEBQQFfjcF8jIACGdufl5tFs7c/DythZRykQIC3OQiYwlZFRQQFBAUEBTIEwoIcJM7zah0Z26ElZvcWZGEXCtWgX/DjZSMtBQkajroainifIGUjJRUJOpa6Gp/eZ+4OCud9CzQ05Ptbf1BGkglpKekgpYeOpoKdgrwPi1ddDS/74C9VJxFano22jq6qKt9WYys9FSypGro6WrzoyT7QcrLo5GIs0lNy0RbLx8aP0h+UWY6GSIpunq6/KAof2SR80RcUomItLQM1HX00Po/6t/r22FsO3gduz+7UKVUvp9SdqlETHpaOioaOuhofV87+ykZ/iCRr23XPztfPyw9qQTZOTxVTR10NP/bt0SUnkaGVBVdHW1EmWny/i2fjtYPy+KvjEiAm1+p/n9P+7eEm8yMN1yNvk5aFpStXI0Kxd+dY5BKSIq/wfWHiahr5sO0tjm6mmpIZb8/f8S1uHhU1QthWrsqBbVlnYCU9NRkrkTFkClRw7BqNcoULSAfsHy8LU3K6ye3uXrnGZJ3u+7yFymPabVSPLoaw8OkFGR78TQKF8XUxIR8P2pE8d/rhfCmkinwKdykP42iY2Nb8vc/hP8YW6QZL7gQFUexyrUob/D9BwRFaa/paVKWeHtvzvoO4Et4E7zIEYfJz7jy6BTGBTW/QTUJD2KjeCYqTG0zQz78pKY9jqGlUT0KLoxg7xAzhQ6G05/F4lC+NoW8Qtk73OK7YCPxzHxqtFvFwgPB/GVb4iMtEuOvcytBgnndqqxoY4xHwh9cD/WhhBK29QdnllO55RSWRj3ByeRjm8oGqRKpCmpq34YoOyc7MHRrCufuhGD0DbXkw6CilFdciL5OOTMLSuX/cQMnGRQkxN/jztMEylevTWn9zx8ezkp+yfXo6yQDRiZmlHzX10tEGTyIvsyjdBGFi5ajcqWyqKvKvwK8unudm0+SUNPOTzUzU/Q+A+tSSRZPYqKJT86kQKGSVKlihIYcTqSkPLpFbHwCUg1dqpiZUVAnp6VkpyZyM+Ymb8QqlDWsTtlSBUl/HEbThq2pNeUwy/vX/7zK0my2jPkDpwAIOnuMuiVk3zcxD6+E8yA5Z0e47ADu37vDy1SpRYUiX3aKI/s2SiTS/+kEIPnBeTpZNEN14G4Oz2z+T5vOTuVCVDQZWRJ52uraRahczZjCuspz8P7pidnU6LCRVadC6GxZ5D/W3u977eXDWOKeplO1lgX6MmnEGcTGRPNGRZ/6ZiY5E0vZr7h48Tr6hqYYF/96z2XZr+5Tz7QSRk7b2Dy1E998dF6Sjl8ne0a8NOHygbWEz2zLiDN6xJ3fRsFv6ya+TyQFvS3AjYKEVXC0vx/cvLlDM4dWJGhXp7A0lou3VTl7IYpaJTS5ccibDk7zqGBtQ1JkGGoNBnNg0wQSDntgN8Qf82bVuLT7CFotxnFt8zi0X0TRom1nkgzqo5ccybWkcuzcv5cWJgU+gRsRxxf2o8P6WLpYmCKWSChn3Zmx/eoxrbkVR/LVwKq4FscCz2JQfyjnN0/8aLCn4DogRJ8LFPgUbiL9BmI74jQ7rt2gbRlVRHc3U6FaH3puucKcTtW+u0TZaa/pblyS+BaLCV3v/EW4ObuwI80mRhH+7Dq1C36LJ7dn9K9Zh31vjYm8G/TRgDf5cTC1yjWhyuIL7B9qrlC4SXkWjlkpa6ovPMf+EXW/C25eBHpRtfUcJh++hGujCh/YIIMlfRxw33OHoy/uc6lDBaY9a8mtiOXKCTeBPhi2mMSKKwk4V/kQbtLw696eGS9NCdoxl3IFv36Wd8ek5gzelML5++cw/o+18/7hORi2mULrRWfZP6zBf4zl49ekqQlM6GvP+lN3ef4qBc8j1xnTwuRfcackRdKtmT3Hr2agoZqNqm5N/M+fwsEIloxtw4RFoUg1NZGItRm6bC9e/W25c9ELuyZTSMxWRyLKxqz5SM4c9ET3w+U6aRo7vHviPHYfIk0txCI1uk/biO/49iQ+2ED92oN4kqqCRJKNUd3enD27BgPJPbrZNSHg/FNUVEEznyFbYy7TsrgKC7o2YcmL6tw4uRqdzwwsRRmv+LNyWV44LOL06pxJC0l2KnOal2XOhSxEWZlkicSoa+mgqabG6I2hTOto+gWtJYT6TqT7olBCwwIpnf/LKzLJ98/TvmZjVAfv49gs+/dtOvXuGSqaN+FZuia62mpkZYooU7sbuw75YlFEOVZ4nhyfRdU2i5kTdJnB9Uv9kNhw0f8AACAASURBVHr3rZGcXOmC/ej9TN0XzdRmxch6dolm9esQKW3MtbhTGGmpIL64lGI2I3D1j2VK63/X4S+lmf0qHouqhhi57GTb9M7/AW6SmdW+IR6JdYg94ofW3d00snGhx4G7TLXL/Q5wBLj51tqqHOF/P7jJfEPUk1dUKVsW9eznjLSqxvOBIWxxNmKYdQ10nLfg1b0e4tRnNDdpxMijoTQp9oqHaqUwMdAj+/lJzKp2Y8H5B7Qqk0n00zeYViiPivQt/RrUQqPfanwH2/8bbrwHMCi+HTcWtpV37CoqqqhKX+Du0JR8EwKZ3KgQybdO0bL1UMYHxtG6zAcVRCp9v+Lz968qqqrfNRBTjuon5OJrFfgYbpIZ29KaHdm23DixFBlSiO5upUKN3vTZcgWPDlUQZYtRUVNDTVU2CytBJJagpqaOKlJEYjFq6rIBlwjZfKmGzG2uVCp3NZ3zjirv4cZhMaF+OXAjc/kpkUhQVVV7P3OfAzfRRDy7iqmeOqioof6FWX3ZrL8sHyqq6qirSbh69jj3s0rSsllNeV2WiEWIJZDxPILa5Rtj8gHcvH9XRRV19ZxBj+w3sVQF2b8ikUReJnk8IhFiqfSjfH6qs0T2rlhKZuJFapa2opp3OAGudVBBilgsQpIzkSxrqfL0ZGWXxS99l0eZq+FPt+HlwI0nU49cYnDDUkjIyassTw+vhBIZL6JNGxsWtarAjOctuRWeAzdSicw+Ynmf8HfZkNtMmpO2SIT0XT7+zpVstl1W5r/zqPrO1rL/JTI7SaX/6CErj+x9+b027+ysqp5TN97ZRFZODY0cWHnwN9zEJOBsovlODxXUVFNZ3KIB7gkWxJ5aRUUD2bY6CWLZzP3f2svSktnknY3+zu+ncCPKzgJ5PcgZgcvKKMtzjq45qxaibBFq6hrIVlakKqqIXsdz6NQlqjV2oErRnO1Un6uT720tlZAtEqOqro6abDVCprNEjLq6xvu+U5z2kpNnrlIufTf1e/gwZf8NRjWv/El1EbNnSg+6+d7gfNRZqmg+ppGpOflaeuPrXIL6tj3p6XuK6R2r49XLGp/LpQmPXM8E45KcazSZqA3juOk/kcbOm1gacR2nWgbv00+8cRzbuu2oNm0XG4fascHNgTEB2QTeOMyWasVYbTSAm/sX8vrsMmy6eOC64wLNoifhsOw66w/up3nRRBxt6/GghgeRAeO5u204FkNOsP/qZVqW/ffq1tvLqylXfziTj8YwqnGl9+UUZ2ch81MautIFB9dgNt+MoF2F/HL9ZfUkpz6K5fVQZmuZ1WR2ObF4EH/MOM2t29coX0jrXdicOpZTZ3PayZfgJuXOGarUssN0YhC73OoRvmUSXZxW0GnhQVYNt/uobsj7L/mKmKy9i1BVU5c1dqSoyvujv+vyh/2TvD1IRPK2riLrm9TfEd9H7Ss7p85q5PQfnz5yuGm7hHlBl+lvUUSe3t/tOifsu/JKkedJrpc83WzEYlXUNWR9gKxfkemnKq/zsr5OqqKGqooEsZic9vKuD5YJ9qkr88cRO2nWqCcmo7awe1YnHgYtwtLOjUSNQkw8cI0Z9iU5Oa05bZYkc/jCUeyM9N/rJFuF+zBf8j5MRQ01edsFafJDLKoZYuScAzfa7/ojdY137eTvPuLD/kle7HftizS8Otsw40Udrh1ZR3nJbfr/UYsYw1mEbR2OpjLuvf2Mnb/0kwA33yCWEgX9/eDmA/Gl4kTG1DJHfUEYs2yTaGjuzpzD+7AzyifvNCfZl0Z12AlmtDN7/1bW6zPULDcG31tnaVD8w5nqVPrXrUWp0duY2cXiC3DTnluL2vOu7wNxghxu8k8MYkrjwlw6NJMeo0LYE3WMKh+sDUdt9cJtyR6y/n5RKqGKwzCWTe3+7bMsSlT5hKx8vQIfwU3yLZpbNUS18XSOLRmc8xF7Bzd9t1xhXJ00Wli3pMqIHaxwa8ztE4uw67+Kqbsu0r9UNLVtO2Nj04GQMwE8SpfQ8q9JVHy7C7+AKNQNTVm6Zjv2Jjo5KzcOiwlZ4cjuxZOYtfwgj9++pbBBRSYuW0/vFtUJXdiJJmOD6Ni2NmfPXkS9bC3mLl9F9/ofzs9LiAvcxuhx0wmJe4FeCWs2HvQlckIbtic25dKpWcRH7KG300hiHqVTu6YZ0UFB1F98gYCh5twL2cnEkRM5fusF+fKXws17KwM7mBO5vB99NrzEqfIj5geLORl0kMtbZuC1+ghPk1MwKFKZmeu28KdNRT6cA5al1c9lFNEPUqlZ05zoM4E0lMHN8Joc9h2Hm6cfL15K3m3PMcb/6GwWugyhnEUHwoM28eC1hKYDprNypgtFPtg9I4ebNtOpadeE2xfCeEsBBnv5MrGHHUen9sRt91uuxuxlZasKTH/ektsRy7izaw4TZm4m+slzdHQK4TRpMWMHtyEtaBHVum/HrXVFVu0/Tqp2cQZNW8mMXla8jj1Mr+GuBF9MlMOXbNDWedoulg9vJF/xvbJ3Gk0Gb2DmsasMMhXj1tGevQmGhJ/eisGbAKqZDsBl4zlsU/YzcZYfF+49RlMjH/0mLGbC8I68OuuDof0kVsYm0vLFGjr38sC4xxJapXrS3zuKdKkaBfIVYOr20zR5toYWE4I5dDOcOvmz8ejRhi3Pjbh01BedD0T/G24u3gvh2nwnBi0PY8qGI/SxLMCWyaOYvW4/CRKwbDKA2Us8MMufSDMLUyq36Ersid3o/+nFmm7q1Gw6il7LwpjrkA+/+eOZv+Yoz1JSKFK0CjPXbcbR2vgfW7+JxaaOPaq2Izm0rDuL+tnj98CWy4FLyK/x8Ygr6dAoDDstZMqBm/+GG8krJnVtzup75Xl6fjdq0gz+bFCBmCKdWNm9KM2cfdh96QltK2sS4NGWv1bcZlfAVrrXrYWt9zn2jahPQsR6jKz6023jbVb9Zfh+5eL6qfmYt/ZgXuAzRtTXJnRFP+zGH2PtwVNMsalKiXEBBM9uS+aNw5hatcJ8/BkaRo1mepwRkcd2UE37Ke6dauD3tC4x546ifm0dlS0H0XxFOP4utT7pYDLxH9WGnjsg6sJ+qpX490rrmcV9cRgRzKa48zhWKix//9m9M8wYP5VdgVfIztamsnVrvJfNRfXoBJq5+pGaIaJAgfx0mbOPuS118JzswYZD4WRKxJg36MhC3wVUyrr52ZWb93AzIYh9Y225u28+TTtPpPncfawf2ZgdHqOZs8KfhxkSalp1YfbKZdQvlYFjI1MkFZvyNjKAV7YTCRtdiR7dR3H6xhMKlzTHc/MOOtQqzJFN05nuvZ64+FQ08xvRqd9ovCZ3hShf6nVfS1tbc3Yc2curLG36zFiFh8sf6H0yGM+BG08sHZpyPTyYVLXCuC5Yx9iuNkhT7rPCYzyLth4hOVmVIsaWuE+bi3OrahwcU4U+vjUIvbsNE73nODf7g7PGTlxZ48bOMdbMu26MtfQC+5+X437YNiYP/hO/fZFItfTpPX0zns5W/3D6y6t0srflatn+XN3txdHJjfnrQBomD6PQ6LaV8BWOuDerxh7dVoT5e5E/6zbzJ4xjzb7TpKSqUbKKDRNmz6ZHI2NOTmtE74vVaCUO58Cr8kTu8aFlHSOMXHaxcaAhE/oP4HRWbU4fW4vmvTAmDxjC7svxqOUrSg+3pcwc0QLN9LuMd3ZizZFLFCluSHFecrFQU2KOrMNQL5FZfVowK1yfR1eOU1hXOVbgvv5r+3FIAW7+q3K/9r3fGm4eRWymfvuFHI2JoIZ6KGZ2C1hzcBeWpbXkcDO/WzketN7Lkp6WOVaSZLF3vAPjHrXmwnq3jz6QT8/60Gzofpbv20Mjo3z/gpsTi53osCaGtqaV5LPf1l1HMrStIWP/aMSmx5qUUEnjaXpBZvvtoa9tuY9qReqr5zx58UZ+LufvR1vPgDKlDRS6ZefXVk0h9Q8V+BBuMh+EYNXQnlpD97FmnP2/4GasRQqNLayp5n4Y3zFNiTvqhWXXRcw+eouBpaKoaG6LjkUvfBe4cdG7A26b7tNp2gZmNJXQvbMLel1WcHpWu/dwE7yoLWtmzcWsex/K5tfGpXVjrhl1J2b3fK4u60Rj92MMnrYF11aqDOzak4S6Y4nZMv599sVpjxnYqCoHVG049f/YO++4Hr///99bGhr2nhkZpaQSRckom2whoojKzsyehSKjkszMyM5ehSKkjOyVSEba+/X7vbLH+/upN3pXrut284/Odcbjcc55XffrPM+5troTd34bsZoW3JhmxtrXHXkUOBt7wxrsydRj+6al3PdbgMOc7Zgsv8K+4eXpq63G/RrWbHW15pKTFdbHpTh7dT+pe+1pPdGPDtZuOI9vTyUlada5uKHX34IKcpkMMGnJc4OpXN80hVJyH59YRKnYt6iJX4oW2za58sR/ESNnbqH1skvsscqgZWVDykzby+K2cnQ3NsV00QkWmGbTrl17opW64ue3gJs+o7BZeZcNgWH01fzy/YMPcDMNdbOpeMw3x31EBza81iPktB+3XMwZuimR6OhjeH6Gm5VcdJlMetNu6NSszNpZlqy8JMvJ00eoeduVSm0mYdxjEW6zTFgztg++z+ry9uYBlhnXY75EGw56juHcdHMWPG7NzSOLqFJaIefNc+zdAHQbdae64wmO2itioq1LSGw5Nlx7QNPAXmiMfcTpyAu83bmE13WMMFKvxi5XG5z2pnI86Aw1Hq1FtZ0TKwIOsMm6M/LtprB96QSUUh+wpHtn5rxpxCnfhTSqW5XILaMwGhNIYEwYekqZzDQ3wTu2LvfPbPkBbuw2J7LOtSdWI1wZtnQnsy2acWvXbPSHrMFz134MyyVg2akrCv3WcmiOES0bVedmpjpeW9aj27A28k92UqXpCEZtu4tb22IsX7ScZhYDKSeXgYVRS14YTSN842RKyH55Ot0x05xhbtcYPKITft77cTl1iwGaP+4heXNoPKr/BDcZr3DobsThFD3unNyIlCgdq3bqHE7Vw6unMr1n7ubEnSgMy8sgDh8ym3EK7zVLGNKzGw7b77C8T12SIw9QUasrenMCOTLRgE/7/cP8p6M3cDVbrr+gdy1ZwndPQ2uwN/PWbMJpoBk9lwfja98Uyefnqa/bhuJ919P6yRx2xhtwdv9aaki/YfFQI6ZfKMHd0DOUTT1P68ptkJx+gItzzL6ZRDPfPqRXc3ViWi7lmIctij8JW/sRblJw7NgI7wcV8dqyhoaSz+jduRvoz+X0ektOuI7DwvU854OOoVq1Ktl3TuF1+Da9B3VD8m0orVoNwtTlNMvbS/8z3Gi3omKvpczoWZd9LlPYHinHhoAj6MWsR7PHAiYt30H3BhKM6W7OU5NlhG22pJdeZU5ElcN102ZaaFTi4qTO2FxU4uDWNcjfP8dDeQO6qN6kftMBNHFYhItNJ0J2zsF25j7WBt+hZ8Ze6pk6ULn5WLyXDWDH5G4sDqvC+fPH0an07T6zHLjpOocmnZxYM68rzlam7Eo1JuTYJh56D6bbnFM47dpD/7oKzLXvjf8dVa7eOcDtCdXo7q5BxBt/6iu+ZFBzY87VHcXdTY5sm2DAUM8bWDutZdwAA5SjtlLHcDoz95ylfdkY9gVKMGVSly/+iZJYM7wTEw9J8/zhfiY2r8/r9k7UiZiP75MWPAhdjYlaBWpYbmTjjM74T25PP/c7uOz1o0tVEdNGWnA6RofbEVu4PMOQ9i5hDJu5idEDWlKjeBrN1GtSz2od1R97sPVBVbZs3YhRNZhuqsaGuFbs2zCDFwdXYT53NwEP7lF8+2DaTDnBdN+dmJaNon8ve57X6vkBblTS2D6lHwPXR/H4XhCVlfKyF7Pg/e4LcFPwPMlNjf5auEl5exXL5hY0nL+XmT3UID4QrRaL8Tjkh34VuRy4ce5dlRfd9+FqoZezBHv/nDst++4jIOwgmuW/bNpOj4/ETNeUDq4HmNDhwyrPtwcKZHLc1ZrBQbXZbNccSQkJylRXR71aNhPNTMgcvhkHjVRmDBpPvfEeTOv9ZaVInFfK+9fEvE34Bm5kFUpSoXwJAW5y08uLQJqv4Sbu9gEMDPpgMHkfXo5t/wXcmDDE8yKze2sRsnowzcf6ce7+awyqxmOtqc/5hvZc9x76EW5WEORtSfTNw0ya68vzFy+IuXGN+2p9iT7pzT2vHrSZHs61lzdpqJzOlDaG+Eq35emRJZ9VT3h0GN1aXWnkdZ2dwz7tB0phhpkWG+O6cO/UYNQr6FB51DZOL+xG8svLNK7cnDorwvDvHIlanb4kVFdHrVxxJJKfcfH6WzZduUWloCl0nhvKsahImsmAKCuNR9f3MnnBTqJfvuDFtas81B5BdMBSKip+DGXLCkO9nCHlhq7ntHMvUl5do1EFXeq7XmLPkHSMqhpRZuY+XFqr0MWwBR3cAlnaJhVDk/bUGu7PJsf2PDm7gmZmi3A8HMyYVl9eRHwIS1vMvOPXGdG8PAETe2K+I4FTgQd5trrfD3BzL3gVsi+uMG/xGkKu3yMh6gE3M2tw8NQJmjxfQ6U2U9h06yn91MqxS/ywsO0FiY/P4GaszkIpE46sm8hZx04svGHM07DlFP942lt2YjSTummyPsaE0666mHXbRuk6d6g6yB+jHRasqDqJiC1j4e1l3JZ5cfLiHVJiHhP+tiS7zpxF+802apiMpWZVRZ68qsCZu1cxrCp+y5/Einb6jHulw93TXqiWlOGilzXGYwIJirmOrlLG/wE37bB0uYhMsQwqt5pE0J6ZlJFOwXuMOTYeIRjoqoujcnh0+wolG48keM84WmtUQ6XPRvY6D0A82z6/vI4q+h/gxr1HJR6G7WXS/B28fPWS6KtXeKQ3iphDSyhX/Kun9pRw2jZuw4k7sTQb4MyFzRN/Ohv8T7gxN8LvtQZPL+xEWiKdoe3UCZJsw/KuMnR23Mq+68/poFqME54j6DL7HDu2rKZL61b0XX2ZbbY6pNw5SAXNrnTzuIWPpdpXcONEEwt3Vga+xLaJHBF7pqNttR6PbXsY3kGfljMPc3RGe6RfXKCeThtq2e+n4WV71r3U5uJhX9QU3+A81JiF1ypz82IApdLC6d5Qm1ddNnLFa8A3bY086oJO59nMOPIQR5Off1z6B7hJD6WpalvkzJdzdsWgnBd860c0YPIZLYLCd/HUcwTtZp3i4ePbVFeRJiPpHUEnvZjteoyMjERuhVxBf5o/O63K003zxz03OSs3TUx4K1mecsqyqNTTYfaMhXRrXpU9U3rQe1kQGlrqFJfJJvr+dZKUu/Pw1kb6N63Im0aOHF8/EXlEvApYhP4QZ6TL16fbwAlMtm3PvW12tLQ/yv7Q65g2LE3S4wvUatCKXusu4Vz7ImrtJjBqayiT2tfhottw2iy4xv4L+wj3GM/u4OeAJJZLd9E5fh1qnVew7EIEQ7VL4j+iM/2PwdnADewe0Q7PZw15d21rTvjdze0OaA4+jN/9O8gsrUbX5Y248cafeoovvoWbifpMPKTEyfDjaMhC5vtIDJu15WmqMoYm/Zm70AG1st8eCnBjpyNNBm9gw/ETLOzbit4uR9G470qvFde4G76MljW7MfHQLexbSDNUvwXbZcx5eXYpSrKSnPccium0YAKehZGy0IDO7hDyIAStUhKI99zoqNfibXYpomNTmL7jHLN7aJORcoMmFfV4rKKKVrUSZKS8JeTaE+YFPiBttilzoupwL2gHtUumstTcAKeX2jlhaTVVsjnqMoxOM0O4Fh2K+j8c0FFYfpYFuCksTn1bz78TbjJjsDbURcpqEx42xh8ViaFz3U4M2XUYc82yZGcm0K12LTr5BmNjoErUpe0Ymdmx4eZzWlT8EsucHv+KARqVqb7wPAv7630+COB7uDkm3nPzqAt3l5t//mH7FJZWfMopZpmU5eaBGfSc+ZSgqxso/ZVPl7xnMHjeZtI+7WUQZaHbYxqbXKwp3O9ECueg+S9q/TXcpD4+h4GBGbpjDuAxsXVOdbKf7aKGWn8sfcMRr9wYNWlOjVF72DqrM89OutO4xyLmf165McFiZSALLZpwwX0QLSb4c/xWLCa14rBq1IxgjbFcXzvkI9ys5tA4FZo26oVU/1E4mepzYqEjW1RMc+DmrmcP2kwLI/jlLbRVUnFs3YLtxdrzNMD5s0zxd/fSWK0nqm4hHB/d5OP/f4Gb+6dHol+xIQqDfAhc0ZeUmCtoVdKnzvIw9vaNolGVThTvNw0HE1VEEhIUVyyFXisTHmyypsu8Kxx9eptmsvDq2mZ0m1hScvBYxhtrcGjqeHbWsiT6kAsVPsPNHfQr6FKs90oCVw0iNTacRuW1qecazH47VYa2qMvusHjep0LjHvbsX7+QSm/O08LEjOpWO9k6rSsPTy6jeeclTD0cgoNx1c/t/LTnZsbhKzgYVWb/OHP67E7hdOABnq76Hm46ce/UKCxrqxOk2okVI3vx8NAGll1IYe/pE2hHfYCbtWFPGKxRlm2OfRmyK5b4R2cJXdSB7vNO8CopE+WKemw+vJ/OWuW/2i+QxbnVdrSacQHbjvEcFw3DoUwIy04UQybmKAZzD+MxuBI9tJoSrKDN0tEDeHZuO/P8o9h25iyNX/tSy3Qmq/ZtYnb/HqhZruK461CkPsHNaz3unfSgZkkZLngMw3jsEY48v4dJKRkW9m3Byue1frpy47A5maXT9bEZtZbZ+0OZaFYN3yl9sfS8iZebU87cKS0nT/nK9THUKElLjaqU6rMRP+eBiNdaPsPN9kdMr3kSXV0ryg4dy9iW6hyYPAY/taHEHHSh7Fdw8+7mLlq2s+Hx2xSKVWlN5L1DlP3JAP4/4SY7iaVD2zP7igrx4QfEO33oqlmSRJ3FLDdPRr/XfLwuRdFfXYHtk4xx8FMg+MIyOlWoT4k5J7jg1Jpn59ypazwX14jbDG/4Zc/NwyBvdNuMw+7wE2ablOSESw+6O0dzOnIbDmVqEj3Kl/vu/Ym/vgNNw+EM3RlKpZ1DGXO5JEGn9tBY/jl2ZrU4JT2LS2enIvEqkLYVTJCYto8L8zp81dIUVvUxZMJxRe49O06V4j//5fgBbrJuYVyjBZmmCwjyHo4oM5V5ZjVY/cyU4Jvrub/KlnazT/H48R2qKkuyf14/ujqfYsQMJ5pXgAW2E6k50Y8dg8v+M9w0boX23GvsGa311UE66QTMtaDrkmtMnzuFGiVkkJKVo3QZVdoYa2CuW4W4RpMI2DAhp2+Ir7jnD9i/zZXZc9dQ08oDt2Y30O2/g22h1+mmVZ7YCH/qavfDxu8qsyqeQ810AjYbLzK9S30ClwzD1CWCg+ePovj0PJFR73P2wDVq3Z1yN9yo12UFi85cw1a/LDttOjLopDSBZ7dw2MEU15vVeBe5Owduzrj0pa1TBAejw0mbVQXzldUIfXkarXLvGKZvyIlath9Wbibq43i4JCfDAlD/HB2YxKFdvrjNGMUtSVOuhx38Nuz1zjF0GnWjpsMQ7voewevkdRpE+6DWdiZjZrZlxbwogl+cpHGpOEbrG7I2qQ0vr6xGWU6KvdO7M9DzGWeiL/JmjgFdVskSfP8MWqWkcuBGvOem0TAvsi8u5sQbLS6c86OGzAOMKjbiRQtr5vZukrNvT664Co1atmG/ZUsm365IxKXdNCidjmtPA6ZFf4KbdHZO7c+AdU94eP88VYSVm//ikSFXZQof8cyVTL8l0R//iKcoKZaRnQy4Xasnc4a0h8xsRMqVaKFZC5/Rpqx8qs5c++7EBbkzcZcsgUE+yNzcRtd+TnRfsBqT6so5Kyg11BpRXuY1o7u24WYjG+b1aYGkKAv5MlXRbVjr53tu/gfcZL4Op4epOW08r2Ov8yV0IjsjndT0jG9WbqSLySL7cQPwb1FeyKRAK/A13IjeR9LGoDny7RZxwGUAx1ev5fzlnSzcEsqi43cYoyfCXKchRyWaMdmyOfs8vIlMlWTRvk9haXmDm8MTStFMuxfVB4+jfe1M3Ba687zuQKJPrs0V3GSlRjPVVJuVd+WZNsGed8G7qDrKh8Sl3fGM7cjjoPmMM66Jx3057OyH8/joZgIi7tJq7v+PR7ethLVhEw6/rYbDMHOKpSax68BtfPZ6E+NnQ5f5X+Am9vpWdHUHoz5sLIaVEnGZ78lbPQdefAU3iLIY10qVNZFSjLK3IerYFg6FR2IyJ5RtbW9SR92B1uPHo1VejnLlytKmUx/KxZ2nRes/ADen7bGq25DIJhaMNKnHVq9lhCXXJeDUP8HNa1LuHqa3el3uVW9DfzNNFGRlUW/WA6PGFb454OD9gyNUV+tEkmQxxq0/ydDSF9DsPIk0CWmO3npF2+pvMNfS41rFFtiZ6rDTZwmXY6vg/xFuxHtuvCJfo37Umtajd2C78hwuNo3YOUQXC78Mxo0fSveBgygftRVVkwkYWc2ghdQVVu84jLxmX+6d3PSTPTdJhD04zur22qy4rcSeI8eoFrURzU7T6D5iDE1rliYm5BSxGqPwctDEoNE/w41TrTPo6Q9F03oczSvGs2S+J2/0R/PqG7hJY1RLNQKkOrJ+tDrde42n9exDbJvSCumPkWsZ8dFs2Lyd19cPMGf9GUytp9DFoBX9LYy54DQYiy2P2XPmBHKXnWnWdwk9Rk6gVvZ53DyuM+fYBYbWfUu7RobE1+uGZafK+Cz3oHq/1RxyNmdl3yZMOiGN48SBRBz2IOidNrev+VM26QJNm/RCa/J23HqVo3/TplyW1cdukC471ixH0nAGIZvs8B/dnH7rXjNuoi0vLmzm4IPyXAg9QfHwZTTtPBv9HjY0VHnKcu8TjD8YwUyTarwL24yathVNXc9zcLTe5zkt/fl5WrXoSCmLdeyZ04Pvthx9TvcBbs6x+c4letUVv2LLxnWoPpP8Y7Gys6eGxAMWLPKgy4pjbBpuwuWNU2hmswZ7p2mYte9L1rHp9HQ7w+gx9ki/OMSyNedo5XTgP/VnYgAAIABJREFUn+Hm/mnqaZugPvUM+xyNkP1q0e3FVR/UW9rRrJs1Jo2r8TYilBDlPhxd3p5uTb6Cm+xEZg/qTUyFptQu8R7vVSupb7ODbSMqUqu+MVJaPbDr3Jgrx33wDy9GaFgwNR9voP7P4CboNCZ1vj3h69OBAj/CzW4InEnTQatoZT2djjUzWb96GRnNRxK+ZR7PdlrToN8GejhMR/HpWbYeDaJc1/lEbv4ebrJ4dGwmDuuTMdapzNmtLkRIduPmJY9vTtbLinvEsNZqbLoponyNflyI2Ej5VxfQrG7ME0kRch3m8WTHJErIQtDaIbQcuYsedlNpVj4Rz5XuKHacwaU1Yzkx04CuP4Eb1eF7WNMjA1MTK+RbTyLQ15EVfXRwOi3BuLEWlJJIJ/jgEWYHnCZ71yi0R2yk7TA7GitEs3ztXmjUn3Dxyo3SW5ytOuB0ToboiNOUFh80U4gvYeWmcJr3163cJD0Pxs5+Lm8yZMgWZea4JqrRjR2uVkjFPcHH3ZlDoS+QLdWQOXPHoV6zNIHec1i893LOB+0ys0U5J550tltIjxox2I5fRtrHU5TEcRVVmvRm9RxLJEQiXr16Rfny5XPe9IXuXsrKF83wGdXiy4EC2XGsnTyBYv2WYNm4BIgyOeIxk+Pphiwd3b5w9iih1n9EgW8OFBC9x8HUgMMyptzc68SyXoM4n5lNw+52TB3QFhVZiLoRwJRZniRKlaDvgIFc2r0JA8d1dClzj6F2U2g53IWhrety038xkzdcZo7HVhpXTMTZdiwPq3Zl1Xgz5g8aSKzuMJaNMeHiAW+c1x1FUqYmPZuk4Rdbjw2LxhJ1aA5OvvdYssWHOsXT8Zo8gfMS2mxcaPOVDiISnkaweL47Yc9foFjZlIWLrTi3xIHT73XY4D6CuJc3cZ0/j6vP0mnZww7lMFeeGLoxv3st4p5dZ8OK5Zy+/YpsZSV62U6jb/OGRO5fzJxdD5i7cS0NZMSRpCkc37kS961nkVOsSy+NV/i+acGG+daU+upc3HcvI3BftIDLj9MwNLejZJgrTw2WMrV5NF1adOVNZX0qK0rx9GIQyU1HcHJ1H9xmz6JM2ylMs2jOi2t+jJ+5m55zV+Ss8n663oftwHrmLvrNWUV3zdJcWDOTxUEZLHSdx6t9C3E/m8jmzc4cnDqErfFa+Cy3582Vw0xa4El6liKdjTU4d/01YxcupPbrAwxy2oTdig20q6nCqXULWX7uLbt9FuExVIPFF5TQqFuRtNfPCX2cgsfh8/TT/rLem5UWg4uVNUEp8ji5rkZb6RUOVpOIRov122bm6HH/0iFmLPYiIVORru0MOHM2HNvFS6jz/iRWM3wZsXIbnSol4eM0nn3vyrFmyTxKpYYywW4Jj1PBZtEyOtRU5PSW2bj736OSTlfMqsSy+xZ4L5n6zYPqGZ8prDmXyLIN7qi8vITThAVkNBnMCntTrgVsZqX3AWKzRFTUNmKs/UjUFFJwsB6MSqvRzLBum3Mi4PMrPlTRG87IrXdw71GBYztWsnLbOWQV69FT/QXb4ozYNG8YJeQ+PCFnPwqg34Q1dB23jD5airhPHcXJ6Ips2uhGSYUPD1ypL28w0HYyKRlfumtZ1ZasWG7PgQkmWO8tQUjwfhqUSOfs9vUs3XEEKE1vWzv6tNdBVjKbJ2GBTJnrTnyaiIZGPRhv05NyKrKkx0fhPHUewY+jUKrUhEmT7NGqVYbsZ1up3nAEA73PsqC3JjF3rzJ5uguxyWnU1O3A5FEDqFxGAVHqK9xnLeLYjbvIlqrP2CljMawvPoo4nXM7NuHme4AMiRK0H2KNdVcDZCQkCNsyFu0hfmy8GcnAul9ekF31W0C74Z4sPRGOZeMv+8S+n6yu73bGadsTxnsswajMh1NtEmMf4bfGjf2XHpAhJ4dpfwcGdmqOSjFp0hMesWLsXM68fEXHqS4MblgCj6XzOXn1KeXU+qP6fjepLcYztX0JZo2YDJ2ms9hKfCrhhyvlzV2GWI+nRq/5zO3b6FvoEmVw88RWVnr58yw1i9INdRk/bjyNysgw3c6S1FrdmTe+N3JkExOxjwmL1vPuvQRVG/VimmMvqqhIc+/8Xlat9uV+fDrKdTSwt7dHX7USaZEHsJ7ujel4NwY0q0bEzqXM2PWYGW5LaFz52++EvQn1xXrOAYYsWkXnBiU4s3QKruHFcF4yg1pKyQT5eeG5/RwJkhLUNzZn1JBe1CipSHZaLOsXj2fvpbc0NBlAE8lL+L9vyianPpzysGfdVRUWr55HjWKQEf+UqdPHcfthKvKldRg3055mql/Hb4g7dDIHV07F49h9KrdxYNWYdkhlJrF1en+23cjCcOhcJnRrnAPuGSlvOOG7ko37LpMoJY2maR9sLbpSRbEYlzc6MPeAHMs2uFBbWYrMhBhsrYZSqbMjUwc1I3yXG/O2XWPAnDV0rhLPNrfFHAx9TLq8Ai172TKmpzEyGXHs913Euj03KVffiMF66Sw9I8tq5wmUTb+HtZkOFxTtuXZ83k+PJP8jP5J/KFMBbv6QsH84278Obv6wnp+z/zYsLb9KFcopqgp8/52bc+6WmM2+zsFbVzApV7hPoykonoW4d0d/9GVWHj+EUblsvAf1YG1Mfc6H7kArn77k/r+0yIp7TA3V2mhZrWLBEEOeXPSnz4gFTPALZXa3X/++0f8q/7/6e1rSGy7sW0brQS7MP/mEKUYV/2hVkp5dwlDbGAvvi4ztqvnNaXu/VLAoE28LQ9Znd8Bv3RQqFv+NH6vMTmZ2HyM8H9biWshWyn869ph0nAfq4Xa1NmHhfgjTxS85KNz8PxR4ErKZ5q0d6OUZyjKLWoV+X7AAN4Wzywtw84d8E+DmDwn7l2b7PdwkPDpHF5Ne1HA8zHrbT/tY/lJxflOz390+jp2DE8eu3c/5RkexUg1wcluBdQfNAvNRXVFGIq7TRrLa9zhxaRlIypTEuNcoPJc6UFK8tFxEr5snltKq7yKU9Sw4tcuFar8TCn6i2fs7p1l+JpEJQzvzcZHntygrykxj3eql6PYcjWalH09t+5VC0mOu0aW1KRWGbGH9+HZf7cF6x+6VG3hd04jhHbV/pQjhXkGB/6nAvln9Gb0vjnOXD1OtcEek5bRVgJv/aXmBTCDAzR+yRYCbPyTsX5qtGG5SUlJQUfnnkJK/VBqh2YICggKCAoICggJ/RIG4uDhKlPjwUdSidr19+5ZSpT58z6qoXeLDEsRt+/BR6P/+knj58uXXn3P572v0CzUQP5AWKyacZ/YLEgq3flRA/G0k8b/vv1wtCPSjAmKdJCWL7irGr3ou/rp7Ue1H4q/Ai70vKD9ov+rV9/cL3v1uRfMnP/GcJL6K4rwkfpEr/lcU2yb2rCiPuYyMDGRkfmNobP4Mp1yVUtDa9sdPS8uVKr8hkbBy8xtEFLL4rMD3YWmCNP+sQGJiIvLy8khJCXuRfqZSbGxszhutoqhPfHw8cnJyRfalUkxMDOXKlSuS8CZ+06qsrFwkH7aSkpJyHv7F81JRu8QPkeKoArF3RfESwtIKp6tCWNof8k2Amz8k7F+arQA3uTdegJv/WysBbnLflwpaSgFuCpojuauPADe506kgphLgpiC68r/rJMDN/9boX6UQ4OZfySbc9A8KCHCT+64hwI0AN0U1HFiAm9zPAwUppQA3BcmNvNVFgJu86VVQUgtw84ecEODmDwn7l2YrwE3ujRfgRoAbAW5yP14KSkohLK2gOJG3eghhaXnTqyClFo+50qW/+55SQargL9RFgJtfEO//ulWAmz8k7F+abdGDmwzOuk3H+eAVlEqr4eLjStXiPzl8QxSLj/0YtkXGoKnTjYWL7Piw/VFE6Pr5zPM9A4qVWbzOE7XS4k89ggA3AtwIcFP4JkoBbgqfZ+IaC3BTOH0T11qAm/zzTjhQIP+0FkoqRAoUNbhZ7diaWdsfMcBmMHf9vLiGCWdPeVG71AdAycGXtHgGd9Li9JuKWJsbsG3ZGuQ7L+GstzWHl/VhpNsFetrYkhS0hYD71TgevIfGFRUFuPkf/VrYc1OIBv53VRXC0gqnd0JYWuH0TVxrISytcHonrNz8Id+ElZs/JOxfmm2RgpuMcFpUM0DFZh0HZvcmat8U6vdyY8HxcByM6nxCG97f90WtnhUO+8KY2lGNPY7N6bk0iqtRwcwx0SXGZCZnV9mScMmbGi1tsd8ayjxzTQFuBLgRTksrhPOksHJTCE0TVm4Kp2kfay2s3OSffcLKTf5pLZRUiBQoUnBz15fKelZ0WnIaz2HNSQn1okILW4ZvDMW5d+OPrmQTtduBmn3Ws/7iYwboliV0dX907bZz+txRHPqZU2ekL7undCHtQQCVNLvQefEJNowyEuBGgBsBbgrR3PapqgLcFELTBLgpnKYJcJPvvglwk++SCwUWBgWKFNzc3EAFAxuGb7jC7G4apD7ZS8WGvem8+AybRjX/DDfPto2gxqCt7L8VS8c68tzzd6RujyX4+W1h5ujhGM3wZ5V1G9Jfh1CllhFaY3ZybHYXAW4EuBHgpjBMat/VUYCbQmiaADeF0zQBbvLdNwFu8l1yocDCoECRgptwb8q2GEmXRadYZ2tIyu2tVNQZxKS94Uxp2+CjHVk83TyMGkN2sD7oEZb65bmxeQSNLDcTetEPi+49qWvryz6nbqQ/P02l+qYM9DiPa39dAW4EuBHgpjBMagLcFEKXfqyycKBA4bVRCEvLP+8EuMk/rYWSCpECRQpu0m9jXF0P6Z5unHAfzFXPoRiMOYtfaAjtqkgRfCGU8jomVEzaTd06Axiy/hILLNTwGNyYkXvrEv1kPfZNNXjUZCyXtzry+OBcNHq6svrsdQY1rSbAjQA3AtwUorlNCEsrhGZ9VWUBbgqvfwLc5J93Atzkn9ZCSYVIgSIFN2SyafpgHD1PUV9TjSdh16nfewG+bjakhO+kib4V+muusHtwBcZ1M2N72Dsa1C3NzWtRDPDcy6JeTTiywh6bebuo1aghr+9eo6TOWPy3TaW8vJQANwLcCHBTiOY2AW4KoVkC3BRu04SwtHz3T4CbfJdcKLAwKFC04AbITuHk3gNcf/wCxQpaDO7TgmJSktzYP4cWQ7bjFXqFXjXlITmWbVv38SI+nRraLTA31vhoVwYXDx/mYuQjZEs0wGpga+RlpHL+Jnzn5v/u0cJR0IVhxP+8jsJR0IXTO+Eo6MLpm7jWwlHQhdM74SjoP+SbcBT0HxL2L822yMHNz3xMi8HOvC2Zpm54OJj8a6cFuBHgRviI578ePv/ZjcKBAv+Z9L9UsBCW9kvy/ac3C2Fp+Se/sHKTf1oLJRUiBf4KuBGJyMzOQkpKGolf8EaAGwFuBLj5hQH0H90qwM1/JPwvFivAzS8K+B/eLsBN/okvkZWVJcq/4v5cSeKVG3H4R7ly5f5cIULOf40CYrhJSUlBRUXlr2nzv22oADf/t3Li5fqSJUsiJfUhjK8oXfHx8cjJyRXZPTevXr2iTJkySEpKFiXbctry9u1blJSUkJGRKXJtK+phaampqTneFcUrLi6OEiVKFMWm5Yy5UqVKFcm2icFN3DYJiV95Vfr7pJGIj48vEnAjliQhIaHIDvjfZ7mQU24UyMzMRPyGTF5ePjfJ/+o0aWlpOQ+3BWVSK2hmiOFPQUGhSD4gix+yxA/HRRHcPv2mKCoqFsm+LQYAMZgWRe/Ec5IYSIsiuGVlZeX8Nom9K4pXcnJyznxZFC/xmCtevHhRbFrO3lvxXFlQLiEsraA4IdSjQCnwV4Sl/SbFi/LD+++QSDhQ4Heo+N/kIRwo8N/o/qulCis3v6rgf3e/cKDAf6f9r5QsHCjwK+r9H/cKBwr8IWH/0mwFuMm98UJY2v+tlQA3ue9LBS2lADcFzZHc1aeow404ZFpZWTl3YhSyVALcFDLDPlZXgJs/5JsAN39I2L80WwFucm+8ADcC3AgHCuR+vBSUlMKBAgXFibzVQzhQIG96FaTUwoEC+eeGEJaWf1oLJRUiBQS4yb1ZAtwIcCPATe7HS0FJKcBNQXEib/UQ4CZvehWk1ALc5J8bAtzkn9ZCSYVIAQFucm+WADcC3Ahwk/vxUlBSCnBTUJzIWz0EuMmbXgUptQA3+eeGADf5p7VQUiFSQICb3JslwI0ANwLc5H68FJSUAtwUFCfyVg8BbvKmV0FKLcBN/rkhwE3+aS2UVIgUEOAm92YJcCPAjQA3uR8vBSWlADcFxYm81UOAm7zpVZBSC3CTf24IcJN/WgslFSIFBLjJvVkC3AhwI8BN7sdLQUkpwE1BcSJv9RDgJm96FaTUAtzknxsC3OSf1kJJhUgBAW5yb5YANwLcCHCT+/FSUFIKcFNQnMhbPQS4yZteBSm1ADf554YAN/mntVBSIVJAgJvcmyXAjQA3AtzkfrwUlJQC3BQUJ/JWDwFu8qZXQUotwE3+uSHATf5pLZRUiBQQ4Cb3ZglwI8CNADe5Hy8FJaUANwXFibzVQ4CbvOlVkFILcJN/bghwk39aCyUVIgUEuMm9WQLcCHAjwE3ux0tBSSnATUFxIm/1EOAmb3oVpNQC3OSfGwLc5J/WQkmFSAEBbnJvlgA3AtwIcJP78VJQUgpwU1CcyFs9BLjJm14FKbUAN/nnhgA3+ae1UFIhUkCAm9ybJcCNADcC3OR+vBSUlALcFBQn8lYPAW7ypldBSi3ATf65IcBN/mktlFSIFBDgJvdmCXAjwI0AN7kfLwUlpQA3BcWJvNVDgJu86VWQUgtwk39uSMTFxYnyr7g/W5L4IUtRUfHPFiLk/lcokJWVhfhHRE5O7q9o7680UgyCMjIySEhI/Eo2RfZe8bxUvHjxIqlPWloa0tLSSElJFUn/EhISUFJSKpJtS05ORlZWtkh6J56TxPOReF4qald2dnbOb5PYu6J4paSkIC8vXxSbhnjMKSgoCG3LBwUk0tLSigTciEQi3r59S+nSpfNBNqGIoq6A+MdD/OAmwHJRd1pon6CAoICggKBAQVEgPj4eZWXlglKd31qP9+/fo6Ki8lvzLCiZxcXF5bStoLzkFMLSCkrPEOpRoBQQwtIKlB1CZQQFBAUEBQQF/gIF3r17R8mSJYtkS4WwtPyzVYCb/NNaKKkQKSDATSEyS6iqoICggKCAoECRUECAm8Jp4+vXr3Mip4SVm9/snzgs7dWrV5QvX/435yxk9zcqIMDN3+i60GZBgd+vQFJUGP5HbtO0YyfqVCya+3d+v2pCjn+rAgLcFE7n/0q4EWUlE3rxCgnpktRu1JhqZb5sqIp/fIur96ORli+BftMmSEt/2JT8PjaK0LBIpOXKode0IfLFPmxYzUxP4dKFYFKzi6HWuDGVS37I61u4EfEu6i7X70SRkZ2d83eV8qpoN6rK0/AwHr+KJ0sE8hUq00SjPkVz61rhHCAFpdbfw03aq5vYD7SkWI/VrLTRQ5QaQ/ClSCo00KXmV/3539Y/MzWe8e1MedliDFvm9+GftsFeXj8ae6+X7Dy2mWpKxfJQnIgnEZeJziyLbuOaSH91Z2pMJEM7DERxzGbWDKyHZB5yzWvS1Nh7WJn1R8XBh9WWGvzKEQTvQrzpYu/HxJWb6aJX9puqvH50k9svs9HRb8hWm454xDUlYOtMysj8Sol5bW3u0keHbKGLnRcTd5ykj+rv2QB92M0G52NxbDq8k2q5q8YPqTIT4wi+ch3VJvpUUvy9m5dfP7rHrafR1GykR9WSP5+Bs1LiiAgJIw4J6mnqUKFk8Q91zM7kaWgIj5IzKFuxNg3Uqnyue8Kjm0Q8iUVKoQSaulrI/cxuURYvrl/mXlwqJcpUQ11d9XOfT31+l7D70YiKKaKho4PiJztS33HjagRvMyRQVWtMlQqKpMZcZVjf4aiO8GZ2H82f92VRJn5OnRmyKYGA8ycxrCoLoiweXzvP4/gPv02fLwkJqtdvQs1yv34oTlJ0OA7m1mT3Wcq6sYZfxnRGEiGXr5KSnpVTrIxCBTS06qGcl6nkX/an3N72KmgNXcccxMl7Cx20/pvwpNePI7j9IoVGunqoiCfLrFQiwq4QRykMteuTc3ZKxlsuhdxApZYWahVzv0ck8/1zunfoQvV+81liZ0aej6zJTsNv1CAWv6+Nv+d8rrmPZOllGfbvWY5ywZvecmv753QC3ORZsgJxw98HN4lRjHCw4+q9dIplRxGTVZ19+/1oUE6WB2c3MdLBmbTylUh5/gDVTlNZM9+KuOANDJi+HSllCV5ev0mlHk7sW2SNYsoTRo0bS8i9DGQz7xMvp4f3+jU0q178O7jJ5OjSwZivDqd1wxqITxepZTyQ+eOMmWHSnP2Z1dAoU4zbT56jbjYG3wXDkC0Ck0KB6OFFpBLfw80137EYjjyAT+hN+tSRJfPBZqo1GMxA33AW92z4y63OSI7DolZFHpst5/x6m3+Em3PLzGkz7SrBLyPRVsnLz+JrhutosvtdI649CKDqVzVOeB6IVjUT6i8PZb+d5h+Fm8SXwTSqZIi6azD7Ruv8EtzEnnahfqeFOB2+ymijGl+1KIPVQ00Zs/sxZ2Lvc7FrDWbFdOBe8GoqyPxJdPt33eDp6ZXUNJ3OmohX2Kh9/ZSZxuE5k/GNr82yWSMor5j7E8l2TG/LyM2JXHpykVr/rlpEHXejqukEBqwLYfOQJv8yl29vy05+jfvscfgdCuLCrUcsOBzJJDO1H/JOehvOlGFWbA2OpaRMMrJlW+Cxaz0GVSXYumI002fvRbKcMulp8oxx3cR4cx2eRKxncLcJPBCVIis5CYNe09iwwg4FyS+Tu/hF25EtTox38CC1bHnSUsBq1lrmWJvw9qk/AzuO4kaCPJlJiTTuMJJN3jMokfGUqcMHs/XYHaRlRRQrrYXnQT+My0swq09LfBOaE3HEHbmfdK2s1LcM0KrBY/35nNxgj/hVXHZGEs4ddVn3KIOUuBiiX6dSvnpVFGWkGeK8m6nd1f9BaxHhAd4s3h2O2/LllC3+z3054cklumkZIzlyL0fnt/s8plMeB1KzYUsS5CtTsaQssW+SaNJ+GO4rnGhY+vcC7L/tMNHH5lO/y3IWngljpH6lf5vNL913zH0IHaceZeGRG0wwKEVGzDVa6+tySdSSO3dOUl1WgrSw1VRp5oC173UWmOf+NyDj3WOaNKiJqs0uts3umfeXq9kJzO/WnPmvdbkZ4IPEjfW06jiJkUceMFG/8K8MCnDzS133P7v574ObhBccvBeLqXYjZNKiGdq4IakTg9g4pDbjTNRJ7bUeL1tDMlPvo1ujEwtOBqEtdZNIRS2MqqiQ/fwAtdSG4X7tAaZl3nD4/ju66GohwRt6a+tRf/IuZvfW/gFujrkOY+QTc+66duHzb1vWKyaatUbZKQinliok3DlKG7PRzLoYSfsKX/pEdmYG6RmZfHg9k7MshIRMMWSlc/9w8Z/1MKHg36LAt3CTwqzuhni/1iEy0BPxe9XMh1upoW7JYN9w5natS2JCAlKyiijISZOVkUpCUhryisrISmbxPiEJBUUl0pISycgWoaSignRmKvFJKVBMDmUFeX6AG1E2SYlJpGdmIi0ti6KSQg4IfICb61x6fo2aktlIyMihVFzuJ5AgIj05ieS0DCRliqOkKMkJHzeupDZg8sgOORqlJMWTlpFNdtxNmtYyRu0ruMlITiRJfK9UMZSUxMcYQ2ZqEsmZUijJZ/M+KTPniFypT/XMykJaRhZFxQ/1/P5KTYonNSMbUfwddGsY0OAT3IgyER+VnJH56dBGKRSV5ElNTkFOUYmM5ATSMkUoKCkhK/Xtw9wHuFnErEOXsWxcikykUFZWQkoCIgI2setqOk5TrVjesQazP8ONBKlJSaSkZyApKY2SslLO/CDKTM1pk7KyHEnxiWRJiP+myKcRn5aaQEpqpngqACSQVVBEQfbD+pdYl8TUTBRLqCCNiNTERNLFdVEUP8pm8j4ukWIKSsgXkyQtOZnktHQkJaQ+lC0pwfdwk5wQTwbSyEknsbqzMRNjdbh6wI26FZWREaWRkJyJoooS4kXu1KRE0rIlURZ79JXo38BNdibx8QlIy4vrLJOzcpD4PoEMESgoKiIrIw2ibBLi3yOnqIzYe5GMPBJvwlm0cg9tbSfSolpJyM4iMTGJjKwsZGTkKK4o/63X2WnExacgLaeIopw0GWJd0rIooaz8eSpNf/sYN88TtFOLwGiAOzP2RTK+bd3vuks2hxZY0t01hICrYbRWjkSrbjMq9F6Nz9By6DXvRXvXvawebsj0Lk3ZeF+NqyGeTFMvx9G6Nlw7sIZ7G+wwHuPP+iu3GNCw5Od6vrt3GmMdMyo4eLB3zgBWDTZi9ikZQiL3s1WvBEtkunLn7A7ennSmpYUb0/aF0ubGNEzmB7Pi8BF6VHpPO53mvDd04fKuMdzdbIve2Ascu3WZVhV+XP6Ij9xCtcbWTPC/znSz79sJ51cPo/Wos2x/Eka3ah9XpsQLBZmpJCalkC2SRFZBCYVikmSmJXFy1Rg6zD3N3cgQKpRQobisNOLfq4TEJLJFIuQVlJGTleKf4CbxwRnqNW6F5sxg9o5vyiH3YViO2U5/t0OssTcSl0zS+wTSs0FeQRG5nD4uIjEhHmm54pCeRIakHErysqQnJ+bML1Iysijl9PUPV0pyPKlpWUhKyaKorJAzhkRZacQnZaCkKE9SYgKZ2ZIo5fThH2eLD3CzAufTV+nXoDhZX43rDz/HmYiP6M7KkkBaVgFFhWI5/makvCcpVQqlEsWRkhCRlJBApqQsKsXlSE+OJ01CDnmpdJLSQEVJkeyMNBKSkkFCGsWP88anNkRd3IGJsRWNnXaxbXoHooLcadpyNK+LlWbu8dtMblGGM/Pa0sH5NbtDT9K+bilEogwSEpLIygIZueIoyn9Y9stIiSdZJEdxcdnpIuQz3qDT8AvcSKcmkfR5/hAvEiWHRpKXAAAgAElEQVSRmJIOUtI589knhbIyUkhISkVaKoOVA9sw55VODtxUy7qLVbsm3NFYRqCPNQVwcTpPv8kC3ORJrgKT+O+Dm6+lz37LdH0N0mafZ3HbBAzrj2XeUX9MVJUQZWcwtXVl5CecYkbHL2+uMuIvoF3NnjW3gzCs+Cl8QUR2RhyDDPRRm+qHUzeNn8KN7RNz7izrlPPWSrzJSSI7Fkez1ijNPM8UfQUeBXtjbuGL7+1AGn119HjEDjfGr9xDxieYyc6kTkd7Vjj2zvsScoHpekJF8qLAN3CT9ABTg+ZkGUzlxKrRHx5oP8LNEN9wJjVJwFDTkIaTDrNhchvuBCxGt89yFh65z8jKV6mt1ZFBto7sXefK7YRMRi/ahWbUCiYsO4xsE2P2bPWnccXszys3QV4DCPZbxUj7xdx5H0flKk3x2L0TU+3KBC7rQevJwYwcps96n70Uq9+RrX7raVfr6yPQRby6eQbHkdZsufAEpVr9OHFqOfutmrLhTUeeXF7Gu8eh9OvYiRN34ujUuRtX9u9B8yPcvHtwkVkDBrDm8hOUlOvhcySAzrpVCVzah36+IpaZPMHK+xXnw4N5e3otDhNduffuPVWqNWfjIT9a1C/3zerPu0eXsejalWO33tCpUzdC9+9GOwdutLka4EpfW0ceRUkg/raQpGQd9ge6sXDgcAwHTeTI2olEREsycPkuVo3qxNcvqz/AzXxM+/Xg2JaNvJGohOuhAEaZNGT3xK4M3ZLAi+gTeH4FN+9DdjHWZhrH7j1BQa4izpv9GNpNj3cnF1O5+242TmnOROc1vFaoxVLfQ9gZ10Qckmht3Z6th6IRZWeRTTH6LTrIRse2OStsIevtMBjpy9obLxhSK4MxZgZsfV2PyIs7UUo6QKXy3Rm5/TqWFSIZZzedQ9fvIcpWwnXHYWx6NiPmzIeVG4+br+krFUDb1kOQbzUTC7nVDPe4gzh4SUpSitl7LmP20p1mo88SGHODpsqZTO9ujM/LOjwI2ob8V+9ePsFN6OMg3m2ZRoeR7ozaeJ5pXeoSuH4+Q+xceJqVRY9hLixxHkNFUTT6davRym4WQZtcUDBfxiYLGao0tsbW9w6rzMtxbIsroye6cf/9e6rVMGTDwV20qFf2C+C8OotqfTMq9HLlzMpeLLdqw5zgajwN96fkd8sabw+Np2aPZcw4cOdHuMmOY5ZFO1Y/qEr0pd1IZ6XSx6Am4aW74zWoEq2GubH7SjRd6xZj37yu9F9zF78Du7BsooGB20X8R+vzKmQjqoZD6LfhAZ4WNT/3xztn3FDvMIslp14yWl+O8x5DaTU5gLWHzrDQUI1SU/Zydn5X0iID0DDoQKMpZ2gVPolpkdW5HLCDBvIvcOyhwboXTbhx8SjSEWup3syO7l6h+A7T+G6KyeDA1G709EzmSsQh1Cv9+H2LM8uHYDYmkM13L9GrTqmc+xPf3sF11mjmeJxAJJKmef8prFs6kZitthiP3UxWNkhJSdLHJQBPy9qsXzCL8ct9c8C7Xc8prPKYSun3ET9dufkENxpTz7LXsSVPD7nRytyR1gv2snF8O4K3LcZ65FxuJ2XSvs80VnnMoppCKu2bVKVUaxveHXMlUm82d106MLJrD3wuPqSyajM2Hz1EyxoK3AjayIjRkwiOeId8SW0mL12Bo0VT0i+tQa23D442HVnsPJ8XSSWZu+8YEzs2pth3fPMBbpbSxdKcA+s2EC9fnZUHD2JjVB/S37HfZx5DJy8nIRGqavdm1ZoldNAuj799JXquasSNt/upr/gSi6aGnKlrzyPfyfjaaeDy3IjesqdZEabCm8jTrJpqwYyle8ksXp5ZG44xrvtXqy+vw+nWzpC7qraE7VzM8Vkm9NzxGtVnd1C2281F507MbqfJumJtuLRrKaUl3rBjxXRsZ68jJS0b1eZD8PKYj3G9kgRM0qbfrbaMVDjGyjtluHVkPR2aqKJq44fvRB0WDzLH62YJzt8+SeW4xyyx7MbCgBvIlqjMPO8jDO9aH8nMd7iPt2DcqmNUqdYE3fIJBEjqExHgQ02FWGYPasuiq6WJDjtGya8ngrz86BWQtALcFBAj8liNvxpu3tzcR32jcRy5cRtt+Ys0Ml7C2oN+NK0smxNH7dKnGlFd/Vk+oOkHWUVZBC7uSPeg5jzY44RKMQnibx9l9+Xb+K9y43VjGwJWTUFFSuIHuDnuZo35plv01mpIVnYWzXvaY9O+GpM6GOMZEY+KRCZJUuVx2XyAwUbVvnkDmZYYx5v45G+slZFVokzpL29R8ui7kLyQKfA13KQ9DcLQoB1adv6snWT6E7hJxLiJIfUnHsbHsTV3j7jQtK8bC47cY0Sla9TWbEF67e7s3jCPi/NMmLjjLe0c17CmM3Q0t6WC5TqOzer0GW7OLe2Ay/ipmEyZTp0SSvQ01uRZHSuu7FrEjVU9MB5/kIHjtzK/vxS9eliQ2nIW1zZM/KxwdkosDu1U2RbbkAun/Hm1fymPG4/g6dxOeMV24PH5+UxoXZ1Nb+rgt2czN9aMZsyKI5iJ4ca2OgP1ahKhPJDD2x05bGWOQ2gJLlzZzfs9ozAZt4MW/ebj42JJaclUlk6eTYdJjlRXALOmWiQaz+LKekdKfopwEWUysU0NNsRUZ+eeLdxbO4aRyw7RYdkl9gzJoGXVFshP2oN3N0Xa6bSmq/s55rZKp01bMx6mm3AkxJtQlz6M2PiCbWfD6KnxJexCDDcNOk+mivZ4/DcNZZaFAbuTWxFyYic3nLszdFMi0dHHPsPN/ZCVHJ80FDqOoJ16LZY4muMRqsjpUwFUu7mUSm0m0cR4Bpu9urBoWGf2v9UmNmwvS4zrMyOrBae3TOf46Ha4vOnC3UPzKP8xLDDm1l40NfvScMF5jg5VwERHgwsvKrEl/B5Nz/ennnUYx+5fJdpzCgl6PenWTA2vOX2Ze0jEqcBTVH3ghaqpE15BF1lv0Yw4zZEc3zCHEtlRLOlkyqzXWpzfvQT1mhWI2GiL0ZhAAmPC0FPKZKZ5K7xj1bh/ZssPcGPnm8L+DYPp2s2B7guOsNKmBXcPzEen9xLc9pyle+VXdDDuSlnbzRyYoo+hZnWuxVZlbcB+WmjWpti9rVRpOoJR2+7i2kqS2ZPm0nnKZKrKZWOqq0lqmzmE+kxE5asFi7Vj22C39hlTZvbDc/5KZhx/xgjd71Z4gDeHxqP6T3CT8QoHcyMCkvWIPLkRKdIZ2k6dQ8l6ePVSpvfM3Zy8G4VBORlOeI7AbPpJ1q5ZglWvbjjsuMvy3nVIvnOAippd0Z11jqOTDHNW88RX2F4n9Aaswjf8Bb1UZYnYPR3NwWuZt2YjMwa2p+eKELbY6yH1/AL1dFqj0MeHtk/nsjPBkLP7vKgu/QbnocZMu6DC3dAzlE09T+tKbZCec4TzTq2/meWy3z+hX8t6PNRcwMkNY1H+SRTZj3CThVP3hiwPk2WV3y4MZSJp1qIX5dov4pzPYI4vdaDv0iCCQwKpU6UciaF7WbLnFhOnjUQi9iSN9AfTwzWQJW35P+Gm9sidrB2hgZddP9yCU/E+EohZ8lbUzaYxdvVBBmqIsGzVgTe9vLji3ZueelU4fKs4y/z30l6nMicc2jM6vCInd3rBpW1clmjFUN0o1Jp2pablHHymWHJijT32i8+x5fJtuqXuoZ6pPSp1h+O/0x6P4casfNCAi4FHaFzh231mYrhp0HUGNXUnsW/zEBx76hMg1YFLAZt4tlEcLuaPre8RJuqqYNOnE0Gx6oTd8idifDXM3TWIeOOfAzeDmhtztu4o7m1yZNuE5litCsNisifz7Nsjc9uTuq0XsOzoZdoWv81qvzScXfp/8U+UyHLL9kw7VZxXD/YzsbkaUW0nU+fGAna9NOP+5ZW0qVeGin282TynBwGzOtBj4QWm7zuBTd0sLPv2IiLViDthG7g4wxCzxVfpN8mH2aM7UkkqnmYNa1JvpB+az5ax9JwUW/cfxVQV5natjcdDfQ4dWMnLzbPpvOwIZx7dQcFvCC3t9zDe9yA9Kt3HpK09aY0HEi6GG5U0tk3ui+WmFzy7e47yigVoA9W/+N0X4OZfiFYAbvlr4SYtPhJbw96UGrMOZytdJOPPodnSGc+Du9Gv8gFunHtXI7r7Xtws9HKWwp9e8sGovQ+brhyiRY0SOfbFP7nK2etRZLy/xOq1gfSauYbhrRv8uHLjNoxBJyvhaa2fAy6V1PTQqS2Jo1kr4vutZHj9ZObazsNgrg/jO9f/pmtkpCWTJF4W/uqSlJZDSfFn4T8FoFcJVfjtCnwNN+8jD2LQvDfNJ+/Dy7HtP8JNA8cA1k00+QncmDBg1XkW9Nfm4sqBGI7358TtWFqpvseqUTOCNUZzfa3Vlz03PsN4dz+A6c7+PIt6zsOQQO7V7UP0SW/uevagzbQwLr28hZZKGpNaG7KtmBlPA1w+a5D45Cj6qp2o6x7CnpHaOWNJJEplZnstNsZ14f5pKzQraFPWZiNnXHqT+Pw82tXEYWnX8O92nwZ1ehFfQxvtGqXIeHWLM2Hv2HzlFhWDptBpTjAHH97FWFE8qrJ5fnsfs5bsJyr6OfeDznG/sS0vDi+hwsf9IaKsCLTKN6fEIA/OLLMg+eUlGlVqTkNXMdyk0aKyERUXncSjkwJG6k0xcwtiWZsUDE3MqD50F1unduHRqWU077SEyYdDGG38ZbfQp7C0mQFXsW9ZiQPjzOm9O4VT5w7wbHW/H+BGvOdGOf4azks2c+n6XWLvh3MtuSqHTp9EO2o1ldpMwfv6EyzVy7F9Uh8G74wl6dFplhg2wFmhPUG+0zk+pjXTrxjyMtw9J1RIfGXFP2NMR012JXXmtJsO7cw8KV7jAQ3tjmG0szcLlOy4uWsKColhuK/azOngSN4/vcXlGBX+X3tnHlfj9v3xd4MGZJ7nOW5CFCWJUIZShFzzUEkRxUXXkHkoZUhml8pYEiLDjUqDkswX15B5SGZCqtPv95xC4Xu/vlfoHM/zevkn59l77c9aez37s9faa2+PiELn0WZqm7ii2aA8l24UI/zCCdrVElKU0vAx1cflgS6XI1ZTu3QRjq62o93YGGJSTqGnkYF7TxPWpjb4DLkxZYjXMTQ0JJTScyImZB4VVF6x3rUXtsvjMGmrj7KihL8Soymh40T8Dhc6aFenWI817Fo0HA0FuJO4jmr6OeRmWZ8a3D6/C/eFody9d4fL0Ue4qufEgz2e+c5+ZDxLwFS3G1FXn6DXewYx26Z89vzYfyU3PdoS/LgZN2K3oqyQga1ZYyIxxsdSje6TthB6+g6da6twaLUj5tMj2OK3jB6mHem/MomNI5rz+tJeKjWxwNz3L/yHNfpAbkKmoNt/GSti72Ono8a5kKnoDF3Hso3BOFq0xmTGfsKmmlHk7lE0dU2o5biTJidc+COlOXFhG9Es9hhP23bMPl6J8wkHKJt+GqtfWpBq5UfSqgH5/NDViGW0MJvAuJ2Xmdq16md91Cfk5u0pDOuaoGDhQcxyW8h6y0pbTdyPtiTu9FZurhpJR/dDXLtxkRollMjOek7CQT/mrYzgbfpjEg7HoD95J9uGVsCq6adnboTITaMWJtx7rSpNs66g2xb3SbPo30WLsCl96OUZha5BS0qpZnP5VCzPSvbi+oX19GtZhQeNxvBnwGSKK0i4tX0auva+VP3FgB4DnBhrZ8pFv1HSc4nbE09hoV2B51cjqadtRr/1x5lbJ5aGpuMZ4R/PZItGxHjZYupxhj2xoVz0n8buY7dBQYn+czbQ6dEaNC2WsCDyFA765Qmy78rAQ8pEH/Fjp6MpvskNSD2zTZp+dcp/JLojDhGSfAFFjxpYLmnCuUc7aJhLbo40cOKSQG5+02dcqDp/noxApzi8fXSSFjrteVGiIZ1M++E204E6H5GCU5tcaGm/lW2Rh5ll3Ybu88LQuuTFgNUXuXp2CUY1zBi14y/GdVTHobURAZKu3ItZSgk1JSKXDcJ8xkkO3jzBy7mGWPhkEnMpEb0KSghnbnS16vK8SBXu3n/KOP8I5trokvH6Aq0qt+Bq6Qa0bliZt8/ucjjhCvNir5I5qwvTkmtyPiaIhmXeMM/KkFmpOWlptUtKOOAxDPPpiZy6m4RWqf/lLGaBfzq/ukGR3Hw1hD+kgZ+S3GS+vMvM4Vbc0h7Diin9c1K7sm/TrVEvhgWGYt2kPJLMZ9hoNcBkbRwjjepy6/guhg4Zh51/PL2bl5OmFQgV0YTk7ZxNOAlBs3syM0GHM6Hu0nMxH0pBZyKcuRl53YrLi60+OXNT/PdI3NuXJTHABfs/3nI4wpe8NVlObPZg7JJgMhRzt9qyJTTpPBqf6QOQ7T2RH2LzMtlpXnLz5noUhoZdaDHmA7nJuraFmlqDGLLpNJNapGHcojU1nXawZboFVz6J3JjQf1k08/q3IM5nEEbjQ/jzfComdZ/mkhsXTq8ZmktulrNvUhXMDK143NKSX5vXJc5/FVFVLPORm/j752le8g0TOhixVaULN/d5vMf5xZVQmmv2oP7CaMJcDD5DbkagV6kJxYes5siSAaTdiUGnRnsaLjnJzt430a5lSZahDb31a6KAIgqo02fUKB4FOdJ9dhIHb11AXwUenQ+hfZtfyTSypkfjqkStWkGclh1393rmITcXaVlJD1UbH44sG8Kr+/E0rdIGLSEtzaEKg9o2Y991ZV6lvaSRUQ/8NqzglzcJGAnkZlggmydbknzIm9YWC/k9LAHnz5CbaWFJOBtXZbdrT2yCXxMRHcpN34/JjTlXIl1xaalLiJoOY7q05npMKDuSixEaEU7z2yuk5GbNqRsM0S7Plgl9GRqUyvNrkUTP7MqvPkm8evMGtSpazPbZgH2nhh/8Chn8uciOLgtOM94ii+DnPRlRKZ5ViRUpmRyC5uSdrB9RnxHGRoS+qsoIc2PunDjAlsQMAiOj0Hm4iTqmU5m1aj6+LuNo5byKTe79UVNKY2knfVxT9XLJjbKU3BiPOcD+239jUlaCe492rH34HyI36x8zfqQOMxYcxHvXYRxMqhIwwYYhKxIZO3IIaipKKCooULFuG+x6NqatdnXK2Pix3WMgArV6T262JjO94THaGw9A0tYaK62qRK70Ja7JiE/IzePLuzE1tSP5YRqq9bpw5mQQ+evY5Zjpk7Dx1LL2wj30Eq4d60v/li2RkJWdjRJpzBvSGY9TZUg9u4cikldYNq/KC51ZeFu+wLCfJ6vibjCgmQabJ3VgzPYixEYuxKy6NtWnH+CIuym3In1o0GEGC5P+xrFZWSRZWSgoKnI1agV6nScxdncy003L8efCPvTwuMGhU5uwr1qfVw7+/OU7kBdngmjW1pbBmxKpGDSUSUlliQ7fQbNidxndtRHhyhNJPDwNpdQYOlVth2TcDuIXdM/j696wZnh7Ru+GM8mRNND4/GH9T8hN5l+0q9OWt2aziVszUnoWbI5lXZYldyD+jB9XlztgOv0w129epLqGEuFLHbGesZ0Ovw6kocZrAhavRdsthG1Dyv9HciOcudGaGM7WsfqoFVFBTaUICqSzd0Y/enjE8uuQgVQrrSq1jRLldRjjZE7vllV5qj2JsA3jpLYhyZZwMSmabX6+bNi0H0PXP3CrG4Xe4CA2HTuJdbPKpJ7dhWYLG2y3JTGjWjSapuOx9zvKlO6NiF5oi5nnWfbEhvEydhNHL6YCinQYNgGta7407L6E+ZEnGalfnkD7bgySkpsA9o42Y9GFGqSc3yGthBexaCCmk5MIvXGWzDk1sFpag+Mph2hWKoWBBsZEa456T24mhJXm8Kl9aKnlrCVSU66wdcMGNq1exJPaA0g8uJqSeVI7Uy7sQVenD03GjuJ0QDDL9yfR8PYafrGYz+QFlni6nSPqViR65Z7h3KYNa1+ZcC9hJSXVlNg5w5qBvteJuBXP49mGdPdVI/5KBM3K5JAboaBAA+uZpJ9cz/kiJoTvWkM11SsYVW7G9fodGd6psTSVXklRhU52rsQ6GuN2oTJnj+5Aq2w6c61aMzu3oEDtkm8JnNyf/quSuZwcR60ShaMwxL/98Ivk5t8i92Pf++nIjST9GTP6GROu3palbiNyiI16GRrVroSvQ3tCFC3xGGnKq6QN9Pe4zL7ILZRNOcyvPe1pOXUtg3WFQqYKlK9ak/TLh/ENuoB1786oZL5ghdsgbjV3Z4/3oM+SG4fk7lxe2vP9rh1CQQEzE4q5RTC9Q3neppzAyqwP1v5nGJ7n0I1w0PB1eka+ggJKKmqoqeQtoPtjDUns/dsikJfcZD/5CxNDQ0p0W8zOBf04dyiCk5G+jFjwJzP2nmNcK7Bq3ZToYl1ZOaU7ATNncfjGSxbsEdLSTlCvqUBuYnLIzdKBGP228z25GdrEgATtsdLITb86lbneZTl7XUqg33oAzSd4Y9dKDZdho7lYPW/k5iTx9y/kkBsTI7aq5o/cZL68jnMHXTalVGLdioU8jvRH2XIG9+ZasDq1G9diZjPKsB6bH5ZlvsdMkoOXsiI0GuN5SYQ6lGGgvh4JCm1YPNsW5fR0Nm84xNQV87gdaIfFnCQO3ryIgSqkJPmh19aB9pMX0euXLEYNceFmE6d8kRuyM6V9BdzXYL7HbG7t9GHZzkjazTvOVpOz1Gs+jl5z5qFXSZUKVWrQvIUBZZ/G0MbEjJrDgtgiJTdetDb3wm3fx5EbD2lBgWlhJ3LIjUsPbHYI5GYPN5f9yvCA3LS0rrWY8aAbl8MdGdRIl5umznj3M2b1XCd2J1dhn5Tc5ERu1py6mY/cvLq0j9469bmr2YcRPXQpWrQEvzQ1QKtO+feH5AVLfHp+JzWa9OK1kiJOy8OxLRtDS+tpvFFUYvfpe5jXTcWyeVuuaPXAa2hXNiwcReCpUoRE5ZCb2qZTWH3xIZU39abX3EP87h/H5N712NivNcP2KePrO5WOndqRfWoVjbr8jsW0jfTUiMfNfSVZOr24ctg/f1ra5E44bkzj9NWDzDPWZtvDmgSHhVLi1BKM+i5g1PwVtG9cnvsx+/m7rDkzhzbEULs6pW38CPb8mNxcY3LNP2lp4kTHKYvp2TADp8Eu3Go++iNy84ZJ3Zqw+ZkBS4b/wmCH2dj4RLHSrvl7H5z1+gnRsQk8iF3N0Dkh9Ju+hoHt9DForcmxuc70C7xGyN7dpB+cQieHNYye50PD7Ahc3UJwDozGWfsJHXU7o27swMSBtZnr6k4Rs+kcWjqAuV0a432xJj6LXUjwn07A31U4f2o/1dJPYKLfm2ZTtzGzozq99Y24Ua0Hcye0Y7nbRO7/4sCJbb/xR/8mOIUVw3eFO9f3e7E0IpvI41FoHJ1J2wHL6eU6k1blLjN+UgB9/I/i00eTJ2e3oN10ME28j7BvrP57p5SRkkgno84od19CmMcAcoN8nzityMVDMHMRztwk0kd65kbCvP56zIp4w/T5Xmgqn2Pw8Gm0nbaVnW7mxK/7DaNRfniuX0dHAyOSA8YyYOVRPBYvpczDYOzHrqfN77uk5MayaXsUHUM4OMfs/Zmjl1cj0NQxQdstkl0TjVHNkyp3PWIxLbtOxXrcAqyM6vLkRAwHXxqwdk4HrJpX42mTiezbMJ5ikjS8xo0m+5cuaJe4y5SJblTvv47N9hVoqN2ZUl3GMXeoEYe3zWPJgUdEH0tC+44/jTqPw94vXkpujiwcTmePc+yJjcCkfv4yyncPzqahxVJp5GakQXkC7boy6HARoqOCSd8/gQ5OftjM8qOf1lumT3DhQZ0+nN21iJv+A2g2fBujvf2pfG8/c323UcJ8Fn9vFNLSWiGQm0On99NYLYubUd54HFTHom0dAhc4EP7ShDMJGyiZ5/xPxuOrDGvfkM2XFChfy5q4k5up9CAKzXodeIACRTq6c2vHZEqrKRDubUPniWGM9vLDrMZTpkz6nbc6Izi5aSrh01pLyU3C1cgP5KZRbeqM3Il3x0d0s3Cmat+5hC61Z37Xpiy/VAXvheOpoPyG6G1BDFzpz5M/hmMyIZBfZ3jTofxtxk1YwouGNpzdv57aGk/xtu+GW7gSd/86TNlisr1OEcnNt13bfKvWfzpy8yL5IJ3MhvFAUoxsSXpOtaFGtpzZ6YbKkyvMnODExsgbqJZvybagpTSvU5bQ2cMYufqwNO0jI0tCdrYSg+duZopVbTYvmcKMdQfIVFbF0mEm0+16SSdz/ntuMolc5cqEG2bEz+n2YYdV8pCZNtaoOwfzm1E5oUQSW6YOJjCjGyEL8uTbfivti+3KDAL5CgpkP8LOxJDo0j04u3UcznWbEZoNBo5erB7fm9Iq2dw6sYkevaeQolyBiW4TOLR6Pl19YhlS6QytO/XCatZuJls3JXGtI9ZzwtkceYY2NZ8xpoMFpxvYEu79Kw4tm3PbZDqh3r05sH4GDtMDUFDQxrnLS5bd0SMx0IvkgOH09TzL7pPRNCmRzszePQhVNiZxi3s+bF8kJ+IwfBxRl5PRqN+fndunEDq6C0FPTEjYN4PnKcdwHjic8Atp9By7kDKxrlzuGkaArRbPr8Yze5wrW4/fhOJFGb1wE2O66JK03omhPmfYnBiDrkpOhbFA30mM89yOevEWOLe/jdcdc45tcadCnpP/z+4n4DrUjgPnXmLlvJAKcWO51DmUDf2zsdE3JPJhKdSVFUhLfUBlczfCPU0Z0a8vVfuuYeXYztyIXonloJU4bQzDzvBDadhHsb60HbSMsQEHsWtdmQPThjAyLJ2gnQHcXj+S33a84MSJQPz76+P90Ji4sPk8PBqAeb8pvM0ujm1vY3bH3MVrWyBN7q2nxa9zmX/gOH0blSNktgOuO1O5lBjMbhcdhm24K630lJX+ipeK5dkUcZzuv3w4/5P5+hYuRm0IeVYKv70HMSp1h26tu3NZ0oFjZ/+gQjEl/oraxADbiTzKKI5d/16EhMYyNzCExo+Dad1vIbPDzzCobsfm80oAABCQSURBVBoLbMxZlVqDiJ0BVMyIxKrtSM69UGbmrlAGNy5NsOdQfluZRJ32w+nf4B7LE5WJ27EctTy7zrvm2fB7yAv2Hgujws1D9LZyIKv9JPZ59CNuoyfj3ddyK1NCrfY9Wew1j2bqz7EwbkkpKy/WTuuTE7k5vi73zM3f+PSszDafiYz32oFaMT2cja/jlWrJiU3TKFs0Nz3v4mZ0uk9imM8+nA00mNivE0E36pJ4dBflcy+MeXUzAd021uS94qVa4x7s2+fJITdzBmzLIC72T3QqZrB78VycFvkB1XD2XMDYvsaoKEi4kRCKed8xPMnIpmXPsaya7UT5EipkvryBY6+hhJ27RNk6HVn5x0IM6pVDkhJC7QYDsVx6mKWD9Ui5EElPS3tuvHqDloktaxdPpHoZNbLfpuI2yI6NMccpVrkVi9d406VZTaHeFWErFjBmzkpeK5dj6LQ5TB/aFSUFBc4HTUJ7QABrTvzNMK0P99Oc2+WFyaDFzDpwmhH6OYUCPvfErnamn/cFfA7vontuwYG0lIsscxvL8oPnkKioMtBtMRMHd6GkijLpzy4wobstwVdvMGTtLqa0Ls8UR1u2Rl6gWssJNH3ky8tuPqzqV5ahHXrD4HVs+73de3KTlnIKQ2NzGjoG4TfKIB+5Ec64HtvuzYRpy7nyIoMKhmYs81lG63IKDDTV42XjkWxa7EhRIR01fh1dbWfx6Gk29Qxd8F89Spomd37fOia6eXLy0WvK6hjh6e1Np/qVeX3Cj7b9ZtJ/yR5czBoQv3wsA3z/ZsOeYNrUzl+++H7kYtoOXsfvwX8yRLccu8f1Y0xMEXaErKNJmVeELndnincITwFdGyc8pjnToGQxJOkPmT/KjBX7UtDr8zudlA6w4pEpSWud2DG9C7MPlybo0GYaqkLm08vY/GpOwtk0NKqYsiTAA1PNcvlVJHmBv1s/Jm86Sf2+Xvy50AbFjOcs7t8Er7hMurtvZYltG2l6XMarVAK9JjJjzUFeZStgOPQ3PCbYU7OoEhEe5gxer0ZY/A4al1Yi4+ktOrUxoNbgFaz4rSuJK1wZsOgIbhvDGd7gOd6uI1h78Dxvimlg7TyXhSOtKJL1go0Lh+HmG0/lltZM75jOmN2qHApcQvXsazh0b06k8ghOHZyfb5NDZj64eQQVyY0sag1+OnIj5PtnCeVd8j0K0mov71IRhBKWKCiilFuzWUhPkP4tzyOkFAhhcoEdZeVezKn4/xWEPlRrzpuWJvxMIEUK0lKreR/hzhsFBcU8733+d7JpXqLUBYXAx/fcHPK0wcLzKocuH6dV8SwE63xvk7mdCqkv2QqCzSlKq2opKAj2mWP/734r2KVEko2ikpI0vVIiES7TU5TaqfC+MA+kNvvezoX2hDQQoWKWotSu878vkcoi/N/Hj2DrAukX7F1oUzqv8vxW6FuYZsI8EhY22cLvcifU+zmYOx5B1py+QVFJSFXLeYT2hX6E6GpeOT+WRVpl7KO+EnysMHQ9x86rl+hWJZ357Vvhfqo0cedC0a1eXBAs35zPO99zO5f6gnd/z5E5Rz5BUClmSjm6kCCkeOQuwgWcpfLmFCIRdKOQi/fHbfHiJnXq1sNo4j78xpmQfMgfnc4jsfM7yqKBOh/5llw83+lWsAeh3/clrLORCJs17/qWZKMgYPmu79z38o5DaiPSdoRx5diMULY5S3hXkJvs97aRV5h3unrXt1TX7zF4J0d+G85nf8CtOB9qtnVlatgNZphW+e+6/gTDHJ0rKeUtof/p90BIv3n7NBnT+pq0X3Wcab10ckpw550DeWxO+K93mHw8B9/Z7TubF0obh47szOQbTQnbPo9qRXMOr/+394UPRL459VlZ3jC/rwleFypy9nhwvjuUVjq1ZEZ4JZLO76bKP9wg8Lk5lTP0nHkuPO/1/m7O5X4fBT8jYPdhzIJ9vJvHwhglH/zJe+PI748+9Zd5bOOdL/rIT+XOfOm8z8kUz/VZOZMy18ZzKpQKMuafq7kyf8aXfBAx5xv/uXmdY/85PudzPvgdbh/mhqDHT32f1AZy/V/etcenfitnLZLXzt75so9tT5iXgs4+lutzOpbOtY/8m4KikCb6ke7zrXFy2pfiLXxXcr8Jd04God/Glq6LjrHSXvOr7g4rqO/n17QjkpuvQe/HvfsTkpvvA3b+yM336VPsRX4R+JjcPL10gHYGFjSaHsuW0XryO/DvOLLU07sZbv87EZfuSXeQX6rUYOaS5YzppY/qR5sS31GsfF1lv33BbJfBLNsSRaaiApkSZQx7OrF2yUSqFJPfE3h/hXvRtuc0FJraEL93JfW+8RX2zy9F4rn3HhOc+qLxcW3gr1B+dtZb1i5egLb1aPRzi9J8RXP5Xk2/f5yOeoaUsw1ih3v3PIvKZwQtWUVK1baM6vUhVa2g+hXbERHIi0DwZGuG+t/n5JVY6sr2cRvpsERyI5v2LZKbb6Q3kdx8I2B/0mYFcvP69WtKliyZg4AkkzvXL/G2aDVqV8qfI/6TQlQgw0579IAbKQ+lO8CqGhWpXb3shzNyBdJDATSSkUbytTu8zshAUVmDanVqoJG/em0BdFK4mkhPe0TyjQeoV65FzdKflnIuXNL+GGmy3r7kWvItNKrVo2Ju2t2PkUTs9WdG4PHta6RmqqNZK89N5DIMyNOnTylVKqc6rrw9jx8/pkyZ/5ymKsvjLXTk5uHDh/nzv2QYXWExqq7+7qJPGR6IKPoPR0BIe8jMzERFRX535wsKZAGr9+knBdWoHLUjXE6aPzVLfgYn77oXdSebtiqtrJp7ebdsjuCfpZbneZeeno6qqhyEoD6jQnke2xuhmqha4SlDrpD9zgvIgQdISUmhYsWKcjAScQg/GoFPIjc/WqBC3H9aWhpFixaV5tiLz6cIpKamUrZsWbkkgM+fP5duKBUpIp+hLOF6gfLlhcp48mfbwi6yhoaGXOpO8EnChkJhWmwVlG/MyMhAWEgKupPHR4zcyKZWHz16JI1KFRZfKTfkRkxLk80JUVil/vjMTWGVszDI9fLlS+kCV16jE1+LsUBuBKcvj/gI5EZYQMprhFPYMKtQoUKh+WB/rS3mfV9YjJQoUUJuyY0QTZbHTA6B3AhZKoLu5PERz9zIplYLXVqavERuRHIjmxOisEotkpsv14xIbv4ZK5HcfLktFbZfiuSmsGnky+QRIjciufkyrArbr0RyU9g08mXyiOTmy3D6n38lkpv/GTLxhX9AQCQ3X24eIrkRyY0Yufny+VJYfilGbgqLJv43OcTIzf+GV2H6tTDnhBRleXxEcvONtCqSm28E7E/arLyRm6yMlxwP9ifkxHXUi1Vm6KgR1Chb9BPtpqfdY//qP4i994wadXQZbNsbDWXhDp43nNm7he0xF0ClFIMcR1O/ioa0/K1IbkRyI5Ib2XOUIrmRPZ0JEovkRjb1JkgtkpvvpzvxzM33w1rsSYYQkC9yk83GBdY4LzhCizYGpJyMIa1mfyL2L6JGnhK22ZmvGNu3KRuPKWCoU4vj4bFoOa5n9/xeRK53YOD4bWi1aUf6lQSuZ7cm8uhmGpZRE8nNf7FrMS1Nhib+R6KKaWmyqTsxLU029SZILaalyabuxMjNN9KbGLn5RsD+pM3KFbmRnKddFX3Ubdexb3ZvroeMR8vGF8+Iszga1nuv4ec3tqBZZzCOO08z1aIh21116LP4KadTjjLLqDk320/l6ApHnhxdRe32TrgEnmR6d22R3IjkRiwoIIN+UozcyKDSxMiNbCotV2oxcvP91CdGbr4f1mJPMoSAXJGbS5up1nIYZvPDWefQhlfxvlRq78zoTSeY07NprlYk3Nkxhtp91rE69hpDWlUkYWlv9Mfu4Ejsn4zqY0kt+43smmpJ+qU9VG5uRU+vKNaOMBTJjUhuRHIjQ77tnagiuZFBpYnkRjaVJpKb7643kdx8d8jFDmUBAbkiN39toJKhPXZ/HGdWzya8uRZC5cY2WC6MYsNIg/fk5tYWB2oN3syusw8w1yzKpe3j0OyziB3Bm5nqbIfRlBBWjOjI29Q4qtYzoYXrdva7m4vkRiQ3IrmRBaf2kYwiuZFBpYnkRjaVJpKb7643kdx8d8jFDmUBAbkiN+fWU9FwBJaeEay2N+T1xc1UbjEY18CTTOvWOFcdWdzc7EDtQZtYH3edQS0rcG7jSJoM8ic+djtDevVC03ELIZO78/ZuFFUadqKvzxGWDdYXyY1IbkRyIwtOTSQ3MqilT0UWCwrIrhrFtLTvpzuR3Hw/rMWeZAgBuSI3r0/SprYxGoNXErbAhosbR6Nrv4fNCcfoVrcoly5epURdbTTuB1Bfyx6nrSdw71Ef/9F6DAmozO3r63A00OW+0WRi1o3ifvgifrGYzaLDJxluUEskNyK5EcmNDPm2d6KKkRsZVJoYuZFNpYmRm++uN5HcfHfIxQ5lAQG5IjdkssTOFPfgC7Qx1uNi1AHUjd2J2DqJt6e20sxgGK1WnGD30HL0NWhF1AN19JtVIubACTos2c3GEW0JnNoLB58oDNsbcjfpIE8qDuNo9GKqFVUWyY1IbkRyIwtOTYzcyKCWxMiNXChNJDffXY0iufnukIsdygIC8kVuQJL5igPbgki8ehuNKnrYDzShmKoyVw8tpKnFYnxOX2Jo/aJkvEohYO1Wbj9Np27LTvQ1bYaSonDPTQbRu3YQde4yamWa4jDMjBJFVaSqFO+5+WeLFktBy8KM/7yMYilo2dSdWApaNvUmSC2WgpZN3YmloL+R3sRS0N8I2J+0WXkjN59V4+sUnHq25XHrBQRMtUL5X+paJDciuREv8fyXk+cHviampf1A8L+ia/HMzVeA94NfFc/cfD8FiJGb74e12JMMIfBTkJu3z0k6dZaqjQ2pVPTfK0ckNyK5EcnNv58/P+pNkdz8KOS/rl+R3Hwdfj/ybZHcfD/0FTIyMrK/X3ffrichciMYTrly5b5dJ2LLPw0CArlJT09HQ0Pjpxnzvx3oq1evUFdXR0FB4d82IdfvCX6pdOnSKCoqyt04BWKrqqpKkSJF5G5swoAKW6pFQYL89OlTihcvjrLyv43ZFqQ0BduW4JOE+aamplawDReC1jIzM6XfpmLFihUCaQpehOfPn1OiRImCb7gQtCjMuVKlShUCSQpeBCGdUBhbYVkHKKSmpsoFuRFU9fr1a+kiS3xEBL4WAYlEQlZWltwu2r4Wn7zvCx9bJSWlQuPUCnJsBdHWmzdvpASgsDj9ghjTuzaEXWRB9/JI3IQxyrPuhA0cgdjIo+4EnyTMN8E25e2R92+TYJfyGgkWSKnwLZDHp7CNTUxLk0crE8f01Qj8FGlpX41STgNiWto/AykWFCggQ/sBzYgFBX4A6AXQpVhQoABA/EFNiAUFfhDwX9ltYYtyi+TmKxUqvi6fCIjk5sv1KpCbokWLyuUO8Jej8J9/KZKbgkDxx7Qhkpsfg/vX9iqQGyFqI49paUK0VIgoymvKtDynbolnbr52Zn/5+woPHz4U09Jy8XqXoyuvqW1CmpWQiyws3MXnnxEQsBL+yWt4vCD1L3xshfQWeUy7KgicxNSmgkDxx7QhpDoLC2R5tG3BLgX/Jo9paYJPEnQmj+eJhLQ0Ie1OXr9NhS29qSA9jzDn5JFwCxgVtrH9H0d4o+/9e4mpAAAAAElFTkSuQmCC">
          <a:extLst>
            <a:ext uri="{FF2B5EF4-FFF2-40B4-BE49-F238E27FC236}">
              <a16:creationId xmlns:a16="http://schemas.microsoft.com/office/drawing/2014/main" id="{0595BBB9-3217-48AF-919E-E5DFACA314BA}"/>
            </a:ext>
          </a:extLst>
        </xdr:cNvPr>
        <xdr:cNvSpPr>
          <a:spLocks noChangeAspect="1" noChangeArrowheads="1"/>
        </xdr:cNvSpPr>
      </xdr:nvSpPr>
      <xdr:spPr>
        <a:xfrm>
          <a:off x="9512300" y="210813650"/>
          <a:ext cx="304800" cy="2996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107022</xdr:colOff>
      <xdr:row>924</xdr:row>
      <xdr:rowOff>746847</xdr:rowOff>
    </xdr:from>
    <xdr:ext cx="8757723" cy="4225225"/>
    <xdr:pic>
      <xdr:nvPicPr>
        <xdr:cNvPr id="20" name="image3.png" title="Image">
          <a:extLst>
            <a:ext uri="{FF2B5EF4-FFF2-40B4-BE49-F238E27FC236}">
              <a16:creationId xmlns:a16="http://schemas.microsoft.com/office/drawing/2014/main" id="{55B15E13-A604-47EA-A213-0CB4E28A5C6F}"/>
            </a:ext>
          </a:extLst>
        </xdr:cNvPr>
        <xdr:cNvPicPr preferRelativeResize="0"/>
      </xdr:nvPicPr>
      <xdr:blipFill>
        <a:blip xmlns:r="http://schemas.openxmlformats.org/officeDocument/2006/relationships" r:embed="rId5" cstate="print"/>
        <a:srcRect l="2192" t="2026"/>
        <a:stretch>
          <a:fillRect/>
        </a:stretch>
      </xdr:blipFill>
      <xdr:spPr>
        <a:xfrm>
          <a:off x="9619322" y="209230047"/>
          <a:ext cx="8757723" cy="42252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9</xdr:col>
      <xdr:colOff>809624</xdr:colOff>
      <xdr:row>5</xdr:row>
      <xdr:rowOff>47625</xdr:rowOff>
    </xdr:from>
    <xdr:to>
      <xdr:col>20</xdr:col>
      <xdr:colOff>502469</xdr:colOff>
      <xdr:row>28</xdr:row>
      <xdr:rowOff>111125</xdr:rowOff>
    </xdr:to>
    <xdr:pic>
      <xdr:nvPicPr>
        <xdr:cNvPr id="2" name="Picture 1">
          <a:extLst>
            <a:ext uri="{FF2B5EF4-FFF2-40B4-BE49-F238E27FC236}">
              <a16:creationId xmlns:a16="http://schemas.microsoft.com/office/drawing/2014/main" id="{2C846537-5095-4C5D-9611-85177A75143A}"/>
            </a:ext>
          </a:extLst>
        </xdr:cNvPr>
        <xdr:cNvPicPr>
          <a:picLocks noChangeAspect="1"/>
        </xdr:cNvPicPr>
      </xdr:nvPicPr>
      <xdr:blipFill>
        <a:blip xmlns:r="http://schemas.openxmlformats.org/officeDocument/2006/relationships" r:embed="rId1"/>
        <a:stretch>
          <a:fillRect/>
        </a:stretch>
      </xdr:blipFill>
      <xdr:spPr>
        <a:xfrm>
          <a:off x="10937874" y="1063625"/>
          <a:ext cx="12265845" cy="5413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57150</xdr:colOff>
      <xdr:row>110</xdr:row>
      <xdr:rowOff>-19050</xdr:rowOff>
    </xdr:from>
    <xdr:ext cx="7486650" cy="38100"/>
    <xdr:sp macro="" textlink="">
      <xdr:nvSpPr>
        <xdr:cNvPr id="2" name="Shape 12">
          <a:extLst>
            <a:ext uri="{FF2B5EF4-FFF2-40B4-BE49-F238E27FC236}">
              <a16:creationId xmlns:a16="http://schemas.microsoft.com/office/drawing/2014/main" id="{5C8617BD-4DF3-4C70-9846-C3F42082BE12}"/>
            </a:ext>
          </a:extLst>
        </xdr:cNvPr>
        <xdr:cNvSpPr/>
      </xdr:nvSpPr>
      <xdr:spPr>
        <a:xfrm>
          <a:off x="57150" y="42005250"/>
          <a:ext cx="7486650" cy="38100"/>
        </a:xfrm>
        <a:custGeom>
          <a:avLst/>
          <a:gdLst/>
          <a:ahLst/>
          <a:cxnLst/>
          <a:rect l="l" t="t" r="r" b="b"/>
          <a:pathLst>
            <a:path w="7488555" h="120000" extrusionOk="0">
              <a:moveTo>
                <a:pt x="0" y="0"/>
              </a:moveTo>
              <a:lnTo>
                <a:pt x="7488025" y="0"/>
              </a:lnTo>
            </a:path>
          </a:pathLst>
        </a:custGeom>
        <a:noFill/>
        <a:ln w="9525" cap="flat" cmpd="sng">
          <a:solidFill>
            <a:srgbClr val="000000"/>
          </a:solidFill>
          <a:prstDash val="solid"/>
          <a:round/>
          <a:headEnd type="none" w="sm" len="sm"/>
          <a:tailEnd type="none" w="sm" len="sm"/>
        </a:ln>
      </xdr:spPr>
    </xdr:sp>
    <xdr:clientData fLocksWithSheet="0"/>
  </xdr:oneCellAnchor>
  <xdr:oneCellAnchor>
    <xdr:from>
      <xdr:col>0</xdr:col>
      <xdr:colOff>57150</xdr:colOff>
      <xdr:row>110</xdr:row>
      <xdr:rowOff>-19050</xdr:rowOff>
    </xdr:from>
    <xdr:ext cx="7486650" cy="38100"/>
    <xdr:sp macro="" textlink="">
      <xdr:nvSpPr>
        <xdr:cNvPr id="3" name="Shape 12">
          <a:extLst>
            <a:ext uri="{FF2B5EF4-FFF2-40B4-BE49-F238E27FC236}">
              <a16:creationId xmlns:a16="http://schemas.microsoft.com/office/drawing/2014/main" id="{2B3E74A8-EBD6-402C-8680-3845C96C4100}"/>
            </a:ext>
          </a:extLst>
        </xdr:cNvPr>
        <xdr:cNvSpPr/>
      </xdr:nvSpPr>
      <xdr:spPr>
        <a:xfrm>
          <a:off x="57150" y="42005250"/>
          <a:ext cx="7486650" cy="38100"/>
        </a:xfrm>
        <a:custGeom>
          <a:avLst/>
          <a:gdLst/>
          <a:ahLst/>
          <a:cxnLst/>
          <a:rect l="l" t="t" r="r" b="b"/>
          <a:pathLst>
            <a:path w="7488555" h="120000" extrusionOk="0">
              <a:moveTo>
                <a:pt x="0" y="0"/>
              </a:moveTo>
              <a:lnTo>
                <a:pt x="7488025" y="0"/>
              </a:lnTo>
            </a:path>
          </a:pathLst>
        </a:custGeom>
        <a:noFill/>
        <a:ln w="9525" cap="flat" cmpd="sng">
          <a:solidFill>
            <a:srgbClr val="000000"/>
          </a:solidFill>
          <a:prstDash val="solid"/>
          <a:round/>
          <a:headEnd type="none" w="sm" len="sm"/>
          <a:tailEnd type="none" w="sm" len="sm"/>
        </a:ln>
      </xdr:spPr>
    </xdr:sp>
    <xdr:clientData fLocksWithSheet="0"/>
  </xdr:oneCellAnchor>
  <xdr:oneCellAnchor>
    <xdr:from>
      <xdr:col>4</xdr:col>
      <xdr:colOff>180975</xdr:colOff>
      <xdr:row>110</xdr:row>
      <xdr:rowOff>-19050</xdr:rowOff>
    </xdr:from>
    <xdr:ext cx="76200" cy="38100"/>
    <xdr:sp macro="" textlink="">
      <xdr:nvSpPr>
        <xdr:cNvPr id="4" name="Shape 13">
          <a:extLst>
            <a:ext uri="{FF2B5EF4-FFF2-40B4-BE49-F238E27FC236}">
              <a16:creationId xmlns:a16="http://schemas.microsoft.com/office/drawing/2014/main" id="{07DA4826-D1A3-46F5-BB84-51E51A774891}"/>
            </a:ext>
          </a:extLst>
        </xdr:cNvPr>
        <xdr:cNvSpPr/>
      </xdr:nvSpPr>
      <xdr:spPr>
        <a:xfrm>
          <a:off x="733425" y="42005250"/>
          <a:ext cx="76200" cy="38100"/>
        </a:xfrm>
        <a:custGeom>
          <a:avLst/>
          <a:gdLst/>
          <a:ahLst/>
          <a:cxnLst/>
          <a:rect l="l" t="t" r="r" b="b"/>
          <a:pathLst>
            <a:path w="78740" h="120000" extrusionOk="0">
              <a:moveTo>
                <a:pt x="0" y="0"/>
              </a:moveTo>
              <a:lnTo>
                <a:pt x="78366" y="0"/>
              </a:lnTo>
            </a:path>
          </a:pathLst>
        </a:custGeom>
        <a:noFill/>
        <a:ln w="9525" cap="flat" cmpd="sng">
          <a:solidFill>
            <a:srgbClr val="4E4E51"/>
          </a:solidFill>
          <a:prstDash val="solid"/>
          <a:round/>
          <a:headEnd type="none" w="sm" len="sm"/>
          <a:tailEnd type="none" w="sm" len="sm"/>
        </a:ln>
      </xdr:spPr>
    </xdr:sp>
    <xdr:clientData fLocksWithSheet="0"/>
  </xdr:oneCellAnchor>
  <xdr:oneCellAnchor>
    <xdr:from>
      <xdr:col>11</xdr:col>
      <xdr:colOff>180975</xdr:colOff>
      <xdr:row>110</xdr:row>
      <xdr:rowOff>-19050</xdr:rowOff>
    </xdr:from>
    <xdr:ext cx="57150" cy="38100"/>
    <xdr:sp macro="" textlink="">
      <xdr:nvSpPr>
        <xdr:cNvPr id="5" name="Shape 14">
          <a:extLst>
            <a:ext uri="{FF2B5EF4-FFF2-40B4-BE49-F238E27FC236}">
              <a16:creationId xmlns:a16="http://schemas.microsoft.com/office/drawing/2014/main" id="{DA036DFD-F66D-4E1C-B9AE-65CECE5135E0}"/>
            </a:ext>
          </a:extLst>
        </xdr:cNvPr>
        <xdr:cNvSpPr/>
      </xdr:nvSpPr>
      <xdr:spPr>
        <a:xfrm>
          <a:off x="2143125" y="42005250"/>
          <a:ext cx="57150" cy="38100"/>
        </a:xfrm>
        <a:custGeom>
          <a:avLst/>
          <a:gdLst/>
          <a:ahLst/>
          <a:cxnLst/>
          <a:rect l="l" t="t" r="r" b="b"/>
          <a:pathLst>
            <a:path w="59055" h="120000" extrusionOk="0">
              <a:moveTo>
                <a:pt x="0" y="0"/>
              </a:moveTo>
              <a:lnTo>
                <a:pt x="58774" y="0"/>
              </a:lnTo>
            </a:path>
          </a:pathLst>
        </a:custGeom>
        <a:noFill/>
        <a:ln w="9525" cap="flat" cmpd="sng">
          <a:solidFill>
            <a:srgbClr val="636166"/>
          </a:solidFill>
          <a:prstDash val="solid"/>
          <a:round/>
          <a:headEnd type="none" w="sm" len="sm"/>
          <a:tailEnd type="none" w="sm" len="sm"/>
        </a:ln>
      </xdr:spPr>
    </xdr:sp>
    <xdr:clientData fLocksWithSheet="0"/>
  </xdr:oneCellAnchor>
  <xdr:oneCellAnchor>
    <xdr:from>
      <xdr:col>0</xdr:col>
      <xdr:colOff>76200</xdr:colOff>
      <xdr:row>0</xdr:row>
      <xdr:rowOff>133350</xdr:rowOff>
    </xdr:from>
    <xdr:ext cx="561975" cy="666750"/>
    <xdr:pic>
      <xdr:nvPicPr>
        <xdr:cNvPr id="6" name="image28.jpg">
          <a:extLst>
            <a:ext uri="{FF2B5EF4-FFF2-40B4-BE49-F238E27FC236}">
              <a16:creationId xmlns:a16="http://schemas.microsoft.com/office/drawing/2014/main" id="{4AF19F8D-7466-4FA4-BCAA-E0D127AA5F11}"/>
            </a:ext>
          </a:extLst>
        </xdr:cNvPr>
        <xdr:cNvPicPr preferRelativeResize="0"/>
      </xdr:nvPicPr>
      <xdr:blipFill>
        <a:blip xmlns:r="http://schemas.openxmlformats.org/officeDocument/2006/relationships" r:embed="rId1" cstate="print"/>
        <a:stretch>
          <a:fillRect/>
        </a:stretch>
      </xdr:blipFill>
      <xdr:spPr>
        <a:xfrm>
          <a:off x="76200" y="133350"/>
          <a:ext cx="561975" cy="6667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24</xdr:col>
      <xdr:colOff>507999</xdr:colOff>
      <xdr:row>8</xdr:row>
      <xdr:rowOff>80818</xdr:rowOff>
    </xdr:from>
    <xdr:ext cx="485775" cy="381000"/>
    <xdr:sp macro="" textlink="">
      <xdr:nvSpPr>
        <xdr:cNvPr id="5" name="Oval 4">
          <a:extLst>
            <a:ext uri="{FF2B5EF4-FFF2-40B4-BE49-F238E27FC236}">
              <a16:creationId xmlns:a16="http://schemas.microsoft.com/office/drawing/2014/main" id="{18DAAA2A-FA41-4823-8669-105B1CCB8704}"/>
            </a:ext>
          </a:extLst>
        </xdr:cNvPr>
        <xdr:cNvSpPr/>
      </xdr:nvSpPr>
      <xdr:spPr>
        <a:xfrm>
          <a:off x="16001999" y="1835727"/>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1</a:t>
          </a:r>
        </a:p>
      </xdr:txBody>
    </xdr:sp>
    <xdr:clientData fLocksWithSheet="0"/>
  </xdr:oneCellAnchor>
  <xdr:oneCellAnchor>
    <xdr:from>
      <xdr:col>7</xdr:col>
      <xdr:colOff>184728</xdr:colOff>
      <xdr:row>18</xdr:row>
      <xdr:rowOff>46182</xdr:rowOff>
    </xdr:from>
    <xdr:ext cx="485775" cy="381000"/>
    <xdr:sp macro="" textlink="">
      <xdr:nvSpPr>
        <xdr:cNvPr id="6" name="Oval 5">
          <a:extLst>
            <a:ext uri="{FF2B5EF4-FFF2-40B4-BE49-F238E27FC236}">
              <a16:creationId xmlns:a16="http://schemas.microsoft.com/office/drawing/2014/main" id="{6880CD25-C64E-472E-B60D-646A4D1B33BD}"/>
            </a:ext>
          </a:extLst>
        </xdr:cNvPr>
        <xdr:cNvSpPr/>
      </xdr:nvSpPr>
      <xdr:spPr>
        <a:xfrm>
          <a:off x="5276273" y="4110182"/>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2</a:t>
          </a:r>
        </a:p>
      </xdr:txBody>
    </xdr:sp>
    <xdr:clientData fLocksWithSheet="0"/>
  </xdr:oneCellAnchor>
  <xdr:oneCellAnchor>
    <xdr:from>
      <xdr:col>27</xdr:col>
      <xdr:colOff>254000</xdr:colOff>
      <xdr:row>8</xdr:row>
      <xdr:rowOff>150090</xdr:rowOff>
    </xdr:from>
    <xdr:ext cx="485775" cy="381000"/>
    <xdr:sp macro="" textlink="">
      <xdr:nvSpPr>
        <xdr:cNvPr id="7" name="Oval 6">
          <a:extLst>
            <a:ext uri="{FF2B5EF4-FFF2-40B4-BE49-F238E27FC236}">
              <a16:creationId xmlns:a16="http://schemas.microsoft.com/office/drawing/2014/main" id="{E49B83A0-7A48-36EE-B97A-3B5DBB75B40B}"/>
            </a:ext>
          </a:extLst>
        </xdr:cNvPr>
        <xdr:cNvSpPr/>
      </xdr:nvSpPr>
      <xdr:spPr>
        <a:xfrm>
          <a:off x="17583727" y="1904999"/>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3</a:t>
          </a:r>
        </a:p>
      </xdr:txBody>
    </xdr:sp>
    <xdr:clientData fLocksWithSheet="0"/>
  </xdr:oneCellAnchor>
  <xdr:oneCellAnchor>
    <xdr:from>
      <xdr:col>22</xdr:col>
      <xdr:colOff>450272</xdr:colOff>
      <xdr:row>19</xdr:row>
      <xdr:rowOff>46181</xdr:rowOff>
    </xdr:from>
    <xdr:ext cx="485775" cy="381000"/>
    <xdr:sp macro="" textlink="">
      <xdr:nvSpPr>
        <xdr:cNvPr id="8" name="Oval 7">
          <a:extLst>
            <a:ext uri="{FF2B5EF4-FFF2-40B4-BE49-F238E27FC236}">
              <a16:creationId xmlns:a16="http://schemas.microsoft.com/office/drawing/2014/main" id="{4FDE1FE7-164F-6AA6-4DBD-F4F9B1B5A36E}"/>
            </a:ext>
          </a:extLst>
        </xdr:cNvPr>
        <xdr:cNvSpPr/>
      </xdr:nvSpPr>
      <xdr:spPr>
        <a:xfrm>
          <a:off x="14720454" y="4341090"/>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4</a:t>
          </a:r>
        </a:p>
      </xdr:txBody>
    </xdr:sp>
    <xdr:clientData fLocksWithSheet="0"/>
  </xdr:oneCellAnchor>
  <xdr:oneCellAnchor>
    <xdr:from>
      <xdr:col>27</xdr:col>
      <xdr:colOff>334818</xdr:colOff>
      <xdr:row>3</xdr:row>
      <xdr:rowOff>103908</xdr:rowOff>
    </xdr:from>
    <xdr:ext cx="485775" cy="381000"/>
    <xdr:sp macro="" textlink="">
      <xdr:nvSpPr>
        <xdr:cNvPr id="9" name="Oval 8">
          <a:extLst>
            <a:ext uri="{FF2B5EF4-FFF2-40B4-BE49-F238E27FC236}">
              <a16:creationId xmlns:a16="http://schemas.microsoft.com/office/drawing/2014/main" id="{CA70C916-C2C2-335F-A47A-FEC015370566}"/>
            </a:ext>
          </a:extLst>
        </xdr:cNvPr>
        <xdr:cNvSpPr/>
      </xdr:nvSpPr>
      <xdr:spPr>
        <a:xfrm>
          <a:off x="17664545" y="704272"/>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5</a:t>
          </a:r>
        </a:p>
      </xdr:txBody>
    </xdr:sp>
    <xdr:clientData fLocksWithSheet="0"/>
  </xdr:oneCellAnchor>
  <xdr:oneCellAnchor>
    <xdr:from>
      <xdr:col>17</xdr:col>
      <xdr:colOff>427182</xdr:colOff>
      <xdr:row>19</xdr:row>
      <xdr:rowOff>115453</xdr:rowOff>
    </xdr:from>
    <xdr:ext cx="485775" cy="381000"/>
    <xdr:sp macro="" textlink="">
      <xdr:nvSpPr>
        <xdr:cNvPr id="11" name="Oval 10">
          <a:extLst>
            <a:ext uri="{FF2B5EF4-FFF2-40B4-BE49-F238E27FC236}">
              <a16:creationId xmlns:a16="http://schemas.microsoft.com/office/drawing/2014/main" id="{B7F82AFC-CE98-2AFD-25ED-B5B500875CD2}"/>
            </a:ext>
          </a:extLst>
        </xdr:cNvPr>
        <xdr:cNvSpPr/>
      </xdr:nvSpPr>
      <xdr:spPr>
        <a:xfrm>
          <a:off x="11637818" y="4410362"/>
          <a:ext cx="485775" cy="381000"/>
        </a:xfrm>
        <a:prstGeom prst="ellipse">
          <a:avLst/>
        </a:prstGeom>
        <a:solidFill>
          <a:schemeClr val="lt1"/>
        </a:solidFill>
        <a:ln w="12700" cap="flat" cmpd="sng" algn="ctr">
          <a:solidFill>
            <a:schemeClr val="tx1"/>
          </a:solidFill>
          <a:prstDash val="solid"/>
          <a:miter lim="800000"/>
        </a:ln>
      </xdr:spPr>
      <xdr:style>
        <a:lnRef idx="2">
          <a:schemeClr val="accent6"/>
        </a:lnRef>
        <a:fillRef idx="1">
          <a:schemeClr val="lt1"/>
        </a:fillRef>
        <a:effectRef idx="0">
          <a:schemeClr val="accent6"/>
        </a:effectRef>
        <a:fontRef idx="minor">
          <a:schemeClr val="dk1"/>
        </a:fontRef>
      </xdr:style>
      <xdr:txBody>
        <a:bodyPr rtlCol="0" anchor="t"/>
        <a:lstStyle>
          <a:lvl1pPr marL="0" lvl="0" indent="0">
            <a:defRPr sz="1100">
              <a:solidFill>
                <a:schemeClr val="dk1"/>
              </a:solidFill>
              <a:latin typeface="+mn-lt"/>
              <a:ea typeface="+mn-ea"/>
              <a:cs typeface="+mn-cs"/>
            </a:defRPr>
          </a:lvl1pPr>
          <a:lvl2pPr marL="457200" lvl="1" indent="0">
            <a:defRPr sz="1100">
              <a:solidFill>
                <a:schemeClr val="dk1"/>
              </a:solidFill>
              <a:latin typeface="+mn-lt"/>
              <a:ea typeface="+mn-ea"/>
              <a:cs typeface="+mn-cs"/>
            </a:defRPr>
          </a:lvl2pPr>
          <a:lvl3pPr marL="914400" lvl="2" indent="0">
            <a:defRPr sz="1100">
              <a:solidFill>
                <a:schemeClr val="dk1"/>
              </a:solidFill>
              <a:latin typeface="+mn-lt"/>
              <a:ea typeface="+mn-ea"/>
              <a:cs typeface="+mn-cs"/>
            </a:defRPr>
          </a:lvl3pPr>
          <a:lvl4pPr marL="1371600" lvl="3" indent="0">
            <a:defRPr sz="1100">
              <a:solidFill>
                <a:schemeClr val="dk1"/>
              </a:solidFill>
              <a:latin typeface="+mn-lt"/>
              <a:ea typeface="+mn-ea"/>
              <a:cs typeface="+mn-cs"/>
            </a:defRPr>
          </a:lvl4pPr>
          <a:lvl5pPr marL="1828800" lvl="4" indent="0">
            <a:defRPr sz="1100">
              <a:solidFill>
                <a:schemeClr val="dk1"/>
              </a:solidFill>
              <a:latin typeface="+mn-lt"/>
              <a:ea typeface="+mn-ea"/>
              <a:cs typeface="+mn-cs"/>
            </a:defRPr>
          </a:lvl5pPr>
          <a:lvl6pPr marL="2286000" lvl="5" indent="0">
            <a:defRPr sz="1100">
              <a:solidFill>
                <a:schemeClr val="dk1"/>
              </a:solidFill>
              <a:latin typeface="+mn-lt"/>
              <a:ea typeface="+mn-ea"/>
              <a:cs typeface="+mn-cs"/>
            </a:defRPr>
          </a:lvl6pPr>
          <a:lvl7pPr marL="2743200" lvl="6" indent="0">
            <a:defRPr sz="1100">
              <a:solidFill>
                <a:schemeClr val="dk1"/>
              </a:solidFill>
              <a:latin typeface="+mn-lt"/>
              <a:ea typeface="+mn-ea"/>
              <a:cs typeface="+mn-cs"/>
            </a:defRPr>
          </a:lvl7pPr>
          <a:lvl8pPr marL="3200400" lvl="7" indent="0">
            <a:defRPr sz="1100">
              <a:solidFill>
                <a:schemeClr val="dk1"/>
              </a:solidFill>
              <a:latin typeface="+mn-lt"/>
              <a:ea typeface="+mn-ea"/>
              <a:cs typeface="+mn-cs"/>
            </a:defRPr>
          </a:lvl8pPr>
          <a:lvl9pPr marL="3657600" lvl="8" indent="0">
            <a:defRPr sz="1100">
              <a:solidFill>
                <a:schemeClr val="dk1"/>
              </a:solidFill>
              <a:latin typeface="+mn-lt"/>
              <a:ea typeface="+mn-ea"/>
              <a:cs typeface="+mn-cs"/>
            </a:defRPr>
          </a:lvl9pPr>
        </a:lstStyle>
        <a:p>
          <a:pPr marL="0" lvl="0" indent="0" algn="ctr"/>
          <a:r>
            <a:rPr lang="en-US" sz="1100" b="1" i="0" u="none" strike="noStrike">
              <a:solidFill>
                <a:schemeClr val="dk1"/>
              </a:solidFill>
              <a:latin typeface="Calibri" panose="020F0502020204030204" pitchFamily="34" charset="0"/>
              <a:cs typeface="Calibri" panose="020F0502020204030204" pitchFamily="34" charset="0"/>
            </a:rPr>
            <a:t>6</a:t>
          </a:r>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xdr:from>
      <xdr:col>0</xdr:col>
      <xdr:colOff>349432</xdr:colOff>
      <xdr:row>3</xdr:row>
      <xdr:rowOff>91374</xdr:rowOff>
    </xdr:from>
    <xdr:to>
      <xdr:col>5</xdr:col>
      <xdr:colOff>320554</xdr:colOff>
      <xdr:row>6</xdr:row>
      <xdr:rowOff>0</xdr:rowOff>
    </xdr:to>
    <xdr:sp macro="" textlink="">
      <xdr:nvSpPr>
        <xdr:cNvPr id="2" name="Title 1">
          <a:extLst>
            <a:ext uri="{FF2B5EF4-FFF2-40B4-BE49-F238E27FC236}">
              <a16:creationId xmlns:a16="http://schemas.microsoft.com/office/drawing/2014/main" id="{71D99F22-3BCE-459D-BC46-8A38F742A6DA}"/>
            </a:ext>
          </a:extLst>
        </xdr:cNvPr>
        <xdr:cNvSpPr>
          <a:spLocks noGrp="1"/>
        </xdr:cNvSpPr>
      </xdr:nvSpPr>
      <xdr:spPr>
        <a:xfrm>
          <a:off x="349432" y="618424"/>
          <a:ext cx="2987372" cy="365826"/>
        </a:xfrm>
        <a:prstGeom prst="rect">
          <a:avLst/>
        </a:prstGeom>
      </xdr:spPr>
      <xdr:txBody>
        <a:bodyPr vert="horz" wrap="square" lIns="91440" tIns="45720" rIns="91440" bIns="45720" rtlCol="0" anchor="ctr">
          <a:noAutofit/>
        </a:bodyPr>
        <a:lstStyle>
          <a:lvl1pPr algn="l" defTabSz="914400" rtl="0" eaLnBrk="1" latinLnBrk="0" hangingPunct="1">
            <a:lnSpc>
              <a:spcPct val="90000"/>
            </a:lnSpc>
            <a:spcBef>
              <a:spcPct val="0"/>
            </a:spcBef>
            <a:buNone/>
            <a:defRPr sz="3200" b="1" kern="1200" baseline="0">
              <a:solidFill>
                <a:schemeClr val="tx1"/>
              </a:solidFill>
              <a:latin typeface="Myriad Pro" charset="0"/>
              <a:ea typeface="Myriad Pro" charset="0"/>
              <a:cs typeface="Myriad Pro" charset="0"/>
            </a:defRPr>
          </a:lvl1pPr>
        </a:lstStyle>
        <a:p>
          <a:r>
            <a:rPr lang="en-US" sz="1800"/>
            <a:t>Risk Appetite Statement  </a:t>
          </a:r>
        </a:p>
      </xdr:txBody>
    </xdr:sp>
    <xdr:clientData/>
  </xdr:twoCellAnchor>
  <xdr:twoCellAnchor>
    <xdr:from>
      <xdr:col>18</xdr:col>
      <xdr:colOff>563326</xdr:colOff>
      <xdr:row>42</xdr:row>
      <xdr:rowOff>49424</xdr:rowOff>
    </xdr:from>
    <xdr:to>
      <xdr:col>19</xdr:col>
      <xdr:colOff>425746</xdr:colOff>
      <xdr:row>44</xdr:row>
      <xdr:rowOff>15636</xdr:rowOff>
    </xdr:to>
    <xdr:sp macro="" textlink="">
      <xdr:nvSpPr>
        <xdr:cNvPr id="3" name="Text Placeholder 2">
          <a:extLst>
            <a:ext uri="{FF2B5EF4-FFF2-40B4-BE49-F238E27FC236}">
              <a16:creationId xmlns:a16="http://schemas.microsoft.com/office/drawing/2014/main" id="{8843D419-470E-487A-874F-63FD5824384E}"/>
            </a:ext>
          </a:extLst>
        </xdr:cNvPr>
        <xdr:cNvSpPr>
          <a:spLocks noGrp="1"/>
        </xdr:cNvSpPr>
      </xdr:nvSpPr>
      <xdr:spPr>
        <a:xfrm>
          <a:off x="11421826" y="7663074"/>
          <a:ext cx="465670" cy="334512"/>
        </a:xfrm>
        <a:prstGeom prst="rect">
          <a:avLst/>
        </a:prstGeom>
      </xdr:spPr>
      <xdr:txBody>
        <a:bodyPr vert="horz" wrap="square" lIns="91440" tIns="45720" rIns="91440" bIns="45720" rtlCol="0">
          <a:normAutofit/>
        </a:bodyPr>
        <a:lstStyle>
          <a:lvl1pPr marL="0" indent="0" algn="l" defTabSz="914400" rtl="0" eaLnBrk="1" latinLnBrk="0" hangingPunct="1">
            <a:lnSpc>
              <a:spcPct val="90000"/>
            </a:lnSpc>
            <a:spcBef>
              <a:spcPts val="1000"/>
            </a:spcBef>
            <a:buFont typeface="Arial" panose="020B0604020202020204" pitchFamily="7" charset="0"/>
            <a:buNone/>
            <a:defRPr sz="1600" kern="1200">
              <a:solidFill>
                <a:srgbClr val="0C597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7"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7"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7" charset="0"/>
            <a:buChar char="•"/>
            <a:defRPr sz="1800" kern="1200">
              <a:solidFill>
                <a:schemeClr val="tx1"/>
              </a:solidFill>
              <a:latin typeface="+mn-lt"/>
              <a:ea typeface="+mn-ea"/>
              <a:cs typeface="+mn-cs"/>
            </a:defRPr>
          </a:lvl9pPr>
        </a:lstStyle>
        <a:p>
          <a:endParaRPr lang="en-US"/>
        </a:p>
      </xdr:txBody>
    </xdr:sp>
    <xdr:clientData/>
  </xdr:twoCellAnchor>
  <xdr:twoCellAnchor>
    <xdr:from>
      <xdr:col>0</xdr:col>
      <xdr:colOff>422088</xdr:colOff>
      <xdr:row>6</xdr:row>
      <xdr:rowOff>378</xdr:rowOff>
    </xdr:from>
    <xdr:to>
      <xdr:col>1</xdr:col>
      <xdr:colOff>156559</xdr:colOff>
      <xdr:row>13</xdr:row>
      <xdr:rowOff>17047</xdr:rowOff>
    </xdr:to>
    <xdr:sp macro="" textlink="">
      <xdr:nvSpPr>
        <xdr:cNvPr id="4" name="Rectangle: Rounded Corners 4">
          <a:extLst>
            <a:ext uri="{FF2B5EF4-FFF2-40B4-BE49-F238E27FC236}">
              <a16:creationId xmlns:a16="http://schemas.microsoft.com/office/drawing/2014/main" id="{1A203B1E-67DE-416B-85EF-319A3DF182BB}"/>
            </a:ext>
          </a:extLst>
        </xdr:cNvPr>
        <xdr:cNvSpPr/>
      </xdr:nvSpPr>
      <xdr:spPr>
        <a:xfrm>
          <a:off x="422088" y="984628"/>
          <a:ext cx="337721" cy="1305719"/>
        </a:xfrm>
        <a:prstGeom prst="roundRect">
          <a:avLst>
            <a:gd name="adj" fmla="val 7678"/>
          </a:avLst>
        </a:prstGeom>
        <a:solidFill>
          <a:srgbClr val="FF0000"/>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vert270"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kumimoji="0" lang="en-US" sz="1100" b="1" i="0" u="none" strike="noStrike" kern="1200" cap="none" spc="0" normalizeH="0" baseline="0">
              <a:ln>
                <a:noFill/>
              </a:ln>
              <a:solidFill>
                <a:prstClr val="white"/>
              </a:solidFill>
              <a:effectLst/>
              <a:uLnTx/>
              <a:uFillTx/>
              <a:latin typeface="Arial" panose="020B0604020202020204" pitchFamily="7" charset="0"/>
              <a:cs typeface="Arial" panose="020B0604020202020204" pitchFamily="7" charset="0"/>
            </a:rPr>
            <a:t>Strategis</a:t>
          </a:r>
        </a:p>
      </xdr:txBody>
    </xdr:sp>
    <xdr:clientData/>
  </xdr:twoCellAnchor>
  <xdr:twoCellAnchor>
    <xdr:from>
      <xdr:col>0</xdr:col>
      <xdr:colOff>421178</xdr:colOff>
      <xdr:row>13</xdr:row>
      <xdr:rowOff>85197</xdr:rowOff>
    </xdr:from>
    <xdr:to>
      <xdr:col>1</xdr:col>
      <xdr:colOff>145432</xdr:colOff>
      <xdr:row>22</xdr:row>
      <xdr:rowOff>117574</xdr:rowOff>
    </xdr:to>
    <xdr:sp macro="" textlink="">
      <xdr:nvSpPr>
        <xdr:cNvPr id="5" name="Rectangle: Rounded Corners 31">
          <a:extLst>
            <a:ext uri="{FF2B5EF4-FFF2-40B4-BE49-F238E27FC236}">
              <a16:creationId xmlns:a16="http://schemas.microsoft.com/office/drawing/2014/main" id="{60BFCEE8-700A-4851-ADED-04EBC1C74840}"/>
            </a:ext>
          </a:extLst>
        </xdr:cNvPr>
        <xdr:cNvSpPr/>
      </xdr:nvSpPr>
      <xdr:spPr>
        <a:xfrm>
          <a:off x="421178" y="2358497"/>
          <a:ext cx="327504" cy="1689727"/>
        </a:xfrm>
        <a:prstGeom prst="roundRect">
          <a:avLst>
            <a:gd name="adj" fmla="val 7678"/>
          </a:avLst>
        </a:prstGeom>
        <a:solidFill>
          <a:srgbClr val="F7E82E"/>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vert270"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kumimoji="0" lang="en-US" sz="1100" b="1" i="0" u="none" strike="noStrike" kern="1200" cap="none" spc="0" normalizeH="0" baseline="0">
              <a:ln>
                <a:noFill/>
              </a:ln>
              <a:solidFill>
                <a:schemeClr val="tx1"/>
              </a:solidFill>
              <a:effectLst/>
              <a:uLnTx/>
              <a:uFillTx/>
              <a:latin typeface="Arial" panose="020B0604020202020204" pitchFamily="7" charset="0"/>
              <a:cs typeface="Arial" panose="020B0604020202020204" pitchFamily="7" charset="0"/>
            </a:rPr>
            <a:t>Moderat</a:t>
          </a:r>
        </a:p>
      </xdr:txBody>
    </xdr:sp>
    <xdr:clientData/>
  </xdr:twoCellAnchor>
  <xdr:twoCellAnchor>
    <xdr:from>
      <xdr:col>0</xdr:col>
      <xdr:colOff>432305</xdr:colOff>
      <xdr:row>23</xdr:row>
      <xdr:rowOff>3308</xdr:rowOff>
    </xdr:from>
    <xdr:to>
      <xdr:col>1</xdr:col>
      <xdr:colOff>156559</xdr:colOff>
      <xdr:row>29</xdr:row>
      <xdr:rowOff>53131</xdr:rowOff>
    </xdr:to>
    <xdr:sp macro="" textlink="">
      <xdr:nvSpPr>
        <xdr:cNvPr id="6" name="Rectangle: Rounded Corners 18">
          <a:extLst>
            <a:ext uri="{FF2B5EF4-FFF2-40B4-BE49-F238E27FC236}">
              <a16:creationId xmlns:a16="http://schemas.microsoft.com/office/drawing/2014/main" id="{6C3DD7FC-8157-4655-BACB-5AE3CDFAADA3}"/>
            </a:ext>
          </a:extLst>
        </xdr:cNvPr>
        <xdr:cNvSpPr/>
      </xdr:nvSpPr>
      <xdr:spPr>
        <a:xfrm>
          <a:off x="432305" y="4118108"/>
          <a:ext cx="327504" cy="1154723"/>
        </a:xfrm>
        <a:prstGeom prst="roundRect">
          <a:avLst>
            <a:gd name="adj" fmla="val 7678"/>
          </a:avLst>
        </a:prstGeom>
        <a:solidFill>
          <a:srgbClr val="00B050"/>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vert270"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kumimoji="0" lang="en-US" sz="1100" b="1" i="0" u="none" strike="noStrike" kern="1200" cap="none" spc="0" normalizeH="0" baseline="0">
              <a:ln>
                <a:noFill/>
              </a:ln>
              <a:solidFill>
                <a:prstClr val="white"/>
              </a:solidFill>
              <a:effectLst/>
              <a:uLnTx/>
              <a:uFillTx/>
              <a:latin typeface="Arial" panose="020B0604020202020204" pitchFamily="7" charset="0"/>
              <a:cs typeface="Arial" panose="020B0604020202020204" pitchFamily="7" charset="0"/>
            </a:rPr>
            <a:t>Koservatif</a:t>
          </a:r>
        </a:p>
      </xdr:txBody>
    </xdr:sp>
    <xdr:clientData/>
  </xdr:twoCellAnchor>
  <xdr:twoCellAnchor>
    <xdr:from>
      <xdr:col>0</xdr:col>
      <xdr:colOff>425727</xdr:colOff>
      <xdr:row>29</xdr:row>
      <xdr:rowOff>125017</xdr:rowOff>
    </xdr:from>
    <xdr:to>
      <xdr:col>1</xdr:col>
      <xdr:colOff>156558</xdr:colOff>
      <xdr:row>38</xdr:row>
      <xdr:rowOff>157394</xdr:rowOff>
    </xdr:to>
    <xdr:sp macro="" textlink="">
      <xdr:nvSpPr>
        <xdr:cNvPr id="7" name="Rectangle: Rounded Corners 18">
          <a:extLst>
            <a:ext uri="{FF2B5EF4-FFF2-40B4-BE49-F238E27FC236}">
              <a16:creationId xmlns:a16="http://schemas.microsoft.com/office/drawing/2014/main" id="{FC944F7A-6C64-4CD9-B40A-3E876D25505C}"/>
            </a:ext>
          </a:extLst>
        </xdr:cNvPr>
        <xdr:cNvSpPr/>
      </xdr:nvSpPr>
      <xdr:spPr>
        <a:xfrm>
          <a:off x="425727" y="5344717"/>
          <a:ext cx="334081" cy="1689727"/>
        </a:xfrm>
        <a:prstGeom prst="roundRect">
          <a:avLst>
            <a:gd name="adj" fmla="val 7678"/>
          </a:avLst>
        </a:prstGeom>
        <a:solidFill>
          <a:schemeClr val="accent1">
            <a:lumMod val="50000"/>
          </a:schemeClr>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vert270"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kumimoji="0" lang="en-US" sz="1100" b="1" i="0" u="none" strike="noStrike" kern="1200" cap="none" spc="0" normalizeH="0" baseline="0">
              <a:ln>
                <a:noFill/>
              </a:ln>
              <a:solidFill>
                <a:prstClr val="white"/>
              </a:solidFill>
              <a:effectLst/>
              <a:uLnTx/>
              <a:uFillTx/>
              <a:latin typeface="Arial" panose="020B0604020202020204" pitchFamily="7" charset="0"/>
              <a:cs typeface="Arial" panose="020B0604020202020204" pitchFamily="7" charset="0"/>
            </a:rPr>
            <a:t>Tidak Toleran</a:t>
          </a:r>
        </a:p>
      </xdr:txBody>
    </xdr:sp>
    <xdr:clientData/>
  </xdr:twoCellAnchor>
  <xdr:twoCellAnchor>
    <xdr:from>
      <xdr:col>1</xdr:col>
      <xdr:colOff>235243</xdr:colOff>
      <xdr:row>6</xdr:row>
      <xdr:rowOff>378</xdr:rowOff>
    </xdr:from>
    <xdr:to>
      <xdr:col>4</xdr:col>
      <xdr:colOff>572209</xdr:colOff>
      <xdr:row>9</xdr:row>
      <xdr:rowOff>121544</xdr:rowOff>
    </xdr:to>
    <xdr:sp macro="" textlink="">
      <xdr:nvSpPr>
        <xdr:cNvPr id="8" name="Rectangle: Rounded Corners 7">
          <a:extLst>
            <a:ext uri="{FF2B5EF4-FFF2-40B4-BE49-F238E27FC236}">
              <a16:creationId xmlns:a16="http://schemas.microsoft.com/office/drawing/2014/main" id="{B1B185E2-05B4-4D44-9CD4-3F64DEE3727B}"/>
            </a:ext>
          </a:extLst>
        </xdr:cNvPr>
        <xdr:cNvSpPr/>
      </xdr:nvSpPr>
      <xdr:spPr>
        <a:xfrm>
          <a:off x="838493" y="984628"/>
          <a:ext cx="2146716" cy="673616"/>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82880" indent="-182880">
            <a:buFont typeface="+mj-lt"/>
            <a:buAutoNum type="arabicPeriod"/>
          </a:pPr>
          <a:r>
            <a:rPr lang="en-US" sz="1050" b="1">
              <a:solidFill>
                <a:schemeClr val="bg1"/>
              </a:solidFill>
              <a:latin typeface="Arial" panose="020B0604020202020204" pitchFamily="7" charset="0"/>
              <a:cs typeface="Arial" panose="020B0604020202020204" pitchFamily="7" charset="0"/>
            </a:rPr>
            <a:t>Pengembangan bisnis dan Pendapatan Non Ketenagalistrikan</a:t>
          </a:r>
        </a:p>
      </xdr:txBody>
    </xdr:sp>
    <xdr:clientData/>
  </xdr:twoCellAnchor>
  <xdr:twoCellAnchor>
    <xdr:from>
      <xdr:col>1</xdr:col>
      <xdr:colOff>235241</xdr:colOff>
      <xdr:row>10</xdr:row>
      <xdr:rowOff>8534</xdr:rowOff>
    </xdr:from>
    <xdr:to>
      <xdr:col>4</xdr:col>
      <xdr:colOff>572206</xdr:colOff>
      <xdr:row>13</xdr:row>
      <xdr:rowOff>17047</xdr:rowOff>
    </xdr:to>
    <xdr:sp macro="" textlink="">
      <xdr:nvSpPr>
        <xdr:cNvPr id="9" name="Rectangle: Rounded Corners 9">
          <a:extLst>
            <a:ext uri="{FF2B5EF4-FFF2-40B4-BE49-F238E27FC236}">
              <a16:creationId xmlns:a16="http://schemas.microsoft.com/office/drawing/2014/main" id="{50D2BAF8-3346-48D9-BC52-53CB06A25859}"/>
            </a:ext>
          </a:extLst>
        </xdr:cNvPr>
        <xdr:cNvSpPr/>
      </xdr:nvSpPr>
      <xdr:spPr>
        <a:xfrm>
          <a:off x="838491" y="1729384"/>
          <a:ext cx="2146715" cy="560963"/>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82880" indent="-182880">
            <a:buFont typeface="+mj-lt"/>
            <a:buAutoNum type="arabicPeriod" startAt="2"/>
          </a:pPr>
          <a:r>
            <a:rPr lang="en-US" sz="1050" b="1">
              <a:solidFill>
                <a:schemeClr val="bg1"/>
              </a:solidFill>
              <a:latin typeface="Arial" panose="020B0604020202020204" pitchFamily="7" charset="0"/>
              <a:cs typeface="Arial" panose="020B0604020202020204" pitchFamily="7" charset="0"/>
            </a:rPr>
            <a:t>Digitalisasi</a:t>
          </a:r>
        </a:p>
      </xdr:txBody>
    </xdr:sp>
    <xdr:clientData/>
  </xdr:twoCellAnchor>
  <xdr:twoCellAnchor>
    <xdr:from>
      <xdr:col>1</xdr:col>
      <xdr:colOff>235242</xdr:colOff>
      <xdr:row>13</xdr:row>
      <xdr:rowOff>93907</xdr:rowOff>
    </xdr:from>
    <xdr:to>
      <xdr:col>4</xdr:col>
      <xdr:colOff>572207</xdr:colOff>
      <xdr:row>16</xdr:row>
      <xdr:rowOff>20871</xdr:rowOff>
    </xdr:to>
    <xdr:sp macro="" textlink="">
      <xdr:nvSpPr>
        <xdr:cNvPr id="10" name="Rectangle: Rounded Corners 10">
          <a:extLst>
            <a:ext uri="{FF2B5EF4-FFF2-40B4-BE49-F238E27FC236}">
              <a16:creationId xmlns:a16="http://schemas.microsoft.com/office/drawing/2014/main" id="{8384A893-FBDE-471A-A135-DE199475398A}"/>
            </a:ext>
          </a:extLst>
        </xdr:cNvPr>
        <xdr:cNvSpPr/>
      </xdr:nvSpPr>
      <xdr:spPr>
        <a:xfrm>
          <a:off x="838492" y="2367207"/>
          <a:ext cx="2146715" cy="479414"/>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82880" indent="-182880">
            <a:buFont typeface="+mj-lt"/>
            <a:buAutoNum type="arabicPeriod" startAt="3"/>
          </a:pPr>
          <a:r>
            <a:rPr lang="en-US" sz="1050" b="1">
              <a:solidFill>
                <a:schemeClr val="bg1"/>
              </a:solidFill>
              <a:latin typeface="Arial" panose="020B0604020202020204" pitchFamily="7" charset="0"/>
              <a:cs typeface="Arial" panose="020B0604020202020204" pitchFamily="7" charset="0"/>
            </a:rPr>
            <a:t>Likuiditas Keuangan</a:t>
          </a:r>
        </a:p>
      </xdr:txBody>
    </xdr:sp>
    <xdr:clientData/>
  </xdr:twoCellAnchor>
  <xdr:twoCellAnchor>
    <xdr:from>
      <xdr:col>1</xdr:col>
      <xdr:colOff>230691</xdr:colOff>
      <xdr:row>16</xdr:row>
      <xdr:rowOff>89962</xdr:rowOff>
    </xdr:from>
    <xdr:to>
      <xdr:col>4</xdr:col>
      <xdr:colOff>567656</xdr:colOff>
      <xdr:row>18</xdr:row>
      <xdr:rowOff>179330</xdr:rowOff>
    </xdr:to>
    <xdr:sp macro="" textlink="">
      <xdr:nvSpPr>
        <xdr:cNvPr id="11" name="Rectangle: Rounded Corners 11">
          <a:extLst>
            <a:ext uri="{FF2B5EF4-FFF2-40B4-BE49-F238E27FC236}">
              <a16:creationId xmlns:a16="http://schemas.microsoft.com/office/drawing/2014/main" id="{609DDB65-5C9A-486A-83E0-C44954573D57}"/>
            </a:ext>
          </a:extLst>
        </xdr:cNvPr>
        <xdr:cNvSpPr/>
      </xdr:nvSpPr>
      <xdr:spPr>
        <a:xfrm>
          <a:off x="833941" y="2915712"/>
          <a:ext cx="2146715" cy="457668"/>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82880" indent="-182880">
            <a:buFont typeface="+mj-lt"/>
            <a:buAutoNum type="arabicPeriod" startAt="4"/>
          </a:pPr>
          <a:r>
            <a:rPr lang="en-US" sz="1050" b="1">
              <a:solidFill>
                <a:schemeClr val="bg1"/>
              </a:solidFill>
              <a:latin typeface="Arial" panose="020B0604020202020204" pitchFamily="7" charset="0"/>
              <a:cs typeface="Arial" panose="020B0604020202020204" pitchFamily="7" charset="0"/>
            </a:rPr>
            <a:t>Kompetensi SDM</a:t>
          </a:r>
        </a:p>
      </xdr:txBody>
    </xdr:sp>
    <xdr:clientData/>
  </xdr:twoCellAnchor>
  <xdr:twoCellAnchor>
    <xdr:from>
      <xdr:col>1</xdr:col>
      <xdr:colOff>230691</xdr:colOff>
      <xdr:row>23</xdr:row>
      <xdr:rowOff>5554</xdr:rowOff>
    </xdr:from>
    <xdr:to>
      <xdr:col>4</xdr:col>
      <xdr:colOff>567656</xdr:colOff>
      <xdr:row>26</xdr:row>
      <xdr:rowOff>57078</xdr:rowOff>
    </xdr:to>
    <xdr:sp macro="" textlink="">
      <xdr:nvSpPr>
        <xdr:cNvPr id="12" name="Rectangle: Rounded Corners 12">
          <a:extLst>
            <a:ext uri="{FF2B5EF4-FFF2-40B4-BE49-F238E27FC236}">
              <a16:creationId xmlns:a16="http://schemas.microsoft.com/office/drawing/2014/main" id="{23C3D70E-0FDB-4E28-BB37-E1A687A0A3E0}"/>
            </a:ext>
          </a:extLst>
        </xdr:cNvPr>
        <xdr:cNvSpPr/>
      </xdr:nvSpPr>
      <xdr:spPr>
        <a:xfrm>
          <a:off x="833941" y="4120354"/>
          <a:ext cx="2146715" cy="603974"/>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6"/>
          </a:pPr>
          <a:r>
            <a:rPr lang="en-US" sz="1050" b="1">
              <a:solidFill>
                <a:schemeClr val="bg1"/>
              </a:solidFill>
              <a:latin typeface="Arial" panose="020B0604020202020204" pitchFamily="7" charset="0"/>
              <a:cs typeface="Arial" panose="020B0604020202020204" pitchFamily="7" charset="0"/>
            </a:rPr>
            <a:t>Kegiatan Operasional Perusahaan</a:t>
          </a:r>
        </a:p>
      </xdr:txBody>
    </xdr:sp>
    <xdr:clientData/>
  </xdr:twoCellAnchor>
  <xdr:twoCellAnchor>
    <xdr:from>
      <xdr:col>1</xdr:col>
      <xdr:colOff>230691</xdr:colOff>
      <xdr:row>26</xdr:row>
      <xdr:rowOff>126168</xdr:rowOff>
    </xdr:from>
    <xdr:to>
      <xdr:col>4</xdr:col>
      <xdr:colOff>567656</xdr:colOff>
      <xdr:row>29</xdr:row>
      <xdr:rowOff>53131</xdr:rowOff>
    </xdr:to>
    <xdr:sp macro="" textlink="">
      <xdr:nvSpPr>
        <xdr:cNvPr id="13" name="Rectangle: Rounded Corners 13">
          <a:extLst>
            <a:ext uri="{FF2B5EF4-FFF2-40B4-BE49-F238E27FC236}">
              <a16:creationId xmlns:a16="http://schemas.microsoft.com/office/drawing/2014/main" id="{347B7BAE-D976-4E37-B5F2-490C293630ED}"/>
            </a:ext>
          </a:extLst>
        </xdr:cNvPr>
        <xdr:cNvSpPr/>
      </xdr:nvSpPr>
      <xdr:spPr>
        <a:xfrm>
          <a:off x="833941" y="4793418"/>
          <a:ext cx="2146715" cy="479413"/>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7"/>
          </a:pPr>
          <a:r>
            <a:rPr lang="en-US" sz="1050" b="1">
              <a:solidFill>
                <a:schemeClr val="bg1"/>
              </a:solidFill>
              <a:latin typeface="Arial" panose="020B0604020202020204" pitchFamily="7" charset="0"/>
              <a:cs typeface="Arial" panose="020B0604020202020204" pitchFamily="7" charset="0"/>
            </a:rPr>
            <a:t>Eksekusi Program RKAP &amp; RJP</a:t>
          </a:r>
        </a:p>
      </xdr:txBody>
    </xdr:sp>
    <xdr:clientData/>
  </xdr:twoCellAnchor>
  <xdr:twoCellAnchor>
    <xdr:from>
      <xdr:col>1</xdr:col>
      <xdr:colOff>230691</xdr:colOff>
      <xdr:row>29</xdr:row>
      <xdr:rowOff>126024</xdr:rowOff>
    </xdr:from>
    <xdr:to>
      <xdr:col>4</xdr:col>
      <xdr:colOff>567656</xdr:colOff>
      <xdr:row>32</xdr:row>
      <xdr:rowOff>156788</xdr:rowOff>
    </xdr:to>
    <xdr:sp macro="" textlink="">
      <xdr:nvSpPr>
        <xdr:cNvPr id="14" name="Rectangle: Rounded Corners 14">
          <a:extLst>
            <a:ext uri="{FF2B5EF4-FFF2-40B4-BE49-F238E27FC236}">
              <a16:creationId xmlns:a16="http://schemas.microsoft.com/office/drawing/2014/main" id="{BD658DF1-D421-47A1-A750-E8FC823BD802}"/>
            </a:ext>
          </a:extLst>
        </xdr:cNvPr>
        <xdr:cNvSpPr/>
      </xdr:nvSpPr>
      <xdr:spPr>
        <a:xfrm>
          <a:off x="833941" y="5345724"/>
          <a:ext cx="2146715" cy="583214"/>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8"/>
          </a:pPr>
          <a:r>
            <a:rPr lang="en-US" sz="1050" b="1">
              <a:solidFill>
                <a:schemeClr val="bg1"/>
              </a:solidFill>
              <a:latin typeface="Arial" panose="020B0604020202020204" pitchFamily="7" charset="0"/>
              <a:cs typeface="Arial" panose="020B0604020202020204" pitchFamily="7" charset="0"/>
            </a:rPr>
            <a:t>Kepatuhan Terhadap Regulasi</a:t>
          </a:r>
        </a:p>
      </xdr:txBody>
    </xdr:sp>
    <xdr:clientData/>
  </xdr:twoCellAnchor>
  <xdr:twoCellAnchor>
    <xdr:from>
      <xdr:col>1</xdr:col>
      <xdr:colOff>230691</xdr:colOff>
      <xdr:row>33</xdr:row>
      <xdr:rowOff>44123</xdr:rowOff>
    </xdr:from>
    <xdr:to>
      <xdr:col>4</xdr:col>
      <xdr:colOff>567656</xdr:colOff>
      <xdr:row>35</xdr:row>
      <xdr:rowOff>109250</xdr:rowOff>
    </xdr:to>
    <xdr:sp macro="" textlink="">
      <xdr:nvSpPr>
        <xdr:cNvPr id="15" name="Rectangle: Rounded Corners 15">
          <a:extLst>
            <a:ext uri="{FF2B5EF4-FFF2-40B4-BE49-F238E27FC236}">
              <a16:creationId xmlns:a16="http://schemas.microsoft.com/office/drawing/2014/main" id="{ED793BB6-ED3D-4331-935E-9BC46DA1F087}"/>
            </a:ext>
          </a:extLst>
        </xdr:cNvPr>
        <xdr:cNvSpPr/>
      </xdr:nvSpPr>
      <xdr:spPr>
        <a:xfrm>
          <a:off x="833941" y="6000423"/>
          <a:ext cx="2146715" cy="433427"/>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9"/>
          </a:pPr>
          <a:r>
            <a:rPr lang="en-US" sz="1050" b="1">
              <a:solidFill>
                <a:schemeClr val="bg1"/>
              </a:solidFill>
              <a:latin typeface="Arial" panose="020B0604020202020204" pitchFamily="7" charset="0"/>
              <a:cs typeface="Arial" panose="020B0604020202020204" pitchFamily="7" charset="0"/>
            </a:rPr>
            <a:t>Ancaman Reputasi</a:t>
          </a:r>
        </a:p>
      </xdr:txBody>
    </xdr:sp>
    <xdr:clientData/>
  </xdr:twoCellAnchor>
  <xdr:twoCellAnchor>
    <xdr:from>
      <xdr:col>1</xdr:col>
      <xdr:colOff>230691</xdr:colOff>
      <xdr:row>35</xdr:row>
      <xdr:rowOff>179466</xdr:rowOff>
    </xdr:from>
    <xdr:to>
      <xdr:col>4</xdr:col>
      <xdr:colOff>567656</xdr:colOff>
      <xdr:row>38</xdr:row>
      <xdr:rowOff>122670</xdr:rowOff>
    </xdr:to>
    <xdr:sp macro="" textlink="">
      <xdr:nvSpPr>
        <xdr:cNvPr id="16" name="Rectangle: Rounded Corners 16">
          <a:extLst>
            <a:ext uri="{FF2B5EF4-FFF2-40B4-BE49-F238E27FC236}">
              <a16:creationId xmlns:a16="http://schemas.microsoft.com/office/drawing/2014/main" id="{35B40DF9-E906-48A0-BD01-AD9D9E563C7E}"/>
            </a:ext>
          </a:extLst>
        </xdr:cNvPr>
        <xdr:cNvSpPr/>
      </xdr:nvSpPr>
      <xdr:spPr>
        <a:xfrm>
          <a:off x="833941" y="6504066"/>
          <a:ext cx="2146715" cy="495654"/>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10"/>
          </a:pPr>
          <a:r>
            <a:rPr lang="en-US" sz="1050" b="1">
              <a:solidFill>
                <a:schemeClr val="bg1"/>
              </a:solidFill>
              <a:latin typeface="Arial" panose="020B0604020202020204" pitchFamily="7" charset="0"/>
              <a:cs typeface="Arial" panose="020B0604020202020204" pitchFamily="7" charset="0"/>
            </a:rPr>
            <a:t>Kecelakaan Ketenagalistrikan</a:t>
          </a:r>
        </a:p>
      </xdr:txBody>
    </xdr:sp>
    <xdr:clientData/>
  </xdr:twoCellAnchor>
  <xdr:twoCellAnchor>
    <xdr:from>
      <xdr:col>1</xdr:col>
      <xdr:colOff>230690</xdr:colOff>
      <xdr:row>19</xdr:row>
      <xdr:rowOff>74090</xdr:rowOff>
    </xdr:from>
    <xdr:to>
      <xdr:col>4</xdr:col>
      <xdr:colOff>567655</xdr:colOff>
      <xdr:row>22</xdr:row>
      <xdr:rowOff>125614</xdr:rowOff>
    </xdr:to>
    <xdr:sp macro="" textlink="">
      <xdr:nvSpPr>
        <xdr:cNvPr id="17" name="Rectangle: Rounded Corners 17">
          <a:extLst>
            <a:ext uri="{FF2B5EF4-FFF2-40B4-BE49-F238E27FC236}">
              <a16:creationId xmlns:a16="http://schemas.microsoft.com/office/drawing/2014/main" id="{0F4DF9CE-650E-478D-A047-1C5AD2C0AB49}"/>
            </a:ext>
          </a:extLst>
        </xdr:cNvPr>
        <xdr:cNvSpPr/>
      </xdr:nvSpPr>
      <xdr:spPr>
        <a:xfrm>
          <a:off x="833940" y="3452290"/>
          <a:ext cx="2146715" cy="603974"/>
        </a:xfrm>
        <a:prstGeom prst="roundRect">
          <a:avLst>
            <a:gd name="adj" fmla="val 3130"/>
          </a:avLst>
        </a:prstGeom>
        <a:solidFill>
          <a:srgbClr val="00A2BA"/>
        </a:solidFill>
        <a:ln>
          <a:noFill/>
        </a:ln>
        <a:effectLst>
          <a:outerShdw blurRad="190500" dist="127000" dir="2700000" algn="tr" rotWithShape="0">
            <a:srgbClr val="00B0F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182880" rIns="18288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228600" indent="-228600">
            <a:buFont typeface="+mj-lt"/>
            <a:buAutoNum type="arabicPeriod" startAt="5"/>
          </a:pPr>
          <a:r>
            <a:rPr lang="en-US" sz="1050" b="1">
              <a:solidFill>
                <a:schemeClr val="bg1"/>
              </a:solidFill>
              <a:latin typeface="Arial" panose="020B0604020202020204" pitchFamily="7" charset="0"/>
              <a:cs typeface="Arial" panose="020B0604020202020204" pitchFamily="7" charset="0"/>
            </a:rPr>
            <a:t>Profit Perseroan sesuai proyeks</a:t>
          </a:r>
          <a:r>
            <a:rPr lang="id-ID" sz="1050" b="1">
              <a:solidFill>
                <a:schemeClr val="bg1"/>
              </a:solidFill>
              <a:latin typeface="Arial" panose="020B0604020202020204" pitchFamily="7" charset="0"/>
              <a:cs typeface="Arial" panose="020B0604020202020204" pitchFamily="7" charset="0"/>
            </a:rPr>
            <a:t>i</a:t>
          </a:r>
          <a:r>
            <a:rPr lang="en-US" sz="1050" b="1">
              <a:solidFill>
                <a:schemeClr val="bg1"/>
              </a:solidFill>
              <a:latin typeface="Arial" panose="020B0604020202020204" pitchFamily="7" charset="0"/>
              <a:cs typeface="Arial" panose="020B0604020202020204" pitchFamily="7" charset="0"/>
            </a:rPr>
            <a:t> RKAP &amp; RJP</a:t>
          </a:r>
        </a:p>
      </xdr:txBody>
    </xdr:sp>
    <xdr:clientData/>
  </xdr:twoCellAnchor>
  <xdr:twoCellAnchor>
    <xdr:from>
      <xdr:col>5</xdr:col>
      <xdr:colOff>215467</xdr:colOff>
      <xdr:row>6</xdr:row>
      <xdr:rowOff>728</xdr:rowOff>
    </xdr:from>
    <xdr:to>
      <xdr:col>20</xdr:col>
      <xdr:colOff>533400</xdr:colOff>
      <xdr:row>9</xdr:row>
      <xdr:rowOff>42333</xdr:rowOff>
    </xdr:to>
    <xdr:sp macro="" textlink="">
      <xdr:nvSpPr>
        <xdr:cNvPr id="18" name="TextBox 18">
          <a:extLst>
            <a:ext uri="{FF2B5EF4-FFF2-40B4-BE49-F238E27FC236}">
              <a16:creationId xmlns:a16="http://schemas.microsoft.com/office/drawing/2014/main" id="{6F8D0AF9-DC63-4AC8-A027-04A6D1639E22}"/>
            </a:ext>
          </a:extLst>
        </xdr:cNvPr>
        <xdr:cNvSpPr txBox="1"/>
      </xdr:nvSpPr>
      <xdr:spPr>
        <a:xfrm>
          <a:off x="3231717" y="984978"/>
          <a:ext cx="9366683" cy="594055"/>
        </a:xfrm>
        <a:prstGeom prst="rect">
          <a:avLst/>
        </a:prstGeom>
        <a:noFill/>
        <a:ln>
          <a:solidFill>
            <a:srgbClr val="4A9AC2"/>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en-US" sz="1100">
              <a:latin typeface="Arial" panose="020B0604020202020204" pitchFamily="7" charset="0"/>
              <a:cs typeface="Arial" panose="020B0604020202020204" pitchFamily="7" charset="0"/>
            </a:rPr>
            <a:t>PLN Batam bersikap </a:t>
          </a:r>
          <a:r>
            <a:rPr lang="en-US" sz="1100" b="1">
              <a:latin typeface="Arial" panose="020B0604020202020204" pitchFamily="7" charset="0"/>
              <a:cs typeface="Arial" panose="020B0604020202020204" pitchFamily="7" charset="0"/>
            </a:rPr>
            <a:t>strategis </a:t>
          </a:r>
          <a:r>
            <a:rPr lang="en-US" sz="1100">
              <a:latin typeface="Arial" panose="020B0604020202020204" pitchFamily="7" charset="0"/>
              <a:cs typeface="Arial" panose="020B0604020202020204" pitchFamily="7" charset="0"/>
            </a:rPr>
            <a:t>terhadap </a:t>
          </a:r>
          <a:r>
            <a:rPr lang="en-US" sz="1100" b="1">
              <a:latin typeface="Arial" panose="020B0604020202020204" pitchFamily="7" charset="0"/>
              <a:cs typeface="Arial" panose="020B0604020202020204" pitchFamily="7" charset="0"/>
            </a:rPr>
            <a:t>risiko pengembangan usaha </a:t>
          </a:r>
          <a:r>
            <a:rPr lang="en-US" sz="1100">
              <a:latin typeface="Arial" panose="020B0604020202020204" pitchFamily="7" charset="0"/>
              <a:cs typeface="Arial" panose="020B0604020202020204" pitchFamily="7" charset="0"/>
            </a:rPr>
            <a:t>untuk peningkatan </a:t>
          </a:r>
          <a:r>
            <a:rPr lang="en-US" sz="1100" b="1">
              <a:latin typeface="Arial" panose="020B0604020202020204" pitchFamily="7" charset="0"/>
              <a:cs typeface="Arial" panose="020B0604020202020204" pitchFamily="7" charset="0"/>
            </a:rPr>
            <a:t>pendapatan non ketenagalistrikan </a:t>
          </a:r>
          <a:r>
            <a:rPr lang="en-US" sz="1100">
              <a:latin typeface="Arial" panose="020B0604020202020204" pitchFamily="7" charset="0"/>
              <a:cs typeface="Arial" panose="020B0604020202020204" pitchFamily="7" charset="0"/>
            </a:rPr>
            <a:t>dan secara aktif menerapkan strategi yang berpeduli risiko sebagai bagian dalam perencanaan bisnis, dalam upaya pertumbuhan dan inovasi yang lebih besar.</a:t>
          </a:r>
        </a:p>
      </xdr:txBody>
    </xdr:sp>
    <xdr:clientData/>
  </xdr:twoCellAnchor>
  <xdr:twoCellAnchor>
    <xdr:from>
      <xdr:col>5</xdr:col>
      <xdr:colOff>215461</xdr:colOff>
      <xdr:row>9</xdr:row>
      <xdr:rowOff>166585</xdr:rowOff>
    </xdr:from>
    <xdr:to>
      <xdr:col>20</xdr:col>
      <xdr:colOff>533395</xdr:colOff>
      <xdr:row>13</xdr:row>
      <xdr:rowOff>5361</xdr:rowOff>
    </xdr:to>
    <xdr:sp macro="" textlink="">
      <xdr:nvSpPr>
        <xdr:cNvPr id="19" name="TextBox 19">
          <a:extLst>
            <a:ext uri="{FF2B5EF4-FFF2-40B4-BE49-F238E27FC236}">
              <a16:creationId xmlns:a16="http://schemas.microsoft.com/office/drawing/2014/main" id="{522447BD-A3FB-41C6-82BD-C051FB304D3A}"/>
            </a:ext>
          </a:extLst>
        </xdr:cNvPr>
        <xdr:cNvSpPr txBox="1"/>
      </xdr:nvSpPr>
      <xdr:spPr>
        <a:xfrm>
          <a:off x="3231711" y="1703285"/>
          <a:ext cx="9366684" cy="575376"/>
        </a:xfrm>
        <a:prstGeom prst="rect">
          <a:avLst/>
        </a:prstGeom>
        <a:noFill/>
        <a:ln>
          <a:solidFill>
            <a:srgbClr val="4A9AC2"/>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lang="en-US" sz="1100">
              <a:solidFill>
                <a:srgbClr val="000000"/>
              </a:solidFill>
              <a:latin typeface="Arial" panose="020B0604020202020204" pitchFamily="7" charset="0"/>
              <a:cs typeface="Arial" panose="020B0604020202020204" pitchFamily="7" charset="0"/>
            </a:rPr>
            <a:t>PLN Batam bersikap </a:t>
          </a:r>
          <a:r>
            <a:rPr lang="en-US" sz="1100" b="1">
              <a:solidFill>
                <a:srgbClr val="000000"/>
              </a:solidFill>
              <a:latin typeface="Arial" panose="020B0604020202020204" pitchFamily="7" charset="0"/>
              <a:cs typeface="Arial" panose="020B0604020202020204" pitchFamily="7" charset="0"/>
            </a:rPr>
            <a:t>strategis</a:t>
          </a:r>
          <a:r>
            <a:rPr lang="en-US" sz="1100">
              <a:solidFill>
                <a:srgbClr val="000000"/>
              </a:solidFill>
              <a:latin typeface="Arial" panose="020B0604020202020204" pitchFamily="7" charset="0"/>
              <a:cs typeface="Arial" panose="020B0604020202020204" pitchFamily="7" charset="0"/>
            </a:rPr>
            <a:t> terhadap pengembangan teknologi informasi melalui digitalisasi guna mengikuti dinamika perubahan kebutuhan PLN Batam. PLN Batam akan menerapkan keamanan teknologi informasi yang kuat (termasuk firewall, enkripsi, dan audit sistem secara berkala), user friendly dan hemat biaya.</a:t>
          </a:r>
          <a:endParaRPr lang="en-US" sz="1100">
            <a:latin typeface="Arial" panose="020B0604020202020204" pitchFamily="7" charset="0"/>
            <a:cs typeface="Arial" panose="020B0604020202020204" pitchFamily="7" charset="0"/>
          </a:endParaRPr>
        </a:p>
      </xdr:txBody>
    </xdr:sp>
    <xdr:clientData/>
  </xdr:twoCellAnchor>
  <xdr:twoCellAnchor>
    <xdr:from>
      <xdr:col>5</xdr:col>
      <xdr:colOff>212938</xdr:colOff>
      <xdr:row>13</xdr:row>
      <xdr:rowOff>121899</xdr:rowOff>
    </xdr:from>
    <xdr:to>
      <xdr:col>20</xdr:col>
      <xdr:colOff>530872</xdr:colOff>
      <xdr:row>15</xdr:row>
      <xdr:rowOff>168566</xdr:rowOff>
    </xdr:to>
    <xdr:sp macro="" textlink="">
      <xdr:nvSpPr>
        <xdr:cNvPr id="20" name="TextBox 20">
          <a:extLst>
            <a:ext uri="{FF2B5EF4-FFF2-40B4-BE49-F238E27FC236}">
              <a16:creationId xmlns:a16="http://schemas.microsoft.com/office/drawing/2014/main" id="{24470B07-2C5D-4BF8-9CCA-C03357BAD380}"/>
            </a:ext>
          </a:extLst>
        </xdr:cNvPr>
        <xdr:cNvSpPr txBox="1"/>
      </xdr:nvSpPr>
      <xdr:spPr>
        <a:xfrm>
          <a:off x="3229188" y="2395199"/>
          <a:ext cx="9366684" cy="414967"/>
        </a:xfrm>
        <a:prstGeom prst="rect">
          <a:avLst/>
        </a:prstGeom>
        <a:noFill/>
        <a:ln>
          <a:solidFill>
            <a:srgbClr val="4A9AC2"/>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moderat</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fungsi k</a:t>
          </a:r>
          <a:r>
            <a:rPr kumimoji="0" lang="en-US" sz="1100" b="1" u="none" strike="noStrike" kern="1200" cap="none" spc="0" normalizeH="0" baseline="0">
              <a:ln>
                <a:noFill/>
              </a:ln>
              <a:solidFill>
                <a:srgbClr val="000000"/>
              </a:solidFill>
              <a:effectLst/>
              <a:uLnTx/>
              <a:uFillTx/>
              <a:latin typeface="Arial" panose="020B0604020202020204"/>
              <a:ea typeface="+mn-ea"/>
              <a:cs typeface="+mn-cs"/>
            </a:rPr>
            <a:t>euangan, fluktuasi</a:t>
          </a:r>
          <a:r>
            <a:rPr kumimoji="0" lang="en-US" sz="1100" b="1" u="none" strike="noStrike" kern="1200" cap="none" spc="0" normalizeH="0">
              <a:ln>
                <a:noFill/>
              </a:ln>
              <a:solidFill>
                <a:srgbClr val="000000"/>
              </a:solidFill>
              <a:effectLst/>
              <a:uLnTx/>
              <a:uFillTx/>
              <a:latin typeface="Arial" panose="020B0604020202020204"/>
              <a:ea typeface="+mn-ea"/>
              <a:cs typeface="+mn-cs"/>
            </a:rPr>
            <a:t> </a:t>
          </a:r>
          <a:r>
            <a:rPr kumimoji="0" lang="en-US" sz="1100" b="1" u="none" strike="noStrike" kern="1200" cap="none" spc="0" normalizeH="0" baseline="0">
              <a:ln>
                <a:noFill/>
              </a:ln>
              <a:solidFill>
                <a:srgbClr val="000000"/>
              </a:solidFill>
              <a:effectLst/>
              <a:uLnTx/>
              <a:uFillTx/>
              <a:latin typeface="Arial" panose="020B0604020202020204"/>
              <a:ea typeface="+mn-ea"/>
              <a:cs typeface="+mn-cs"/>
            </a:rPr>
            <a:t>nilai kurs,  </a:t>
          </a:r>
          <a:r>
            <a:rPr lang="en-US" sz="1100">
              <a:solidFill>
                <a:srgbClr val="000000"/>
              </a:solidFill>
              <a:latin typeface="Arial" panose="020B0604020202020204"/>
            </a:rPr>
            <a:t>dalam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mendukung pencapaian sasaran Perusahaan dan senantiasa menjaga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likuiditas dan </a:t>
          </a:r>
          <a:r>
            <a:rPr lang="en-US" sz="1100" b="1">
              <a:solidFill>
                <a:srgbClr val="000000"/>
              </a:solidFill>
              <a:latin typeface="Arial" panose="020B0604020202020204"/>
            </a:rPr>
            <a:t>profil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keuangan yang baik.</a:t>
          </a:r>
          <a:endParaRPr kumimoji="0" lang="en-US" sz="1100" b="0" i="0" u="none" strike="noStrike" kern="1200" cap="none" spc="0" normalizeH="0" baseline="0">
            <a:ln>
              <a:noFill/>
            </a:ln>
            <a:solidFill>
              <a:srgbClr val="000000"/>
            </a:solidFill>
            <a:effectLst/>
            <a:uLnTx/>
            <a:uFillTx/>
            <a:latin typeface="Arial" panose="020B0604020202020204"/>
            <a:ea typeface="+mn-ea"/>
            <a:cs typeface="+mn-cs"/>
          </a:endParaRPr>
        </a:p>
      </xdr:txBody>
    </xdr:sp>
    <xdr:clientData/>
  </xdr:twoCellAnchor>
  <xdr:twoCellAnchor>
    <xdr:from>
      <xdr:col>5</xdr:col>
      <xdr:colOff>212938</xdr:colOff>
      <xdr:row>16</xdr:row>
      <xdr:rowOff>101400</xdr:rowOff>
    </xdr:from>
    <xdr:to>
      <xdr:col>20</xdr:col>
      <xdr:colOff>530872</xdr:colOff>
      <xdr:row>18</xdr:row>
      <xdr:rowOff>148066</xdr:rowOff>
    </xdr:to>
    <xdr:sp macro="" textlink="">
      <xdr:nvSpPr>
        <xdr:cNvPr id="21" name="TextBox 21">
          <a:extLst>
            <a:ext uri="{FF2B5EF4-FFF2-40B4-BE49-F238E27FC236}">
              <a16:creationId xmlns:a16="http://schemas.microsoft.com/office/drawing/2014/main" id="{5FDE8FD1-B2F1-4A83-B2EA-500AAA3BC129}"/>
            </a:ext>
          </a:extLst>
        </xdr:cNvPr>
        <xdr:cNvSpPr txBox="1"/>
      </xdr:nvSpPr>
      <xdr:spPr>
        <a:xfrm>
          <a:off x="3229188" y="2927150"/>
          <a:ext cx="9366684" cy="414966"/>
        </a:xfrm>
        <a:prstGeom prst="rect">
          <a:avLst/>
        </a:prstGeom>
        <a:noFill/>
        <a:ln>
          <a:solidFill>
            <a:srgbClr val="4A9AC2"/>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moderat</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fungsi </a:t>
          </a:r>
          <a:r>
            <a:rPr kumimoji="0" lang="en-US" sz="1100" b="1" i="1" u="none" strike="noStrike" kern="1200" cap="none" spc="0" normalizeH="0" baseline="0">
              <a:ln>
                <a:noFill/>
              </a:ln>
              <a:solidFill>
                <a:srgbClr val="000000"/>
              </a:solidFill>
              <a:effectLst/>
              <a:uLnTx/>
              <a:uFillTx/>
              <a:latin typeface="Arial" panose="020B0604020202020204"/>
              <a:ea typeface="+mn-ea"/>
              <a:cs typeface="+mn-cs"/>
            </a:rPr>
            <a:t>enabler</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 </a:t>
          </a:r>
          <a:r>
            <a:rPr lang="en-US" sz="1100">
              <a:solidFill>
                <a:srgbClr val="000000"/>
              </a:solidFill>
              <a:latin typeface="Arial" panose="020B0604020202020204"/>
            </a:rPr>
            <a:t>dalam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mendukung pencapaian sasaran Perusahaan.  PLN</a:t>
          </a:r>
          <a:r>
            <a:rPr lang="en-US" sz="1100">
              <a:solidFill>
                <a:srgbClr val="000000"/>
              </a:solidFill>
              <a:latin typeface="Arial" panose="020B0604020202020204"/>
            </a:rPr>
            <a:t> Batam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senantiasa menjaga core value AKHLAK dan mendorong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pengembangan SDM dan organ pengelola risiko yang berkelanjutan.</a:t>
          </a:r>
          <a:endParaRPr kumimoji="0" lang="en-US" sz="1100" b="0" i="0" u="none" strike="noStrike" kern="1200" cap="none" spc="0" normalizeH="0" baseline="0">
            <a:ln>
              <a:noFill/>
            </a:ln>
            <a:solidFill>
              <a:srgbClr val="000000"/>
            </a:solidFill>
            <a:effectLst/>
            <a:uLnTx/>
            <a:uFillTx/>
            <a:latin typeface="Arial" panose="020B0604020202020204"/>
            <a:ea typeface="+mn-ea"/>
            <a:cs typeface="+mn-cs"/>
          </a:endParaRPr>
        </a:p>
      </xdr:txBody>
    </xdr:sp>
    <xdr:clientData/>
  </xdr:twoCellAnchor>
  <xdr:twoCellAnchor>
    <xdr:from>
      <xdr:col>5</xdr:col>
      <xdr:colOff>212938</xdr:colOff>
      <xdr:row>23</xdr:row>
      <xdr:rowOff>2694</xdr:rowOff>
    </xdr:from>
    <xdr:to>
      <xdr:col>20</xdr:col>
      <xdr:colOff>530872</xdr:colOff>
      <xdr:row>26</xdr:row>
      <xdr:rowOff>20201</xdr:rowOff>
    </xdr:to>
    <xdr:sp macro="" textlink="">
      <xdr:nvSpPr>
        <xdr:cNvPr id="22" name="TextBox 22">
          <a:extLst>
            <a:ext uri="{FF2B5EF4-FFF2-40B4-BE49-F238E27FC236}">
              <a16:creationId xmlns:a16="http://schemas.microsoft.com/office/drawing/2014/main" id="{EEF06126-5E62-4CCE-9DB5-93AF10EAB21A}"/>
            </a:ext>
          </a:extLst>
        </xdr:cNvPr>
        <xdr:cNvSpPr txBox="1"/>
      </xdr:nvSpPr>
      <xdr:spPr>
        <a:xfrm>
          <a:off x="3229188" y="4117494"/>
          <a:ext cx="9366684" cy="569957"/>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konservatif</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operasional ketenagalistrikan</a:t>
          </a:r>
          <a:r>
            <a:rPr lang="en-US" sz="1100">
              <a:solidFill>
                <a:srgbClr val="000000"/>
              </a:solidFill>
              <a:latin typeface="Arial" panose="020B0604020202020204"/>
            </a:rPr>
            <a:t>.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berkomitmen untuk mengelola kegiatan operasional dengan memastikan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ketersediaan energi primer</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menjaga keandalan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pembangkit</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mengalokasikan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sumber daya yang cukup</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serta menyediakan layanan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distribusi yang andal dan aman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bagi para pelanggan.</a:t>
          </a:r>
          <a:endParaRPr lang="en-US" sz="1100"/>
        </a:p>
      </xdr:txBody>
    </xdr:sp>
    <xdr:clientData/>
  </xdr:twoCellAnchor>
  <xdr:twoCellAnchor>
    <xdr:from>
      <xdr:col>5</xdr:col>
      <xdr:colOff>212938</xdr:colOff>
      <xdr:row>26</xdr:row>
      <xdr:rowOff>101285</xdr:rowOff>
    </xdr:from>
    <xdr:to>
      <xdr:col>20</xdr:col>
      <xdr:colOff>530872</xdr:colOff>
      <xdr:row>28</xdr:row>
      <xdr:rowOff>157955</xdr:rowOff>
    </xdr:to>
    <xdr:sp macro="" textlink="">
      <xdr:nvSpPr>
        <xdr:cNvPr id="23" name="TextBox 23">
          <a:extLst>
            <a:ext uri="{FF2B5EF4-FFF2-40B4-BE49-F238E27FC236}">
              <a16:creationId xmlns:a16="http://schemas.microsoft.com/office/drawing/2014/main" id="{138DAF39-8264-4B1F-9198-79542C6BE6F9}"/>
            </a:ext>
          </a:extLst>
        </xdr:cNvPr>
        <xdr:cNvSpPr txBox="1"/>
      </xdr:nvSpPr>
      <xdr:spPr>
        <a:xfrm>
          <a:off x="3229188" y="4768535"/>
          <a:ext cx="9366684" cy="424970"/>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konservatif</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 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eksekusi program RKAP &amp; RJP.</a:t>
          </a:r>
          <a:r>
            <a:rPr lang="en-US" sz="1100">
              <a:solidFill>
                <a:srgbClr val="000000"/>
              </a:solidFill>
              <a:latin typeface="Arial" panose="020B0604020202020204"/>
            </a:rPr>
            <a:t>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berkomitmen untuk merealisasikan program RKAP &amp; RJP dengan prinsip kehati-hatian dan melindungi nilai dan memprioritaskan kestabilan usaha serta</a:t>
          </a:r>
          <a:r>
            <a:rPr kumimoji="0" lang="en-US" sz="1100" b="0" i="0" u="none" strike="noStrike" kern="1200" cap="none" spc="0" normalizeH="0">
              <a:ln>
                <a:noFill/>
              </a:ln>
              <a:solidFill>
                <a:srgbClr val="000000"/>
              </a:solidFill>
              <a:effectLst/>
              <a:uLnTx/>
              <a:uFillTx/>
              <a:latin typeface="Arial" panose="020B0604020202020204"/>
              <a:ea typeface="+mn-ea"/>
              <a:cs typeface="+mn-cs"/>
            </a:rPr>
            <a:t> manajemen risiko yan</a:t>
          </a:r>
          <a:r>
            <a:rPr lang="en-US" sz="1100">
              <a:solidFill>
                <a:srgbClr val="000000"/>
              </a:solidFill>
              <a:latin typeface="Arial" panose="020B0604020202020204"/>
            </a:rPr>
            <a:t>g efektif</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a:t>
          </a:r>
          <a:endParaRPr lang="en-US" sz="1100"/>
        </a:p>
      </xdr:txBody>
    </xdr:sp>
    <xdr:clientData/>
  </xdr:twoCellAnchor>
  <xdr:twoCellAnchor>
    <xdr:from>
      <xdr:col>5</xdr:col>
      <xdr:colOff>212938</xdr:colOff>
      <xdr:row>30</xdr:row>
      <xdr:rowOff>26115</xdr:rowOff>
    </xdr:from>
    <xdr:to>
      <xdr:col>20</xdr:col>
      <xdr:colOff>530872</xdr:colOff>
      <xdr:row>32</xdr:row>
      <xdr:rowOff>71899</xdr:rowOff>
    </xdr:to>
    <xdr:sp macro="" textlink="">
      <xdr:nvSpPr>
        <xdr:cNvPr id="24" name="TextBox 24">
          <a:extLst>
            <a:ext uri="{FF2B5EF4-FFF2-40B4-BE49-F238E27FC236}">
              <a16:creationId xmlns:a16="http://schemas.microsoft.com/office/drawing/2014/main" id="{272DD361-7490-4884-B31B-FDBAB9AD4FBC}"/>
            </a:ext>
          </a:extLst>
        </xdr:cNvPr>
        <xdr:cNvSpPr txBox="1"/>
      </xdr:nvSpPr>
      <xdr:spPr>
        <a:xfrm>
          <a:off x="3229188" y="5429965"/>
          <a:ext cx="9366684" cy="414084"/>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tidak toleran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kepatuhan terhadap regulasi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dengan tetap menjaga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kestabilan dan konsistensi dalam operasi bisnis</a:t>
          </a:r>
          <a:r>
            <a:rPr lang="en-US" sz="1100" b="1">
              <a:solidFill>
                <a:srgbClr val="000000"/>
              </a:solidFill>
              <a:latin typeface="Arial" panose="020B0604020202020204"/>
            </a:rPr>
            <a:t>.</a:t>
          </a:r>
          <a:endParaRPr lang="en-US" sz="1100" b="1"/>
        </a:p>
      </xdr:txBody>
    </xdr:sp>
    <xdr:clientData/>
  </xdr:twoCellAnchor>
  <xdr:twoCellAnchor>
    <xdr:from>
      <xdr:col>5</xdr:col>
      <xdr:colOff>212938</xdr:colOff>
      <xdr:row>33</xdr:row>
      <xdr:rowOff>44123</xdr:rowOff>
    </xdr:from>
    <xdr:to>
      <xdr:col>20</xdr:col>
      <xdr:colOff>530872</xdr:colOff>
      <xdr:row>35</xdr:row>
      <xdr:rowOff>89907</xdr:rowOff>
    </xdr:to>
    <xdr:sp macro="" textlink="">
      <xdr:nvSpPr>
        <xdr:cNvPr id="25" name="TextBox 25">
          <a:extLst>
            <a:ext uri="{FF2B5EF4-FFF2-40B4-BE49-F238E27FC236}">
              <a16:creationId xmlns:a16="http://schemas.microsoft.com/office/drawing/2014/main" id="{32F318BE-90CF-4E3B-BD44-D0BFA399383F}"/>
            </a:ext>
          </a:extLst>
        </xdr:cNvPr>
        <xdr:cNvSpPr txBox="1"/>
      </xdr:nvSpPr>
      <xdr:spPr>
        <a:xfrm>
          <a:off x="3229188" y="6000423"/>
          <a:ext cx="9366684" cy="414084"/>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tidak toleran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ancaman terhadap reputasi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dengan tetap menjaga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kestabilan dan konsistensi dalam operasi bisnis</a:t>
          </a:r>
          <a:r>
            <a:rPr lang="en-US" sz="1100" b="1">
              <a:solidFill>
                <a:srgbClr val="000000"/>
              </a:solidFill>
              <a:latin typeface="Arial" panose="020B0604020202020204"/>
            </a:rPr>
            <a:t>.</a:t>
          </a:r>
          <a:endParaRPr lang="en-US" sz="1100" b="1"/>
        </a:p>
      </xdr:txBody>
    </xdr:sp>
    <xdr:clientData/>
  </xdr:twoCellAnchor>
  <xdr:twoCellAnchor>
    <xdr:from>
      <xdr:col>5</xdr:col>
      <xdr:colOff>212938</xdr:colOff>
      <xdr:row>36</xdr:row>
      <xdr:rowOff>31415</xdr:rowOff>
    </xdr:from>
    <xdr:to>
      <xdr:col>20</xdr:col>
      <xdr:colOff>530872</xdr:colOff>
      <xdr:row>38</xdr:row>
      <xdr:rowOff>77199</xdr:rowOff>
    </xdr:to>
    <xdr:sp macro="" textlink="">
      <xdr:nvSpPr>
        <xdr:cNvPr id="26" name="TextBox 26">
          <a:extLst>
            <a:ext uri="{FF2B5EF4-FFF2-40B4-BE49-F238E27FC236}">
              <a16:creationId xmlns:a16="http://schemas.microsoft.com/office/drawing/2014/main" id="{57B10146-1A5F-4DE4-A36E-E35C0196D897}"/>
            </a:ext>
          </a:extLst>
        </xdr:cNvPr>
        <xdr:cNvSpPr txBox="1"/>
      </xdr:nvSpPr>
      <xdr:spPr>
        <a:xfrm>
          <a:off x="3229188" y="6540165"/>
          <a:ext cx="9366684" cy="414084"/>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solidFill>
                <a:srgbClr val="000000"/>
              </a:solidFill>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tidak toleran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terhadap risiko </a:t>
          </a:r>
          <a:r>
            <a:rPr kumimoji="0" lang="en-US" sz="1100" b="1" i="0" u="none" strike="noStrike" kern="1200" cap="none" spc="0" normalizeH="0" baseline="0">
              <a:ln>
                <a:noFill/>
              </a:ln>
              <a:solidFill>
                <a:srgbClr val="000000"/>
              </a:solidFill>
              <a:effectLst/>
              <a:uLnTx/>
              <a:uFillTx/>
              <a:latin typeface="Arial" panose="020B0604020202020204"/>
              <a:ea typeface="+mn-ea"/>
              <a:cs typeface="+mn-cs"/>
            </a:rPr>
            <a:t>kecelakaan ketenagalistrikan </a:t>
          </a:r>
          <a:r>
            <a:rPr kumimoji="0" lang="en-US" sz="1100" b="0" i="0" u="none" strike="noStrike" kern="1200" cap="none" spc="0" normalizeH="0" baseline="0">
              <a:ln>
                <a:noFill/>
              </a:ln>
              <a:solidFill>
                <a:srgbClr val="000000"/>
              </a:solidFill>
              <a:effectLst/>
              <a:uLnTx/>
              <a:uFillTx/>
              <a:latin typeface="Arial" panose="020B0604020202020204"/>
              <a:ea typeface="+mn-ea"/>
              <a:cs typeface="+mn-cs"/>
            </a:rPr>
            <a:t>dengan berkomitmen menjalankan proses bisnis dengan patuh kepada prosedur dan ketentuan yang berlaku.</a:t>
          </a:r>
          <a:endParaRPr lang="en-US" sz="1100" b="1"/>
        </a:p>
      </xdr:txBody>
    </xdr:sp>
    <xdr:clientData/>
  </xdr:twoCellAnchor>
  <xdr:twoCellAnchor>
    <xdr:from>
      <xdr:col>5</xdr:col>
      <xdr:colOff>217691</xdr:colOff>
      <xdr:row>19</xdr:row>
      <xdr:rowOff>57694</xdr:rowOff>
    </xdr:from>
    <xdr:to>
      <xdr:col>20</xdr:col>
      <xdr:colOff>535625</xdr:colOff>
      <xdr:row>22</xdr:row>
      <xdr:rowOff>75201</xdr:rowOff>
    </xdr:to>
    <xdr:sp macro="" textlink="">
      <xdr:nvSpPr>
        <xdr:cNvPr id="27" name="TextBox 27">
          <a:extLst>
            <a:ext uri="{FF2B5EF4-FFF2-40B4-BE49-F238E27FC236}">
              <a16:creationId xmlns:a16="http://schemas.microsoft.com/office/drawing/2014/main" id="{BC7452C0-004F-422C-872E-79A632A0F491}"/>
            </a:ext>
          </a:extLst>
        </xdr:cNvPr>
        <xdr:cNvSpPr txBox="1"/>
      </xdr:nvSpPr>
      <xdr:spPr>
        <a:xfrm>
          <a:off x="3233941" y="3435894"/>
          <a:ext cx="9366684" cy="569957"/>
        </a:xfrm>
        <a:prstGeom prst="rect">
          <a:avLst/>
        </a:prstGeom>
        <a:noFill/>
        <a:ln>
          <a:solidFill>
            <a:srgbClr val="4A9AC2"/>
          </a:solidFill>
        </a:ln>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r>
            <a:rPr kumimoji="0" lang="en-US" sz="1100" b="0" i="0" u="none" strike="noStrike" kern="1200" cap="none" spc="0" normalizeH="0" baseline="0">
              <a:ln>
                <a:noFill/>
              </a:ln>
              <a:effectLst/>
              <a:uLnTx/>
              <a:uFillTx/>
              <a:latin typeface="Arial" panose="020B0604020202020204"/>
              <a:ea typeface="+mn-ea"/>
              <a:cs typeface="+mn-cs"/>
            </a:rPr>
            <a:t>PLN Batam </a:t>
          </a:r>
          <a:r>
            <a:rPr lang="en-US" sz="1100">
              <a:latin typeface="Arial" panose="020B0604020202020204" pitchFamily="7" charset="0"/>
              <a:cs typeface="Arial" panose="020B0604020202020204" pitchFamily="7" charset="0"/>
            </a:rPr>
            <a:t>bersikap </a:t>
          </a:r>
          <a:r>
            <a:rPr kumimoji="0" lang="en-US" sz="1100" b="1" i="0" u="none" strike="noStrike" kern="1200" cap="none" spc="0" normalizeH="0" baseline="0">
              <a:ln>
                <a:noFill/>
              </a:ln>
              <a:effectLst/>
              <a:uLnTx/>
              <a:uFillTx/>
              <a:latin typeface="Arial" panose="020B0604020202020204"/>
              <a:ea typeface="+mn-ea"/>
              <a:cs typeface="+mn-cs"/>
            </a:rPr>
            <a:t>moderat </a:t>
          </a:r>
          <a:r>
            <a:rPr kumimoji="0" lang="en-US" sz="1100" b="0" i="0" u="none" strike="noStrike" kern="1200" cap="none" spc="0" normalizeH="0" baseline="0">
              <a:ln>
                <a:noFill/>
              </a:ln>
              <a:effectLst/>
              <a:uLnTx/>
              <a:uFillTx/>
              <a:latin typeface="Arial" panose="020B0604020202020204"/>
              <a:ea typeface="+mn-ea"/>
              <a:cs typeface="+mn-cs"/>
            </a:rPr>
            <a:t>terhadap risiko </a:t>
          </a:r>
          <a:r>
            <a:rPr kumimoji="0" lang="en-US" sz="1100" b="1" i="0" u="none" strike="noStrike" kern="1200" cap="none" spc="0" normalizeH="0" baseline="0">
              <a:ln>
                <a:noFill/>
              </a:ln>
              <a:effectLst/>
              <a:uLnTx/>
              <a:uFillTx/>
              <a:latin typeface="Arial" panose="020B0604020202020204"/>
              <a:ea typeface="+mn-ea"/>
              <a:cs typeface="+mn-cs"/>
            </a:rPr>
            <a:t>profit Perseroan sesuai proyeksi </a:t>
          </a:r>
          <a:r>
            <a:rPr lang="en-US" sz="1100" b="1">
              <a:latin typeface="Arial" panose="020B0604020202020204"/>
            </a:rPr>
            <a:t>R</a:t>
          </a:r>
          <a:r>
            <a:rPr kumimoji="0" lang="en-US" sz="1100" b="1" i="0" u="none" strike="noStrike" kern="1200" cap="none" spc="0" normalizeH="0" baseline="0">
              <a:ln>
                <a:noFill/>
              </a:ln>
              <a:effectLst/>
              <a:uLnTx/>
              <a:uFillTx/>
              <a:latin typeface="Arial" panose="020B0604020202020204"/>
              <a:ea typeface="+mn-ea"/>
              <a:cs typeface="+mn-cs"/>
            </a:rPr>
            <a:t>KAP &amp; RJP </a:t>
          </a:r>
          <a:r>
            <a:rPr kumimoji="0" lang="en-US" sz="1100" i="0" u="none" strike="noStrike" kern="1200" cap="none" spc="0" normalizeH="0" baseline="0">
              <a:ln>
                <a:noFill/>
              </a:ln>
              <a:effectLst/>
              <a:uLnTx/>
              <a:uFillTx/>
              <a:latin typeface="Arial" panose="020B0604020202020204"/>
              <a:ea typeface="+mn-ea"/>
              <a:cs typeface="+mn-cs"/>
            </a:rPr>
            <a:t>untuk mencapai keuntungan dengan tetap memperhatikan perlindungan terhadap potensi kerugian serta keputusan bisnis yang diambil mempertimbangkan peluang pertumbuhan dan dampak risiko secara bersamaan.</a:t>
          </a:r>
          <a:endParaRPr lang="en-US" sz="1100" b="1"/>
        </a:p>
      </xdr:txBody>
    </xdr:sp>
    <xdr:clientData/>
  </xdr:twoCellAnchor>
  <xdr:twoCellAnchor>
    <xdr:from>
      <xdr:col>4</xdr:col>
      <xdr:colOff>481390</xdr:colOff>
      <xdr:row>7</xdr:row>
      <xdr:rowOff>17693</xdr:rowOff>
    </xdr:from>
    <xdr:to>
      <xdr:col>5</xdr:col>
      <xdr:colOff>212939</xdr:colOff>
      <xdr:row>8</xdr:row>
      <xdr:rowOff>154554</xdr:rowOff>
    </xdr:to>
    <xdr:sp macro="" textlink="">
      <xdr:nvSpPr>
        <xdr:cNvPr id="28" name="Arrow: Right 28">
          <a:extLst>
            <a:ext uri="{FF2B5EF4-FFF2-40B4-BE49-F238E27FC236}">
              <a16:creationId xmlns:a16="http://schemas.microsoft.com/office/drawing/2014/main" id="{358EF4CB-F03A-4BF4-B6CE-FA7C4374A985}"/>
            </a:ext>
          </a:extLst>
        </xdr:cNvPr>
        <xdr:cNvSpPr/>
      </xdr:nvSpPr>
      <xdr:spPr>
        <a:xfrm>
          <a:off x="2894390" y="1186093"/>
          <a:ext cx="334799" cy="32101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481390</xdr:colOff>
      <xdr:row>10</xdr:row>
      <xdr:rowOff>112645</xdr:rowOff>
    </xdr:from>
    <xdr:to>
      <xdr:col>5</xdr:col>
      <xdr:colOff>212939</xdr:colOff>
      <xdr:row>12</xdr:row>
      <xdr:rowOff>66626</xdr:rowOff>
    </xdr:to>
    <xdr:sp macro="" textlink="">
      <xdr:nvSpPr>
        <xdr:cNvPr id="29" name="Arrow: Right 29">
          <a:extLst>
            <a:ext uri="{FF2B5EF4-FFF2-40B4-BE49-F238E27FC236}">
              <a16:creationId xmlns:a16="http://schemas.microsoft.com/office/drawing/2014/main" id="{62E95194-FA67-43B8-973C-DD58D9326650}"/>
            </a:ext>
          </a:extLst>
        </xdr:cNvPr>
        <xdr:cNvSpPr/>
      </xdr:nvSpPr>
      <xdr:spPr>
        <a:xfrm>
          <a:off x="2894390" y="1833495"/>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481389</xdr:colOff>
      <xdr:row>13</xdr:row>
      <xdr:rowOff>163619</xdr:rowOff>
    </xdr:from>
    <xdr:to>
      <xdr:col>5</xdr:col>
      <xdr:colOff>212938</xdr:colOff>
      <xdr:row>15</xdr:row>
      <xdr:rowOff>117600</xdr:rowOff>
    </xdr:to>
    <xdr:sp macro="" textlink="">
      <xdr:nvSpPr>
        <xdr:cNvPr id="30" name="Arrow: Right 30">
          <a:extLst>
            <a:ext uri="{FF2B5EF4-FFF2-40B4-BE49-F238E27FC236}">
              <a16:creationId xmlns:a16="http://schemas.microsoft.com/office/drawing/2014/main" id="{6FDDCFEE-6B58-4D96-B1F6-E8FEEFD45D48}"/>
            </a:ext>
          </a:extLst>
        </xdr:cNvPr>
        <xdr:cNvSpPr/>
      </xdr:nvSpPr>
      <xdr:spPr>
        <a:xfrm>
          <a:off x="2894389" y="2436919"/>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477790</xdr:colOff>
      <xdr:row>16</xdr:row>
      <xdr:rowOff>161930</xdr:rowOff>
    </xdr:from>
    <xdr:to>
      <xdr:col>5</xdr:col>
      <xdr:colOff>209339</xdr:colOff>
      <xdr:row>18</xdr:row>
      <xdr:rowOff>115911</xdr:rowOff>
    </xdr:to>
    <xdr:sp macro="" textlink="">
      <xdr:nvSpPr>
        <xdr:cNvPr id="31" name="Arrow: Right 31">
          <a:extLst>
            <a:ext uri="{FF2B5EF4-FFF2-40B4-BE49-F238E27FC236}">
              <a16:creationId xmlns:a16="http://schemas.microsoft.com/office/drawing/2014/main" id="{41009D54-5BE5-4481-AFE8-DAAB7AFF530F}"/>
            </a:ext>
          </a:extLst>
        </xdr:cNvPr>
        <xdr:cNvSpPr/>
      </xdr:nvSpPr>
      <xdr:spPr>
        <a:xfrm>
          <a:off x="2890790" y="2987680"/>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477788</xdr:colOff>
      <xdr:row>30</xdr:row>
      <xdr:rowOff>51499</xdr:rowOff>
    </xdr:from>
    <xdr:to>
      <xdr:col>5</xdr:col>
      <xdr:colOff>209337</xdr:colOff>
      <xdr:row>32</xdr:row>
      <xdr:rowOff>5480</xdr:rowOff>
    </xdr:to>
    <xdr:sp macro="" textlink="">
      <xdr:nvSpPr>
        <xdr:cNvPr id="32" name="Arrow: Right 32">
          <a:extLst>
            <a:ext uri="{FF2B5EF4-FFF2-40B4-BE49-F238E27FC236}">
              <a16:creationId xmlns:a16="http://schemas.microsoft.com/office/drawing/2014/main" id="{E7172C76-D0EC-4378-A47C-F7D90360B743}"/>
            </a:ext>
          </a:extLst>
        </xdr:cNvPr>
        <xdr:cNvSpPr/>
      </xdr:nvSpPr>
      <xdr:spPr>
        <a:xfrm>
          <a:off x="2890788" y="5455349"/>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477789</xdr:colOff>
      <xdr:row>33</xdr:row>
      <xdr:rowOff>105017</xdr:rowOff>
    </xdr:from>
    <xdr:to>
      <xdr:col>5</xdr:col>
      <xdr:colOff>209338</xdr:colOff>
      <xdr:row>35</xdr:row>
      <xdr:rowOff>58998</xdr:rowOff>
    </xdr:to>
    <xdr:sp macro="" textlink="">
      <xdr:nvSpPr>
        <xdr:cNvPr id="33" name="Arrow: Right 33">
          <a:extLst>
            <a:ext uri="{FF2B5EF4-FFF2-40B4-BE49-F238E27FC236}">
              <a16:creationId xmlns:a16="http://schemas.microsoft.com/office/drawing/2014/main" id="{26AB3655-8A19-402C-A96C-BC693A1E2319}"/>
            </a:ext>
          </a:extLst>
        </xdr:cNvPr>
        <xdr:cNvSpPr/>
      </xdr:nvSpPr>
      <xdr:spPr>
        <a:xfrm>
          <a:off x="2890789" y="6061317"/>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477790</xdr:colOff>
      <xdr:row>36</xdr:row>
      <xdr:rowOff>78278</xdr:rowOff>
    </xdr:from>
    <xdr:to>
      <xdr:col>5</xdr:col>
      <xdr:colOff>209339</xdr:colOff>
      <xdr:row>38</xdr:row>
      <xdr:rowOff>32259</xdr:rowOff>
    </xdr:to>
    <xdr:sp macro="" textlink="">
      <xdr:nvSpPr>
        <xdr:cNvPr id="34" name="Arrow: Right 34">
          <a:extLst>
            <a:ext uri="{FF2B5EF4-FFF2-40B4-BE49-F238E27FC236}">
              <a16:creationId xmlns:a16="http://schemas.microsoft.com/office/drawing/2014/main" id="{C5166159-6B91-45A5-8D84-A0EEACEC14BD}"/>
            </a:ext>
          </a:extLst>
        </xdr:cNvPr>
        <xdr:cNvSpPr/>
      </xdr:nvSpPr>
      <xdr:spPr>
        <a:xfrm>
          <a:off x="2890790" y="6587028"/>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490896</xdr:colOff>
      <xdr:row>20</xdr:row>
      <xdr:rowOff>1392</xdr:rowOff>
    </xdr:from>
    <xdr:to>
      <xdr:col>5</xdr:col>
      <xdr:colOff>222445</xdr:colOff>
      <xdr:row>21</xdr:row>
      <xdr:rowOff>138253</xdr:rowOff>
    </xdr:to>
    <xdr:sp macro="" textlink="">
      <xdr:nvSpPr>
        <xdr:cNvPr id="35" name="Arrow: Right 35">
          <a:extLst>
            <a:ext uri="{FF2B5EF4-FFF2-40B4-BE49-F238E27FC236}">
              <a16:creationId xmlns:a16="http://schemas.microsoft.com/office/drawing/2014/main" id="{D72AA7E2-97AC-4A8A-AE88-6F853823FB98}"/>
            </a:ext>
          </a:extLst>
        </xdr:cNvPr>
        <xdr:cNvSpPr/>
      </xdr:nvSpPr>
      <xdr:spPr>
        <a:xfrm>
          <a:off x="2903896" y="3563742"/>
          <a:ext cx="334799" cy="32101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486143</xdr:colOff>
      <xdr:row>23</xdr:row>
      <xdr:rowOff>148032</xdr:rowOff>
    </xdr:from>
    <xdr:to>
      <xdr:col>5</xdr:col>
      <xdr:colOff>217692</xdr:colOff>
      <xdr:row>25</xdr:row>
      <xdr:rowOff>102013</xdr:rowOff>
    </xdr:to>
    <xdr:sp macro="" textlink="">
      <xdr:nvSpPr>
        <xdr:cNvPr id="36" name="Arrow: Right 36">
          <a:extLst>
            <a:ext uri="{FF2B5EF4-FFF2-40B4-BE49-F238E27FC236}">
              <a16:creationId xmlns:a16="http://schemas.microsoft.com/office/drawing/2014/main" id="{7377687A-B0D8-4042-ADB6-04F91D6AFB26}"/>
            </a:ext>
          </a:extLst>
        </xdr:cNvPr>
        <xdr:cNvSpPr/>
      </xdr:nvSpPr>
      <xdr:spPr>
        <a:xfrm>
          <a:off x="2899143" y="4262832"/>
          <a:ext cx="334799" cy="32228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486143</xdr:colOff>
      <xdr:row>27</xdr:row>
      <xdr:rowOff>16163</xdr:rowOff>
    </xdr:from>
    <xdr:to>
      <xdr:col>5</xdr:col>
      <xdr:colOff>217692</xdr:colOff>
      <xdr:row>28</xdr:row>
      <xdr:rowOff>153024</xdr:rowOff>
    </xdr:to>
    <xdr:sp macro="" textlink="">
      <xdr:nvSpPr>
        <xdr:cNvPr id="37" name="Arrow: Right 37">
          <a:extLst>
            <a:ext uri="{FF2B5EF4-FFF2-40B4-BE49-F238E27FC236}">
              <a16:creationId xmlns:a16="http://schemas.microsoft.com/office/drawing/2014/main" id="{E8839DF3-71A5-4019-860D-A359931E6F0F}"/>
            </a:ext>
          </a:extLst>
        </xdr:cNvPr>
        <xdr:cNvSpPr/>
      </xdr:nvSpPr>
      <xdr:spPr>
        <a:xfrm>
          <a:off x="2899143" y="4867563"/>
          <a:ext cx="334799" cy="321011"/>
        </a:xfrm>
        <a:prstGeom prst="rightArrow">
          <a:avLst/>
        </a:prstGeom>
        <a:solidFill>
          <a:schemeClr val="accent5">
            <a:lumMod val="60000"/>
            <a:lumOff val="40000"/>
          </a:schemeClr>
        </a:solidFill>
        <a:ln>
          <a:solidFill>
            <a:schemeClr val="accent1">
              <a:lumMod val="60000"/>
              <a:lumOff val="40000"/>
            </a:schemeClr>
          </a:soli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290215</xdr:colOff>
      <xdr:row>3</xdr:row>
      <xdr:rowOff>114029</xdr:rowOff>
    </xdr:from>
    <xdr:to>
      <xdr:col>20</xdr:col>
      <xdr:colOff>180975</xdr:colOff>
      <xdr:row>5</xdr:row>
      <xdr:rowOff>123825</xdr:rowOff>
    </xdr:to>
    <xdr:sp macro="" textlink="">
      <xdr:nvSpPr>
        <xdr:cNvPr id="38" name="TextBox 3">
          <a:extLst>
            <a:ext uri="{FF2B5EF4-FFF2-40B4-BE49-F238E27FC236}">
              <a16:creationId xmlns:a16="http://schemas.microsoft.com/office/drawing/2014/main" id="{FC643094-2690-4989-9E38-6A9C1F7D098C}"/>
            </a:ext>
          </a:extLst>
        </xdr:cNvPr>
        <xdr:cNvSpPr txBox="1"/>
      </xdr:nvSpPr>
      <xdr:spPr>
        <a:xfrm>
          <a:off x="3909715" y="615679"/>
          <a:ext cx="8336260" cy="30824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t>PLN BATAM 10 PILAR (SUDAH DITAMPILKAN DI RUPS RKAP &amp; Pemaparan ke BOD)</a:t>
          </a:r>
        </a:p>
      </xdr:txBody>
    </xdr:sp>
    <xdr:clientData/>
  </xdr:twoCellAnchor>
  <xdr:twoCellAnchor>
    <xdr:from>
      <xdr:col>0</xdr:col>
      <xdr:colOff>436515</xdr:colOff>
      <xdr:row>0</xdr:row>
      <xdr:rowOff>102259</xdr:rowOff>
    </xdr:from>
    <xdr:to>
      <xdr:col>6</xdr:col>
      <xdr:colOff>276225</xdr:colOff>
      <xdr:row>3</xdr:row>
      <xdr:rowOff>32658</xdr:rowOff>
    </xdr:to>
    <xdr:sp macro="" textlink="">
      <xdr:nvSpPr>
        <xdr:cNvPr id="39" name="Title 1">
          <a:extLst>
            <a:ext uri="{FF2B5EF4-FFF2-40B4-BE49-F238E27FC236}">
              <a16:creationId xmlns:a16="http://schemas.microsoft.com/office/drawing/2014/main" id="{82A8B576-B6AB-4131-AB3B-F1A78F316AF8}"/>
            </a:ext>
          </a:extLst>
        </xdr:cNvPr>
        <xdr:cNvSpPr>
          <a:spLocks noGrp="1"/>
        </xdr:cNvSpPr>
      </xdr:nvSpPr>
      <xdr:spPr>
        <a:xfrm>
          <a:off x="436515" y="102259"/>
          <a:ext cx="3459210" cy="482849"/>
        </a:xfrm>
        <a:prstGeom prst="rect">
          <a:avLst/>
        </a:prstGeom>
        <a:solidFill>
          <a:schemeClr val="bg1">
            <a:lumMod val="85000"/>
          </a:schemeClr>
        </a:solidFill>
        <a:ln>
          <a:noFill/>
        </a:ln>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3200" b="1" kern="1200" baseline="0">
              <a:solidFill>
                <a:schemeClr val="tx1"/>
              </a:solidFill>
              <a:latin typeface="Myriad Pro" charset="0"/>
              <a:ea typeface="Myriad Pro" charset="0"/>
              <a:cs typeface="Myriad Pro" charset="0"/>
            </a:defRPr>
          </a:lvl1pPr>
        </a:lstStyle>
        <a:p>
          <a:r>
            <a:rPr lang="en-US" sz="1400"/>
            <a:t>Draft</a:t>
          </a:r>
          <a:r>
            <a:rPr lang="en-US" sz="1400" baseline="0"/>
            <a:t> Hasil Diskusi dengan Team MR</a:t>
          </a:r>
        </a:p>
        <a:p>
          <a:r>
            <a:rPr lang="en-US" sz="1400" baseline="0"/>
            <a:t>(Kamis, 21 Maret 2024)</a:t>
          </a:r>
          <a:endParaRPr lang="en-US" sz="14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11206</xdr:colOff>
      <xdr:row>6</xdr:row>
      <xdr:rowOff>145677</xdr:rowOff>
    </xdr:from>
    <xdr:to>
      <xdr:col>9</xdr:col>
      <xdr:colOff>347383</xdr:colOff>
      <xdr:row>19</xdr:row>
      <xdr:rowOff>81803</xdr:rowOff>
    </xdr:to>
    <xdr:pic>
      <xdr:nvPicPr>
        <xdr:cNvPr id="2" name="Picture 1" descr="A screenshot of a computer&#10;&#10;Description automatically generated">
          <a:extLst>
            <a:ext uri="{FF2B5EF4-FFF2-40B4-BE49-F238E27FC236}">
              <a16:creationId xmlns:a16="http://schemas.microsoft.com/office/drawing/2014/main" id="{D6F837F6-CCC9-4392-A5A6-ED962ADCF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231" y="1650627"/>
          <a:ext cx="4603377" cy="2288801"/>
        </a:xfrm>
        <a:prstGeom prst="rect">
          <a:avLst/>
        </a:prstGeom>
      </xdr:spPr>
    </xdr:pic>
    <xdr:clientData/>
  </xdr:twoCellAnchor>
  <xdr:twoCellAnchor editAs="oneCell">
    <xdr:from>
      <xdr:col>2</xdr:col>
      <xdr:colOff>67235</xdr:colOff>
      <xdr:row>21</xdr:row>
      <xdr:rowOff>145677</xdr:rowOff>
    </xdr:from>
    <xdr:to>
      <xdr:col>9</xdr:col>
      <xdr:colOff>403412</xdr:colOff>
      <xdr:row>34</xdr:row>
      <xdr:rowOff>81804</xdr:rowOff>
    </xdr:to>
    <xdr:pic>
      <xdr:nvPicPr>
        <xdr:cNvPr id="3" name="Picture 2" descr="A screenshot of a computer&#10;&#10;Description automatically generated with medium confidence">
          <a:extLst>
            <a:ext uri="{FF2B5EF4-FFF2-40B4-BE49-F238E27FC236}">
              <a16:creationId xmlns:a16="http://schemas.microsoft.com/office/drawing/2014/main" id="{4AE929EC-8931-472F-93E9-41684E188A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8260" y="4365252"/>
          <a:ext cx="4603377" cy="2288802"/>
        </a:xfrm>
        <a:prstGeom prst="rect">
          <a:avLst/>
        </a:prstGeom>
      </xdr:spPr>
    </xdr:pic>
    <xdr:clientData/>
  </xdr:twoCellAnchor>
  <xdr:twoCellAnchor editAs="oneCell">
    <xdr:from>
      <xdr:col>2</xdr:col>
      <xdr:colOff>100853</xdr:colOff>
      <xdr:row>36</xdr:row>
      <xdr:rowOff>112058</xdr:rowOff>
    </xdr:from>
    <xdr:to>
      <xdr:col>9</xdr:col>
      <xdr:colOff>437030</xdr:colOff>
      <xdr:row>48</xdr:row>
      <xdr:rowOff>65553</xdr:rowOff>
    </xdr:to>
    <xdr:pic>
      <xdr:nvPicPr>
        <xdr:cNvPr id="4" name="Picture 3" descr="A screenshot of a computer&#10;&#10;Description automatically generated">
          <a:extLst>
            <a:ext uri="{FF2B5EF4-FFF2-40B4-BE49-F238E27FC236}">
              <a16:creationId xmlns:a16="http://schemas.microsoft.com/office/drawing/2014/main" id="{52F6F016-E6E0-43D8-8EFA-BA84BDF460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1878" y="7046258"/>
          <a:ext cx="4603377" cy="2125195"/>
        </a:xfrm>
        <a:prstGeom prst="rect">
          <a:avLst/>
        </a:prstGeom>
      </xdr:spPr>
    </xdr:pic>
    <xdr:clientData/>
  </xdr:twoCellAnchor>
  <xdr:twoCellAnchor editAs="oneCell">
    <xdr:from>
      <xdr:col>2</xdr:col>
      <xdr:colOff>44824</xdr:colOff>
      <xdr:row>50</xdr:row>
      <xdr:rowOff>145676</xdr:rowOff>
    </xdr:from>
    <xdr:to>
      <xdr:col>9</xdr:col>
      <xdr:colOff>381001</xdr:colOff>
      <xdr:row>62</xdr:row>
      <xdr:rowOff>42023</xdr:rowOff>
    </xdr:to>
    <xdr:pic>
      <xdr:nvPicPr>
        <xdr:cNvPr id="5" name="Picture 4" descr="A screenshot of a computer&#10;&#10;Description automatically generated">
          <a:extLst>
            <a:ext uri="{FF2B5EF4-FFF2-40B4-BE49-F238E27FC236}">
              <a16:creationId xmlns:a16="http://schemas.microsoft.com/office/drawing/2014/main" id="{7C4C07DA-660F-4749-BD10-F487A02DBF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5849" y="9613526"/>
          <a:ext cx="4603377" cy="2068047"/>
        </a:xfrm>
        <a:prstGeom prst="rect">
          <a:avLst/>
        </a:prstGeom>
      </xdr:spPr>
    </xdr:pic>
    <xdr:clientData/>
  </xdr:twoCellAnchor>
  <xdr:twoCellAnchor editAs="oneCell">
    <xdr:from>
      <xdr:col>2</xdr:col>
      <xdr:colOff>89648</xdr:colOff>
      <xdr:row>71</xdr:row>
      <xdr:rowOff>89647</xdr:rowOff>
    </xdr:from>
    <xdr:to>
      <xdr:col>9</xdr:col>
      <xdr:colOff>425825</xdr:colOff>
      <xdr:row>77</xdr:row>
      <xdr:rowOff>118784</xdr:rowOff>
    </xdr:to>
    <xdr:pic>
      <xdr:nvPicPr>
        <xdr:cNvPr id="6" name="Picture 5" descr="A screenshot of a computer&#10;&#10;Description automatically generated">
          <a:extLst>
            <a:ext uri="{FF2B5EF4-FFF2-40B4-BE49-F238E27FC236}">
              <a16:creationId xmlns:a16="http://schemas.microsoft.com/office/drawing/2014/main" id="{D139F7D0-D7B6-4C78-9E54-7CED917F2C7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673" y="14339047"/>
          <a:ext cx="4603377" cy="1124512"/>
        </a:xfrm>
        <a:prstGeom prst="rect">
          <a:avLst/>
        </a:prstGeom>
      </xdr:spPr>
    </xdr:pic>
    <xdr:clientData/>
  </xdr:twoCellAnchor>
  <xdr:twoCellAnchor editAs="oneCell">
    <xdr:from>
      <xdr:col>2</xdr:col>
      <xdr:colOff>0</xdr:colOff>
      <xdr:row>85</xdr:row>
      <xdr:rowOff>100853</xdr:rowOff>
    </xdr:from>
    <xdr:to>
      <xdr:col>9</xdr:col>
      <xdr:colOff>336177</xdr:colOff>
      <xdr:row>96</xdr:row>
      <xdr:rowOff>24094</xdr:rowOff>
    </xdr:to>
    <xdr:pic>
      <xdr:nvPicPr>
        <xdr:cNvPr id="7" name="Picture 6" descr="A screenshot of a computer&#10;&#10;Description automatically generated">
          <a:extLst>
            <a:ext uri="{FF2B5EF4-FFF2-40B4-BE49-F238E27FC236}">
              <a16:creationId xmlns:a16="http://schemas.microsoft.com/office/drawing/2014/main" id="{ADF1C2DB-4929-4C28-BF2C-F92020056F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1025" y="17807828"/>
          <a:ext cx="4603377" cy="1913966"/>
        </a:xfrm>
        <a:prstGeom prst="rect">
          <a:avLst/>
        </a:prstGeom>
      </xdr:spPr>
    </xdr:pic>
    <xdr:clientData/>
  </xdr:twoCellAnchor>
  <xdr:twoCellAnchor editAs="oneCell">
    <xdr:from>
      <xdr:col>2</xdr:col>
      <xdr:colOff>67235</xdr:colOff>
      <xdr:row>104</xdr:row>
      <xdr:rowOff>100853</xdr:rowOff>
    </xdr:from>
    <xdr:to>
      <xdr:col>9</xdr:col>
      <xdr:colOff>403412</xdr:colOff>
      <xdr:row>114</xdr:row>
      <xdr:rowOff>3361</xdr:rowOff>
    </xdr:to>
    <xdr:pic>
      <xdr:nvPicPr>
        <xdr:cNvPr id="8" name="Picture 7" descr="A screenshot of a computer&#10;&#10;Description automatically generated">
          <a:extLst>
            <a:ext uri="{FF2B5EF4-FFF2-40B4-BE49-F238E27FC236}">
              <a16:creationId xmlns:a16="http://schemas.microsoft.com/office/drawing/2014/main" id="{8B8BDF30-96F4-4063-A872-47348D1049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48260" y="22008353"/>
          <a:ext cx="4603377" cy="1712258"/>
        </a:xfrm>
        <a:prstGeom prst="rect">
          <a:avLst/>
        </a:prstGeom>
      </xdr:spPr>
    </xdr:pic>
    <xdr:clientData/>
  </xdr:twoCellAnchor>
  <xdr:twoCellAnchor editAs="oneCell">
    <xdr:from>
      <xdr:col>2</xdr:col>
      <xdr:colOff>44824</xdr:colOff>
      <xdr:row>122</xdr:row>
      <xdr:rowOff>56029</xdr:rowOff>
    </xdr:from>
    <xdr:to>
      <xdr:col>9</xdr:col>
      <xdr:colOff>381001</xdr:colOff>
      <xdr:row>130</xdr:row>
      <xdr:rowOff>117101</xdr:rowOff>
    </xdr:to>
    <xdr:pic>
      <xdr:nvPicPr>
        <xdr:cNvPr id="9" name="Picture 8" descr="A screenshot of a computer&#10;&#10;Description automatically generated">
          <a:extLst>
            <a:ext uri="{FF2B5EF4-FFF2-40B4-BE49-F238E27FC236}">
              <a16:creationId xmlns:a16="http://schemas.microsoft.com/office/drawing/2014/main" id="{C8D6A34D-36DA-4504-950B-487F31ABAB0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5849" y="25906879"/>
          <a:ext cx="4603377" cy="1508872"/>
        </a:xfrm>
        <a:prstGeom prst="rect">
          <a:avLst/>
        </a:prstGeom>
      </xdr:spPr>
    </xdr:pic>
    <xdr:clientData/>
  </xdr:twoCellAnchor>
  <xdr:twoCellAnchor editAs="oneCell">
    <xdr:from>
      <xdr:col>2</xdr:col>
      <xdr:colOff>78441</xdr:colOff>
      <xdr:row>138</xdr:row>
      <xdr:rowOff>33618</xdr:rowOff>
    </xdr:from>
    <xdr:to>
      <xdr:col>9</xdr:col>
      <xdr:colOff>414618</xdr:colOff>
      <xdr:row>147</xdr:row>
      <xdr:rowOff>48746</xdr:rowOff>
    </xdr:to>
    <xdr:pic>
      <xdr:nvPicPr>
        <xdr:cNvPr id="10" name="Picture 9" descr="A screenshot of a computer&#10;&#10;Description automatically generated">
          <a:extLst>
            <a:ext uri="{FF2B5EF4-FFF2-40B4-BE49-F238E27FC236}">
              <a16:creationId xmlns:a16="http://schemas.microsoft.com/office/drawing/2014/main" id="{334CDC62-F2F6-4183-9924-629E851FBC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59466" y="29523018"/>
          <a:ext cx="4603377" cy="1643903"/>
        </a:xfrm>
        <a:prstGeom prst="rect">
          <a:avLst/>
        </a:prstGeom>
      </xdr:spPr>
    </xdr:pic>
    <xdr:clientData/>
  </xdr:twoCellAnchor>
  <xdr:twoCellAnchor editAs="oneCell">
    <xdr:from>
      <xdr:col>2</xdr:col>
      <xdr:colOff>56029</xdr:colOff>
      <xdr:row>155</xdr:row>
      <xdr:rowOff>67236</xdr:rowOff>
    </xdr:from>
    <xdr:to>
      <xdr:col>9</xdr:col>
      <xdr:colOff>392206</xdr:colOff>
      <xdr:row>164</xdr:row>
      <xdr:rowOff>15689</xdr:rowOff>
    </xdr:to>
    <xdr:pic>
      <xdr:nvPicPr>
        <xdr:cNvPr id="11" name="Picture 10" descr="A screenshot of a computer&#10;&#10;Description automatically generated">
          <a:extLst>
            <a:ext uri="{FF2B5EF4-FFF2-40B4-BE49-F238E27FC236}">
              <a16:creationId xmlns:a16="http://schemas.microsoft.com/office/drawing/2014/main" id="{EB92DC34-CAF8-4FC1-98E0-B856666EA5C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7054" y="33385686"/>
          <a:ext cx="4603377" cy="1577228"/>
        </a:xfrm>
        <a:prstGeom prst="rect">
          <a:avLst/>
        </a:prstGeom>
      </xdr:spPr>
    </xdr:pic>
    <xdr:clientData/>
  </xdr:twoCellAnchor>
  <xdr:twoCellAnchor editAs="oneCell">
    <xdr:from>
      <xdr:col>2</xdr:col>
      <xdr:colOff>33618</xdr:colOff>
      <xdr:row>172</xdr:row>
      <xdr:rowOff>0</xdr:rowOff>
    </xdr:from>
    <xdr:to>
      <xdr:col>9</xdr:col>
      <xdr:colOff>369795</xdr:colOff>
      <xdr:row>179</xdr:row>
      <xdr:rowOff>164165</xdr:rowOff>
    </xdr:to>
    <xdr:pic>
      <xdr:nvPicPr>
        <xdr:cNvPr id="12" name="Picture 11" descr="A screenshot of a computer&#10;&#10;Description automatically generated">
          <a:extLst>
            <a:ext uri="{FF2B5EF4-FFF2-40B4-BE49-F238E27FC236}">
              <a16:creationId xmlns:a16="http://schemas.microsoft.com/office/drawing/2014/main" id="{6CC27DFF-9283-4976-BBC0-876FC94D26C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14643" y="37128450"/>
          <a:ext cx="4603377" cy="1430990"/>
        </a:xfrm>
        <a:prstGeom prst="rect">
          <a:avLst/>
        </a:prstGeom>
      </xdr:spPr>
    </xdr:pic>
    <xdr:clientData/>
  </xdr:twoCellAnchor>
  <xdr:twoCellAnchor editAs="oneCell">
    <xdr:from>
      <xdr:col>2</xdr:col>
      <xdr:colOff>0</xdr:colOff>
      <xdr:row>187</xdr:row>
      <xdr:rowOff>0</xdr:rowOff>
    </xdr:from>
    <xdr:to>
      <xdr:col>9</xdr:col>
      <xdr:colOff>336177</xdr:colOff>
      <xdr:row>195</xdr:row>
      <xdr:rowOff>3921</xdr:rowOff>
    </xdr:to>
    <xdr:pic>
      <xdr:nvPicPr>
        <xdr:cNvPr id="13" name="Picture 12" descr="A screenshot of a computer&#10;&#10;Description automatically generated">
          <a:extLst>
            <a:ext uri="{FF2B5EF4-FFF2-40B4-BE49-F238E27FC236}">
              <a16:creationId xmlns:a16="http://schemas.microsoft.com/office/drawing/2014/main" id="{F94FECB9-0DA8-4F82-AD5A-9B634EA4F5F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81025" y="40595550"/>
          <a:ext cx="4603377" cy="1451721"/>
        </a:xfrm>
        <a:prstGeom prst="rect">
          <a:avLst/>
        </a:prstGeom>
      </xdr:spPr>
    </xdr:pic>
    <xdr:clientData/>
  </xdr:twoCellAnchor>
  <xdr:twoCellAnchor editAs="oneCell">
    <xdr:from>
      <xdr:col>2</xdr:col>
      <xdr:colOff>0</xdr:colOff>
      <xdr:row>202</xdr:row>
      <xdr:rowOff>0</xdr:rowOff>
    </xdr:from>
    <xdr:to>
      <xdr:col>9</xdr:col>
      <xdr:colOff>336177</xdr:colOff>
      <xdr:row>209</xdr:row>
      <xdr:rowOff>154641</xdr:rowOff>
    </xdr:to>
    <xdr:pic>
      <xdr:nvPicPr>
        <xdr:cNvPr id="14" name="Picture 13" descr="A screenshot of a computer&#10;&#10;Description automatically generated">
          <a:extLst>
            <a:ext uri="{FF2B5EF4-FFF2-40B4-BE49-F238E27FC236}">
              <a16:creationId xmlns:a16="http://schemas.microsoft.com/office/drawing/2014/main" id="{C3E96405-9BB8-4BE8-8930-9A74C07CB28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81025" y="44034075"/>
          <a:ext cx="4603377" cy="1421466"/>
        </a:xfrm>
        <a:prstGeom prst="rect">
          <a:avLst/>
        </a:prstGeom>
      </xdr:spPr>
    </xdr:pic>
    <xdr:clientData/>
  </xdr:twoCellAnchor>
  <xdr:twoCellAnchor editAs="oneCell">
    <xdr:from>
      <xdr:col>2</xdr:col>
      <xdr:colOff>0</xdr:colOff>
      <xdr:row>217</xdr:row>
      <xdr:rowOff>0</xdr:rowOff>
    </xdr:from>
    <xdr:to>
      <xdr:col>9</xdr:col>
      <xdr:colOff>336177</xdr:colOff>
      <xdr:row>224</xdr:row>
      <xdr:rowOff>126066</xdr:rowOff>
    </xdr:to>
    <xdr:pic>
      <xdr:nvPicPr>
        <xdr:cNvPr id="15" name="Picture 14" descr="A screenshot of a computer&#10;&#10;Description automatically generated">
          <a:extLst>
            <a:ext uri="{FF2B5EF4-FFF2-40B4-BE49-F238E27FC236}">
              <a16:creationId xmlns:a16="http://schemas.microsoft.com/office/drawing/2014/main" id="{4F31D2E8-47F5-43EF-9CB0-BCC0C70132F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81025" y="47491650"/>
          <a:ext cx="4603377" cy="1392891"/>
        </a:xfrm>
        <a:prstGeom prst="rect">
          <a:avLst/>
        </a:prstGeom>
      </xdr:spPr>
    </xdr:pic>
    <xdr:clientData/>
  </xdr:twoCellAnchor>
  <xdr:twoCellAnchor editAs="oneCell">
    <xdr:from>
      <xdr:col>2</xdr:col>
      <xdr:colOff>0</xdr:colOff>
      <xdr:row>232</xdr:row>
      <xdr:rowOff>0</xdr:rowOff>
    </xdr:from>
    <xdr:to>
      <xdr:col>9</xdr:col>
      <xdr:colOff>336177</xdr:colOff>
      <xdr:row>235</xdr:row>
      <xdr:rowOff>109817</xdr:rowOff>
    </xdr:to>
    <xdr:pic>
      <xdr:nvPicPr>
        <xdr:cNvPr id="16" name="Picture 15" descr="A screenshot of a computer&#10;&#10;Description automatically generated">
          <a:extLst>
            <a:ext uri="{FF2B5EF4-FFF2-40B4-BE49-F238E27FC236}">
              <a16:creationId xmlns:a16="http://schemas.microsoft.com/office/drawing/2014/main" id="{5B88898D-D7AE-49CB-8D07-67E78E12EEF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81025" y="50930175"/>
          <a:ext cx="4603377" cy="652742"/>
        </a:xfrm>
        <a:prstGeom prst="rect">
          <a:avLst/>
        </a:prstGeom>
      </xdr:spPr>
    </xdr:pic>
    <xdr:clientData/>
  </xdr:twoCellAnchor>
  <xdr:twoCellAnchor editAs="oneCell">
    <xdr:from>
      <xdr:col>2</xdr:col>
      <xdr:colOff>0</xdr:colOff>
      <xdr:row>241</xdr:row>
      <xdr:rowOff>0</xdr:rowOff>
    </xdr:from>
    <xdr:to>
      <xdr:col>9</xdr:col>
      <xdr:colOff>336177</xdr:colOff>
      <xdr:row>249</xdr:row>
      <xdr:rowOff>127746</xdr:rowOff>
    </xdr:to>
    <xdr:pic>
      <xdr:nvPicPr>
        <xdr:cNvPr id="17" name="Picture 16" descr="A screenshot of a computer&#10;&#10;Description automatically generated">
          <a:extLst>
            <a:ext uri="{FF2B5EF4-FFF2-40B4-BE49-F238E27FC236}">
              <a16:creationId xmlns:a16="http://schemas.microsoft.com/office/drawing/2014/main" id="{D313C4F3-C4E1-4788-BC10-DE00184C18E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81025" y="53340000"/>
          <a:ext cx="4603377" cy="1575546"/>
        </a:xfrm>
        <a:prstGeom prst="rect">
          <a:avLst/>
        </a:prstGeom>
      </xdr:spPr>
    </xdr:pic>
    <xdr:clientData/>
  </xdr:twoCellAnchor>
  <xdr:twoCellAnchor editAs="oneCell">
    <xdr:from>
      <xdr:col>1</xdr:col>
      <xdr:colOff>112059</xdr:colOff>
      <xdr:row>256</xdr:row>
      <xdr:rowOff>67235</xdr:rowOff>
    </xdr:from>
    <xdr:to>
      <xdr:col>9</xdr:col>
      <xdr:colOff>156883</xdr:colOff>
      <xdr:row>263</xdr:row>
      <xdr:rowOff>1121</xdr:rowOff>
    </xdr:to>
    <xdr:pic>
      <xdr:nvPicPr>
        <xdr:cNvPr id="25" name="Picture 17" descr="A screenshot of a computer&#10;&#10;Description automatically generated">
          <a:extLst>
            <a:ext uri="{FF2B5EF4-FFF2-40B4-BE49-F238E27FC236}">
              <a16:creationId xmlns:a16="http://schemas.microsoft.com/office/drawing/2014/main" id="{DA40EE15-3A02-4C49-871E-C9980B3BB47C}"/>
            </a:ext>
            <a:ext uri="{147F2762-F138-4A5C-976F-8EAC2B608ADB}">
              <a16:predDERef xmlns:a16="http://schemas.microsoft.com/office/drawing/2014/main" pred="{D313C4F3-C4E1-4788-BC10-DE00184C18E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97809" y="56826710"/>
          <a:ext cx="4607299" cy="1191186"/>
        </a:xfrm>
        <a:prstGeom prst="rect">
          <a:avLst/>
        </a:prstGeom>
      </xdr:spPr>
    </xdr:pic>
    <xdr:clientData/>
  </xdr:twoCellAnchor>
  <xdr:twoCellAnchor editAs="oneCell">
    <xdr:from>
      <xdr:col>2</xdr:col>
      <xdr:colOff>78442</xdr:colOff>
      <xdr:row>274</xdr:row>
      <xdr:rowOff>22412</xdr:rowOff>
    </xdr:from>
    <xdr:to>
      <xdr:col>10</xdr:col>
      <xdr:colOff>542926</xdr:colOff>
      <xdr:row>284</xdr:row>
      <xdr:rowOff>41762</xdr:rowOff>
    </xdr:to>
    <xdr:pic>
      <xdr:nvPicPr>
        <xdr:cNvPr id="19" name="Picture 18" descr="A screenshot of a computer&#10;&#10;Description automatically generated">
          <a:extLst>
            <a:ext uri="{FF2B5EF4-FFF2-40B4-BE49-F238E27FC236}">
              <a16:creationId xmlns:a16="http://schemas.microsoft.com/office/drawing/2014/main" id="{163446A7-E875-43AB-8B16-83EB4B97C34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59467" y="60048962"/>
          <a:ext cx="5341284" cy="1829100"/>
        </a:xfrm>
        <a:prstGeom prst="rect">
          <a:avLst/>
        </a:prstGeom>
      </xdr:spPr>
    </xdr:pic>
    <xdr:clientData/>
  </xdr:twoCellAnchor>
  <xdr:twoCellAnchor editAs="oneCell">
    <xdr:from>
      <xdr:col>2</xdr:col>
      <xdr:colOff>44824</xdr:colOff>
      <xdr:row>288</xdr:row>
      <xdr:rowOff>44824</xdr:rowOff>
    </xdr:from>
    <xdr:to>
      <xdr:col>10</xdr:col>
      <xdr:colOff>448983</xdr:colOff>
      <xdr:row>302</xdr:row>
      <xdr:rowOff>15015</xdr:rowOff>
    </xdr:to>
    <xdr:pic>
      <xdr:nvPicPr>
        <xdr:cNvPr id="20" name="Picture 19" descr="A screenshot of a computer&#10;&#10;Description automatically generated">
          <a:extLst>
            <a:ext uri="{FF2B5EF4-FFF2-40B4-BE49-F238E27FC236}">
              <a16:creationId xmlns:a16="http://schemas.microsoft.com/office/drawing/2014/main" id="{B14D86E6-84AF-4A75-B4A0-E6CFB718FECE}"/>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25849" y="62605024"/>
          <a:ext cx="5280959" cy="2503841"/>
        </a:xfrm>
        <a:prstGeom prst="rect">
          <a:avLst/>
        </a:prstGeom>
      </xdr:spPr>
    </xdr:pic>
    <xdr:clientData/>
  </xdr:twoCellAnchor>
  <xdr:twoCellAnchor editAs="oneCell">
    <xdr:from>
      <xdr:col>3</xdr:col>
      <xdr:colOff>17545</xdr:colOff>
      <xdr:row>307</xdr:row>
      <xdr:rowOff>68820</xdr:rowOff>
    </xdr:from>
    <xdr:to>
      <xdr:col>11</xdr:col>
      <xdr:colOff>461074</xdr:colOff>
      <xdr:row>312</xdr:row>
      <xdr:rowOff>30870</xdr:rowOff>
    </xdr:to>
    <xdr:pic>
      <xdr:nvPicPr>
        <xdr:cNvPr id="21" name="Picture 20" descr="A screenshot of a computer&#10;&#10;Description automatically generated">
          <a:extLst>
            <a:ext uri="{FF2B5EF4-FFF2-40B4-BE49-F238E27FC236}">
              <a16:creationId xmlns:a16="http://schemas.microsoft.com/office/drawing/2014/main" id="{00A64CC7-6836-448E-9A90-C53915786B6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08170" y="66067545"/>
          <a:ext cx="5320329" cy="866925"/>
        </a:xfrm>
        <a:prstGeom prst="rect">
          <a:avLst/>
        </a:prstGeom>
      </xdr:spPr>
    </xdr:pic>
    <xdr:clientData/>
  </xdr:twoCellAnchor>
  <xdr:twoCellAnchor editAs="oneCell">
    <xdr:from>
      <xdr:col>2</xdr:col>
      <xdr:colOff>0</xdr:colOff>
      <xdr:row>349</xdr:row>
      <xdr:rowOff>0</xdr:rowOff>
    </xdr:from>
    <xdr:to>
      <xdr:col>9</xdr:col>
      <xdr:colOff>336177</xdr:colOff>
      <xdr:row>355</xdr:row>
      <xdr:rowOff>133910</xdr:rowOff>
    </xdr:to>
    <xdr:pic>
      <xdr:nvPicPr>
        <xdr:cNvPr id="22" name="Picture 21" descr="A screenshot of a computer&#10;&#10;Description automatically generated">
          <a:extLst>
            <a:ext uri="{FF2B5EF4-FFF2-40B4-BE49-F238E27FC236}">
              <a16:creationId xmlns:a16="http://schemas.microsoft.com/office/drawing/2014/main" id="{4CB4C836-3975-4100-8928-9F0CC23296B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81025" y="73609200"/>
          <a:ext cx="4603377" cy="1219760"/>
        </a:xfrm>
        <a:prstGeom prst="rect">
          <a:avLst/>
        </a:prstGeom>
      </xdr:spPr>
    </xdr:pic>
    <xdr:clientData/>
  </xdr:twoCellAnchor>
  <xdr:twoCellAnchor editAs="oneCell">
    <xdr:from>
      <xdr:col>2</xdr:col>
      <xdr:colOff>0</xdr:colOff>
      <xdr:row>362</xdr:row>
      <xdr:rowOff>0</xdr:rowOff>
    </xdr:from>
    <xdr:to>
      <xdr:col>9</xdr:col>
      <xdr:colOff>329046</xdr:colOff>
      <xdr:row>370</xdr:row>
      <xdr:rowOff>4426</xdr:rowOff>
    </xdr:to>
    <xdr:pic>
      <xdr:nvPicPr>
        <xdr:cNvPr id="23" name="Picture 22" descr="A screenshot of a computer&#10;&#10;Description automatically generated">
          <a:extLst>
            <a:ext uri="{FF2B5EF4-FFF2-40B4-BE49-F238E27FC236}">
              <a16:creationId xmlns:a16="http://schemas.microsoft.com/office/drawing/2014/main" id="{AA3B7315-B507-4B6D-88D9-FFE205FDAC6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81025" y="75961875"/>
          <a:ext cx="4596246" cy="14522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5442</xdr:colOff>
      <xdr:row>59</xdr:row>
      <xdr:rowOff>61232</xdr:rowOff>
    </xdr:from>
    <xdr:to>
      <xdr:col>11</xdr:col>
      <xdr:colOff>566329</xdr:colOff>
      <xdr:row>85</xdr:row>
      <xdr:rowOff>78377</xdr:rowOff>
    </xdr:to>
    <xdr:grpSp>
      <xdr:nvGrpSpPr>
        <xdr:cNvPr id="2" name="Group 1">
          <a:extLst>
            <a:ext uri="{FF2B5EF4-FFF2-40B4-BE49-F238E27FC236}">
              <a16:creationId xmlns:a16="http://schemas.microsoft.com/office/drawing/2014/main" id="{8938B22B-FF27-454D-9538-02CF3000D535}"/>
            </a:ext>
          </a:extLst>
        </xdr:cNvPr>
        <xdr:cNvGrpSpPr/>
      </xdr:nvGrpSpPr>
      <xdr:grpSpPr>
        <a:xfrm>
          <a:off x="2272392" y="19387457"/>
          <a:ext cx="5180512" cy="4474845"/>
          <a:chOff x="1847850" y="17011650"/>
          <a:chExt cx="4825365" cy="4722495"/>
        </a:xfrm>
      </xdr:grpSpPr>
      <xdr:pic>
        <xdr:nvPicPr>
          <xdr:cNvPr id="3" name="Picture 2" descr="A screenshot of a computer&#10;&#10;Description automatically generated">
            <a:extLst>
              <a:ext uri="{FF2B5EF4-FFF2-40B4-BE49-F238E27FC236}">
                <a16:creationId xmlns:a16="http://schemas.microsoft.com/office/drawing/2014/main" id="{5DD2503A-138E-3F78-6617-45C575CB6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7850" y="17011650"/>
            <a:ext cx="4825365" cy="2781300"/>
          </a:xfrm>
          <a:prstGeom prst="rect">
            <a:avLst/>
          </a:prstGeom>
          <a:noFill/>
        </xdr:spPr>
      </xdr:pic>
      <xdr:sp macro="" textlink="">
        <xdr:nvSpPr>
          <xdr:cNvPr id="4" name="Arrow: Chevron 3">
            <a:extLst>
              <a:ext uri="{FF2B5EF4-FFF2-40B4-BE49-F238E27FC236}">
                <a16:creationId xmlns:a16="http://schemas.microsoft.com/office/drawing/2014/main" id="{1359FF87-2808-C2A1-DAE5-8D90DDAC99FC}"/>
              </a:ext>
            </a:extLst>
          </xdr:cNvPr>
          <xdr:cNvSpPr/>
        </xdr:nvSpPr>
        <xdr:spPr>
          <a:xfrm rot="5400000">
            <a:off x="3943350" y="19688175"/>
            <a:ext cx="393700" cy="732790"/>
          </a:xfrm>
          <a:prstGeom prst="chevron">
            <a:avLst>
              <a:gd name="adj" fmla="val 54545"/>
            </a:avLst>
          </a:prstGeom>
          <a:effectLst/>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D"/>
          </a:p>
        </xdr:txBody>
      </xdr:sp>
      <xdr:pic>
        <xdr:nvPicPr>
          <xdr:cNvPr id="5" name="Picture 4" descr="A screenshot of a computer&#10;&#10;Description automatically generated">
            <a:extLst>
              <a:ext uri="{FF2B5EF4-FFF2-40B4-BE49-F238E27FC236}">
                <a16:creationId xmlns:a16="http://schemas.microsoft.com/office/drawing/2014/main" id="{593A23D1-4D66-ED8F-F75D-91605E9574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54705" y="20333970"/>
            <a:ext cx="1584960" cy="1400175"/>
          </a:xfrm>
          <a:prstGeom prst="rect">
            <a:avLst/>
          </a:prstGeom>
          <a:noFill/>
        </xdr:spPr>
      </xdr:pic>
    </xdr:grpSp>
    <xdr:clientData/>
  </xdr:twoCellAnchor>
  <xdr:twoCellAnchor editAs="oneCell">
    <xdr:from>
      <xdr:col>4</xdr:col>
      <xdr:colOff>206828</xdr:colOff>
      <xdr:row>88</xdr:row>
      <xdr:rowOff>63954</xdr:rowOff>
    </xdr:from>
    <xdr:to>
      <xdr:col>11</xdr:col>
      <xdr:colOff>93798</xdr:colOff>
      <xdr:row>100</xdr:row>
      <xdr:rowOff>25852</xdr:rowOff>
    </xdr:to>
    <xdr:pic>
      <xdr:nvPicPr>
        <xdr:cNvPr id="6" name="Picture 5">
          <a:extLst>
            <a:ext uri="{FF2B5EF4-FFF2-40B4-BE49-F238E27FC236}">
              <a16:creationId xmlns:a16="http://schemas.microsoft.com/office/drawing/2014/main" id="{44065BFA-B9C5-493A-8083-A288D2ADB3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02328" y="24743229"/>
          <a:ext cx="4192270" cy="2133598"/>
        </a:xfrm>
        <a:prstGeom prst="rect">
          <a:avLst/>
        </a:prstGeom>
        <a:noFill/>
      </xdr:spPr>
    </xdr:pic>
    <xdr:clientData/>
  </xdr:twoCellAnchor>
  <xdr:twoCellAnchor>
    <xdr:from>
      <xdr:col>3</xdr:col>
      <xdr:colOff>133350</xdr:colOff>
      <xdr:row>103</xdr:row>
      <xdr:rowOff>50346</xdr:rowOff>
    </xdr:from>
    <xdr:to>
      <xdr:col>10</xdr:col>
      <xdr:colOff>10886</xdr:colOff>
      <xdr:row>127</xdr:row>
      <xdr:rowOff>39551</xdr:rowOff>
    </xdr:to>
    <xdr:grpSp>
      <xdr:nvGrpSpPr>
        <xdr:cNvPr id="7" name="Group 6">
          <a:extLst>
            <a:ext uri="{FF2B5EF4-FFF2-40B4-BE49-F238E27FC236}">
              <a16:creationId xmlns:a16="http://schemas.microsoft.com/office/drawing/2014/main" id="{B658E576-99CF-41A9-8D75-9806B0A8F8C7}"/>
            </a:ext>
          </a:extLst>
        </xdr:cNvPr>
        <xdr:cNvGrpSpPr/>
      </xdr:nvGrpSpPr>
      <xdr:grpSpPr>
        <a:xfrm>
          <a:off x="1695450" y="27396621"/>
          <a:ext cx="4549549" cy="4104005"/>
          <a:chOff x="1085850" y="25031700"/>
          <a:chExt cx="4152900" cy="4332605"/>
        </a:xfrm>
      </xdr:grpSpPr>
      <xdr:pic>
        <xdr:nvPicPr>
          <xdr:cNvPr id="8" name="Picture 7" descr="A screenshot of a computer&#10;&#10;Description automatically generated">
            <a:extLst>
              <a:ext uri="{FF2B5EF4-FFF2-40B4-BE49-F238E27FC236}">
                <a16:creationId xmlns:a16="http://schemas.microsoft.com/office/drawing/2014/main" id="{DA24ADB3-7801-6D87-7DB9-7ED0FD1F17F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5850" y="25031700"/>
            <a:ext cx="4152900" cy="2705100"/>
          </a:xfrm>
          <a:prstGeom prst="rect">
            <a:avLst/>
          </a:prstGeom>
          <a:noFill/>
        </xdr:spPr>
      </xdr:pic>
      <xdr:sp macro="" textlink="">
        <xdr:nvSpPr>
          <xdr:cNvPr id="9" name="Arrow: Chevron 8">
            <a:extLst>
              <a:ext uri="{FF2B5EF4-FFF2-40B4-BE49-F238E27FC236}">
                <a16:creationId xmlns:a16="http://schemas.microsoft.com/office/drawing/2014/main" id="{B3B3C171-BD80-5DC8-50A4-7DC500FCC2DD}"/>
              </a:ext>
            </a:extLst>
          </xdr:cNvPr>
          <xdr:cNvSpPr/>
        </xdr:nvSpPr>
        <xdr:spPr>
          <a:xfrm rot="5400000">
            <a:off x="2600325" y="27593925"/>
            <a:ext cx="393700" cy="732790"/>
          </a:xfrm>
          <a:prstGeom prst="chevron">
            <a:avLst>
              <a:gd name="adj" fmla="val 54545"/>
            </a:avLst>
          </a:prstGeom>
          <a:effectLst/>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D"/>
          </a:p>
        </xdr:txBody>
      </xdr:sp>
      <xdr:pic>
        <xdr:nvPicPr>
          <xdr:cNvPr id="10" name="Picture 9" descr="A screenshot of a computer&#10;&#10;Description automatically generated">
            <a:extLst>
              <a:ext uri="{FF2B5EF4-FFF2-40B4-BE49-F238E27FC236}">
                <a16:creationId xmlns:a16="http://schemas.microsoft.com/office/drawing/2014/main" id="{57B295C9-D7EB-489C-3805-9D3499EA437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14525" y="28251150"/>
            <a:ext cx="1790700" cy="1113155"/>
          </a:xfrm>
          <a:prstGeom prst="rect">
            <a:avLst/>
          </a:prstGeom>
          <a:noFill/>
        </xdr:spPr>
      </xdr:pic>
    </xdr:grpSp>
    <xdr:clientData/>
  </xdr:twoCellAnchor>
  <xdr:twoCellAnchor editAs="oneCell">
    <xdr:from>
      <xdr:col>1</xdr:col>
      <xdr:colOff>114300</xdr:colOff>
      <xdr:row>174</xdr:row>
      <xdr:rowOff>0</xdr:rowOff>
    </xdr:from>
    <xdr:to>
      <xdr:col>9</xdr:col>
      <xdr:colOff>347345</xdr:colOff>
      <xdr:row>188</xdr:row>
      <xdr:rowOff>115570</xdr:rowOff>
    </xdr:to>
    <xdr:pic>
      <xdr:nvPicPr>
        <xdr:cNvPr id="11" name="Picture 10" descr="A diagram of a business process&#10;&#10;Description automatically generated">
          <a:extLst>
            <a:ext uri="{FF2B5EF4-FFF2-40B4-BE49-F238E27FC236}">
              <a16:creationId xmlns:a16="http://schemas.microsoft.com/office/drawing/2014/main" id="{3CADC6C0-456E-40E7-A9AA-FD6DEA3B9CB1}"/>
            </a:ext>
          </a:extLst>
        </xdr:cNvPr>
        <xdr:cNvPicPr>
          <a:picLocks noChangeAspect="1"/>
        </xdr:cNvPicPr>
      </xdr:nvPicPr>
      <xdr:blipFill>
        <a:blip xmlns:r="http://schemas.openxmlformats.org/officeDocument/2006/relationships" r:embed="rId6"/>
        <a:stretch>
          <a:fillRect/>
        </a:stretch>
      </xdr:blipFill>
      <xdr:spPr>
        <a:xfrm>
          <a:off x="361950" y="51720750"/>
          <a:ext cx="5166995" cy="2649220"/>
        </a:xfrm>
        <a:prstGeom prst="rect">
          <a:avLst/>
        </a:prstGeom>
      </xdr:spPr>
    </xdr:pic>
    <xdr:clientData/>
  </xdr:twoCellAnchor>
  <xdr:twoCellAnchor editAs="oneCell">
    <xdr:from>
      <xdr:col>2</xdr:col>
      <xdr:colOff>571501</xdr:colOff>
      <xdr:row>303</xdr:row>
      <xdr:rowOff>357188</xdr:rowOff>
    </xdr:from>
    <xdr:to>
      <xdr:col>11</xdr:col>
      <xdr:colOff>476250</xdr:colOff>
      <xdr:row>319</xdr:row>
      <xdr:rowOff>60402</xdr:rowOff>
    </xdr:to>
    <xdr:pic>
      <xdr:nvPicPr>
        <xdr:cNvPr id="14" name="Picture 13">
          <a:extLst>
            <a:ext uri="{FF2B5EF4-FFF2-40B4-BE49-F238E27FC236}">
              <a16:creationId xmlns:a16="http://schemas.microsoft.com/office/drawing/2014/main" id="{9B3C190D-7FB9-24D9-A756-E120013D7D82}"/>
            </a:ext>
          </a:extLst>
        </xdr:cNvPr>
        <xdr:cNvPicPr>
          <a:picLocks noChangeAspect="1"/>
        </xdr:cNvPicPr>
      </xdr:nvPicPr>
      <xdr:blipFill>
        <a:blip xmlns:r="http://schemas.openxmlformats.org/officeDocument/2006/relationships" r:embed="rId7"/>
        <a:stretch>
          <a:fillRect/>
        </a:stretch>
      </xdr:blipFill>
      <xdr:spPr>
        <a:xfrm>
          <a:off x="1333501" y="96988313"/>
          <a:ext cx="5595937" cy="2941714"/>
        </a:xfrm>
        <a:prstGeom prst="rect">
          <a:avLst/>
        </a:prstGeom>
      </xdr:spPr>
    </xdr:pic>
    <xdr:clientData/>
  </xdr:twoCellAnchor>
  <xdr:twoCellAnchor editAs="oneCell">
    <xdr:from>
      <xdr:col>2</xdr:col>
      <xdr:colOff>307547</xdr:colOff>
      <xdr:row>250</xdr:row>
      <xdr:rowOff>85725</xdr:rowOff>
    </xdr:from>
    <xdr:to>
      <xdr:col>9</xdr:col>
      <xdr:colOff>66675</xdr:colOff>
      <xdr:row>268</xdr:row>
      <xdr:rowOff>16705</xdr:rowOff>
    </xdr:to>
    <xdr:pic>
      <xdr:nvPicPr>
        <xdr:cNvPr id="15" name="Picture 14">
          <a:extLst>
            <a:ext uri="{FF2B5EF4-FFF2-40B4-BE49-F238E27FC236}">
              <a16:creationId xmlns:a16="http://schemas.microsoft.com/office/drawing/2014/main" id="{9ED62C1C-7E74-4688-7720-A072816E23F2}"/>
            </a:ext>
          </a:extLst>
        </xdr:cNvPr>
        <xdr:cNvPicPr>
          <a:picLocks noChangeAspect="1"/>
        </xdr:cNvPicPr>
      </xdr:nvPicPr>
      <xdr:blipFill>
        <a:blip xmlns:r="http://schemas.openxmlformats.org/officeDocument/2006/relationships" r:embed="rId8"/>
        <a:stretch>
          <a:fillRect/>
        </a:stretch>
      </xdr:blipFill>
      <xdr:spPr>
        <a:xfrm>
          <a:off x="1069547" y="78419325"/>
          <a:ext cx="4178728" cy="31885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lgjktpubsvr\divisi\MAZARS-ID-FS\Users%20Documents\Users\Hretnani\Documents\ESSENCE\Documents%20and%20Settings\FUNGSIONAL-NURHANI\My%20Documents\MATSUZAWA%20FURNITURE%20JUNI%202008\matsuzawa%20Juni%20200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Doc\NIAGA%202024\Risiko%20Niaga%202024\2025%20Template_Perencanaan_MR_KBUMN_PLN_Batam_08082024_V2_Bid%20AGA_240822.xlsx" TargetMode="External"/><Relationship Id="rId1" Type="http://schemas.openxmlformats.org/officeDocument/2006/relationships/externalLinkPath" Target="https://niagaplnbatam-my.sharepoint.com/personal/ahmad_khudhoibi_niagaplnbatam_onmicrosoft_com/Documents/BIDANG%20NIAGA/Risiko%20Bidang%20Niaga/2025%20Template_Perencanaan_MR_KBUMN_PLN_Batam_08082024_V2_Bid%20AGA_2408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afika.PLNBATAM\Downloads\Template%20Perencanaan%20MR%20KBUMN%20PLN%20Batam%2008082024%20V1%20Add%20Demand.xlsx" TargetMode="External"/><Relationship Id="rId1" Type="http://schemas.openxmlformats.org/officeDocument/2006/relationships/externalLinkPath" Target="file:///C:\Users\rafika.PLNBATAM\Downloads\Template%20Perencanaan%20MR%20KBUMN%20PLN%20Batam%2008082024%20V1%20Add%20Demand.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E:\PLN%20BATAM%202026\Kinerja\2026-01-08.%20Monitoring%20dan%20Evaluasi%20Program%20Tematik%202025.xlsx" TargetMode="External"/><Relationship Id="rId1" Type="http://schemas.openxmlformats.org/officeDocument/2006/relationships/externalLinkPath" Target="https://univindonesia-my.sharepoint.com/PLN%20BATAM%202026/Kinerja/2026-01-08.%20Monitoring%20dan%20Evaluasi%20Program%20Tematik%20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E:\PLN%20BATAM%202026\Anggaran\A2.%20Monitoring%20SKAO%20dan%20SKAI%20Update%20AGA%20-%20s.d%20Desember%202025.xlsx" TargetMode="External"/><Relationship Id="rId1" Type="http://schemas.openxmlformats.org/officeDocument/2006/relationships/externalLinkPath" Target="https://univindonesia-my.sharepoint.com/PLN%20BATAM%202026/Anggaran/A2.%20Monitoring%20SKAO%20dan%20SKAI%20Update%20AGA%20-%20s.d%20Desember%20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NGGARAN%20RKAP%202024\Laporan%20AI%202024\3.%20Maret\Realisasi%20AI%20s.d%20Maret%20202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VALUASI\Penggantian%20kWh%20Meter%20Tua\2024\Analisa%20Penggantian%20Kwh%20Meter%20Tua%202023.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rafika.PLNBATAM\Downloads\Format%20Penyusunan%20Perencanaan%20Manajemen%20Risiko%20BUMN%20Tahun%202024_PLN%20Batam_17-07-2024_R11%20perubahan%20sasaran.xlsx" TargetMode="External"/><Relationship Id="rId1" Type="http://schemas.openxmlformats.org/officeDocument/2006/relationships/externalLinkPath" Target="file:///C:\Users\rafika.PLNBATAM\Downloads\Format%20Penyusunan%20Perencanaan%20Manajemen%20Risiko%20BUMN%20Tahun%202024_PLN%20Batam_17-07-2024_R11%20perubahan%20sasara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DELL\Downloads\--%20ALL%20--%20Rekap_PLN%20Batam_Profil%20Risiko%20LEVEL%20KORPORAT_Data%2024.04.2024_Update%2028.04.2024_R2_HAN.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D:\07.%202024\03.%20Profil%20Risiko\Draft%20Format(AutoRecovered).xlsx" TargetMode="External"/><Relationship Id="rId1" Type="http://schemas.openxmlformats.org/officeDocument/2006/relationships/externalLinkPath" Target="https://niagaplnbatam-my.sharepoint.com/07.%202024/03.%20Profil%20Risiko/Draft%20Format(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LPP"/>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aman Judul"/>
      <sheetName val="Daftar Isi"/>
      <sheetName val="Metrik Strategi Risiko"/>
      <sheetName val="Pilihan Sasaran&amp;Strategi Bisnis"/>
      <sheetName val="SUMMARY"/>
      <sheetName val="Justifikasi Risk Assessment"/>
      <sheetName val="Contoh Justifikasi Risk Assess"/>
      <sheetName val="Source"/>
      <sheetName val="Taksonomi Risiko PLN"/>
      <sheetName val="Perhitungan Heatmap"/>
      <sheetName val="Profil Risiko"/>
      <sheetName val="Rencana Perlakuan Risiko"/>
      <sheetName val="Risiko Inheren Kuantitatif"/>
      <sheetName val="Risiko Inheren Kualitatif"/>
      <sheetName val="Risiko Residual Kuantitatif"/>
      <sheetName val="Risiko Residual Kualitatif"/>
      <sheetName val="Heatmap"/>
      <sheetName val="LAP REAL III.A"/>
      <sheetName val="LAP REAL III.B"/>
      <sheetName val="RAS"/>
      <sheetName val="Kriteria Dampak &amp; Prob."/>
      <sheetName val="Definisi Taksonomi Risiko"/>
      <sheetName val="Data Perencanaan Keuangan"/>
      <sheetName val="Ilustrasi"/>
      <sheetName val="Sheet1"/>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aman Judul"/>
      <sheetName val="Daftar Isi"/>
      <sheetName val="Metrik Strategi Risiko"/>
      <sheetName val="Pilihan Sasaran&amp;Strategi Bisnis"/>
      <sheetName val="SUMMARY"/>
      <sheetName val="Source"/>
      <sheetName val="Justifikasi Risk Assessment"/>
      <sheetName val="Contoh Justifikasi Risk Assess"/>
      <sheetName val="Perhitungan Heatmap"/>
      <sheetName val="Profil Risiko"/>
      <sheetName val="Rencana Perlakuan Risiko"/>
      <sheetName val="Risiko Inheren Kuantitatif"/>
      <sheetName val="Risiko Inheren Kualitatif"/>
      <sheetName val="Risiko Residual Kuantitatif"/>
      <sheetName val="Risiko Residual Kualitatif"/>
      <sheetName val="Heatmap"/>
      <sheetName val="LAP REAL III.A"/>
      <sheetName val="LAP REAL III.B"/>
      <sheetName val="Taksonomi Risiko PLN"/>
      <sheetName val="RAS"/>
      <sheetName val="Kriteria Dampak &amp; Prob."/>
      <sheetName val="Definisi Taksonomi Risiko"/>
      <sheetName val="Data Perencanaan Keuangan"/>
      <sheetName val="Ilustrasi"/>
      <sheetName val="Sheet1"/>
      <sheetName val="Master"/>
    </sheetNames>
    <sheetDataSet>
      <sheetData sheetId="0"/>
      <sheetData sheetId="1"/>
      <sheetData sheetId="2"/>
      <sheetData sheetId="3"/>
      <sheetData sheetId="4"/>
      <sheetData sheetId="5">
        <row r="42">
          <cell r="M42" t="str">
            <v>Reduce/Mitigate</v>
          </cell>
          <cell r="O42" t="str">
            <v>Reduce/Mitigate</v>
          </cell>
        </row>
        <row r="43">
          <cell r="M43" t="str">
            <v>Accept/Monitor</v>
          </cell>
          <cell r="O43" t="str">
            <v>Transfer/Sharing</v>
          </cell>
        </row>
      </sheetData>
      <sheetData sheetId="6">
        <row r="27">
          <cell r="D27">
            <v>0.2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AHAYA RAMADAN"/>
      <sheetName val="SEMARAK KEMERDEKAAN"/>
      <sheetName val="GEBYAR ENERGI PERAK"/>
    </sheetNames>
    <sheetDataSet>
      <sheetData sheetId="0">
        <row r="5">
          <cell r="G5">
            <v>6114998253.5806484</v>
          </cell>
        </row>
        <row r="6">
          <cell r="G6">
            <v>2091380947</v>
          </cell>
        </row>
        <row r="7">
          <cell r="G7">
            <v>623551272</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umsi"/>
      <sheetName val="Kinerja"/>
      <sheetName val="KK-Neraca"/>
      <sheetName val="Administrasi"/>
      <sheetName val="Monitoring Adm"/>
      <sheetName val="Pemeliharaan"/>
      <sheetName val="Monitoring Har"/>
      <sheetName val="Biproduksi-Operasi"/>
      <sheetName val="Monitoring  Biprod-Ops"/>
      <sheetName val="Sewa Non AHG"/>
      <sheetName val="Monitoring Sewa Non AHG"/>
      <sheetName val="Form_12_Monitoring LKAI"/>
      <sheetName val="Realisasi Kontrak AI"/>
      <sheetName val="Realisasi Bayar AI"/>
      <sheetName val="Rekap WBS AI"/>
      <sheetName val="Fungsi"/>
      <sheetName val="Kode Unit"/>
      <sheetName val="Investasi"/>
      <sheetName val="NeracaEnergi"/>
      <sheetName val="PlgDayaBP"/>
      <sheetName val="PdptBP"/>
      <sheetName val="PSO"/>
      <sheetName val="PdptLain"/>
      <sheetName val="Sewa (2)"/>
      <sheetName val="IPP - Financial Leased"/>
      <sheetName val="NeracaEnergi (2)"/>
      <sheetName val="ProdVolBiaya"/>
      <sheetName val="IPP"/>
      <sheetName val="TransferPrice"/>
      <sheetName val="Sewa"/>
      <sheetName val="Har"/>
      <sheetName val="BPeg (2)"/>
      <sheetName val="BPeg"/>
      <sheetName val="Depr"/>
      <sheetName val="BAdmin"/>
      <sheetName val="LuarOperasi"/>
      <sheetName val="COD"/>
    </sheetNames>
    <sheetDataSet>
      <sheetData sheetId="0"/>
      <sheetData sheetId="1"/>
      <sheetData sheetId="2"/>
      <sheetData sheetId="3"/>
      <sheetData sheetId="4"/>
      <sheetData sheetId="5"/>
      <sheetData sheetId="6"/>
      <sheetData sheetId="7"/>
      <sheetData sheetId="8"/>
      <sheetData sheetId="9"/>
      <sheetData sheetId="10"/>
      <sheetData sheetId="11">
        <row r="9">
          <cell r="AI9">
            <v>12453583900</v>
          </cell>
          <cell r="AR9">
            <v>12453583900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Realisasi"/>
      <sheetName val="AI 15"/>
      <sheetName val="TOP 15"/>
      <sheetName val="Monitoring AI"/>
      <sheetName val="TRAJECTORY"/>
      <sheetName val="RTB"/>
      <sheetName val="GRAFIK"/>
      <sheetName val="PerUnit"/>
      <sheetName val="Perfungsi"/>
      <sheetName val="Laporan"/>
      <sheetName val="Mon Bulanan Rp"/>
      <sheetName val="Realisasi AKI"/>
      <sheetName val="AI"/>
      <sheetName val="Realisasi AI Maret"/>
      <sheetName val="Rekap"/>
      <sheetName val="2024"/>
      <sheetName val="SKAI-WBS"/>
      <sheetName val="SKAI UBKITRANS"/>
      <sheetName val="SKAI BID HCGA"/>
      <sheetName val="SKAI UB DISYAN"/>
      <sheetName val="SKAI BID AGA"/>
      <sheetName val="SKAI BID REN"/>
      <sheetName val="SKAI BID MANPRO"/>
      <sheetName val="SKAI BID BIS"/>
      <sheetName val="SKAI UB BES"/>
      <sheetName val="SKAI UB INFRA"/>
    </sheetNames>
    <sheetDataSet>
      <sheetData sheetId="0"/>
      <sheetData sheetId="1"/>
      <sheetData sheetId="2"/>
      <sheetData sheetId="3"/>
      <sheetData sheetId="4"/>
      <sheetData sheetId="5"/>
      <sheetData sheetId="6"/>
      <sheetData sheetId="7"/>
      <sheetData sheetId="8"/>
      <sheetData sheetId="9">
        <row r="19">
          <cell r="S19">
            <v>944981.35331945203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JAN"/>
      <sheetName val="FEB"/>
      <sheetName val="MAR"/>
      <sheetName val="APR"/>
      <sheetName val="MEI"/>
      <sheetName val="JUNI"/>
      <sheetName val="JULI"/>
      <sheetName val="AGUST"/>
      <sheetName val="SEPT"/>
      <sheetName val="OKT"/>
      <sheetName val="NOV"/>
      <sheetName val="DES"/>
      <sheetName val="REKAP"/>
    </sheetNames>
    <sheetDataSet>
      <sheetData sheetId="0" refreshError="1"/>
      <sheetData sheetId="1" refreshError="1">
        <row r="2">
          <cell r="AD2">
            <v>23300.666666666701</v>
          </cell>
        </row>
      </sheetData>
      <sheetData sheetId="2" refreshError="1">
        <row r="2">
          <cell r="AD2">
            <v>41680.666666666599</v>
          </cell>
        </row>
      </sheetData>
      <sheetData sheetId="3" refreshError="1">
        <row r="2">
          <cell r="AD2">
            <v>41586.666666666599</v>
          </cell>
        </row>
      </sheetData>
      <sheetData sheetId="4" refreshError="1">
        <row r="2">
          <cell r="AD2">
            <v>49018.666666666599</v>
          </cell>
        </row>
      </sheetData>
      <sheetData sheetId="5" refreshError="1">
        <row r="2">
          <cell r="AD2">
            <v>109673.5</v>
          </cell>
        </row>
      </sheetData>
      <sheetData sheetId="6" refreshError="1">
        <row r="2">
          <cell r="AD2">
            <v>20456.166666666701</v>
          </cell>
        </row>
      </sheetData>
      <sheetData sheetId="7" refreshError="1">
        <row r="2">
          <cell r="AD2">
            <v>40163.166666666701</v>
          </cell>
        </row>
      </sheetData>
      <sheetData sheetId="8" refreshError="1">
        <row r="2">
          <cell r="AD2">
            <v>19945.083333333299</v>
          </cell>
        </row>
      </sheetData>
      <sheetData sheetId="9" refreshError="1">
        <row r="2">
          <cell r="AD2">
            <v>15016.833333333299</v>
          </cell>
        </row>
      </sheetData>
      <sheetData sheetId="10" refreshError="1">
        <row r="2">
          <cell r="AD2">
            <v>18846.333333333299</v>
          </cell>
        </row>
      </sheetData>
      <sheetData sheetId="11" refreshError="1">
        <row r="2">
          <cell r="AD2">
            <v>10555</v>
          </cell>
        </row>
      </sheetData>
      <sheetData sheetId="12" refreshError="1">
        <row r="2">
          <cell r="AD2">
            <v>3784.6666666666702</v>
          </cell>
        </row>
      </sheetData>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aman Judul"/>
      <sheetName val="Daftar Isi"/>
      <sheetName val="Metrik Strategi Risiko"/>
      <sheetName val="Pilihan Sasaran&amp;Strategi Bisnis"/>
      <sheetName val="Profil Risiko_Korporat_240724"/>
      <sheetName val="Risiko Inheren Kuantitatif"/>
      <sheetName val="Risiko Inheren Kualitatif"/>
      <sheetName val="Risiko Residual Kuantitatif"/>
      <sheetName val="Risiko Residual Kualitatif"/>
      <sheetName val="Rencana Perlakuan Risiko"/>
      <sheetName val="Heatmap"/>
      <sheetName val="Kriteria Dampak &amp; Prob."/>
      <sheetName val="Taksonomi Risiko PLN"/>
      <sheetName val="Justifikasi Risk Assessment"/>
      <sheetName val="Data Perencanaan Keuangan"/>
      <sheetName val="kriteria efektivitas kontrol"/>
      <sheetName val="Definisi Taksonomi Risiko"/>
      <sheetName val="Ilustrasi"/>
      <sheetName val="Master"/>
      <sheetName val="LED"/>
      <sheetName val="RAS"/>
      <sheetName val="PIC Sasaran utama &amp; KPI"/>
      <sheetName val="Program Prioritas"/>
    </sheetNames>
    <sheetDataSet>
      <sheetData sheetId="0"/>
      <sheetData sheetId="1"/>
      <sheetData sheetId="2">
        <row r="8">
          <cell r="E8">
            <v>360000000000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laman Judul"/>
      <sheetName val="Daftar Isi"/>
      <sheetName val="RAS"/>
      <sheetName val="Metrik Strategi Risiko"/>
      <sheetName val="Pilihan Sasaran&amp;Strategi Bisnis"/>
      <sheetName val="taksonomi Risiko PLN"/>
      <sheetName val="PIC Sasaran utama &amp; KPI"/>
      <sheetName val="Program Prioritas"/>
      <sheetName val="Profil Risiko_Korporat_240424"/>
      <sheetName val="Risiko Inheren Kuantitatif"/>
      <sheetName val="Risiko Inheren Kualitatif"/>
      <sheetName val="Risiko Residual Kuantitatif"/>
      <sheetName val="Risiko Residual Kualitatif"/>
      <sheetName val="Rencana Perlakuan Risiko"/>
      <sheetName val="Justifikasi risk assessment"/>
      <sheetName val="Heatmap"/>
      <sheetName val="Perhitungan Heatmap"/>
      <sheetName val="Kriteria Dampak &amp; Prob."/>
      <sheetName val="Definisi Taksonomi Risiko"/>
      <sheetName val="Data Perencanaan Keuangan"/>
      <sheetName val="Ilustrasi"/>
      <sheetName val="Master"/>
      <sheetName val="LED"/>
      <sheetName val="kriteria efektivitas kontrol"/>
    </sheetNames>
    <sheetDataSet>
      <sheetData sheetId="0" refreshError="1"/>
      <sheetData sheetId="1" refreshError="1"/>
      <sheetData sheetId="2" refreshError="1"/>
      <sheetData sheetId="3">
        <row r="8">
          <cell r="E8">
            <v>360000000000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laman Judul"/>
      <sheetName val="Daftar Isi"/>
      <sheetName val="RAS"/>
      <sheetName val="Sheet1"/>
      <sheetName val="PIC Sasaran utama &amp; KPI"/>
      <sheetName val="Program Prioritas"/>
      <sheetName val="Metrik Strategi Risiko"/>
      <sheetName val="Pilihan Sasaran&amp;Strategi Bisnis"/>
      <sheetName val="SUMMARY"/>
      <sheetName val="Perhitungan Heatmap"/>
      <sheetName val="Rencana Perlakuan Risiko"/>
      <sheetName val="Profil Risiko_Korporat_240424"/>
      <sheetName val="Risiko Inheren Kuantitatif"/>
      <sheetName val="Risiko Inheren Kualitatif"/>
      <sheetName val="Risiko Residual Kuantitatif"/>
      <sheetName val="Risiko Residual Kualitatif"/>
      <sheetName val="Justifikasi Risk Assessment"/>
      <sheetName val="Heatmap"/>
      <sheetName val="taksonomi Risiko PLN"/>
      <sheetName val="Kriteria Dampak &amp; Prob."/>
      <sheetName val="Definisi Taksonomi Risiko"/>
      <sheetName val="Data Perencanaan Keuangan"/>
      <sheetName val="Ilustrasi"/>
      <sheetName val="Master"/>
      <sheetName val="LED"/>
      <sheetName val="kriteria efektivitas kontrol"/>
    </sheetNames>
    <sheetDataSet>
      <sheetData sheetId="0"/>
      <sheetData sheetId="1"/>
      <sheetData sheetId="2"/>
      <sheetData sheetId="3"/>
      <sheetData sheetId="4"/>
      <sheetData sheetId="5"/>
      <sheetData sheetId="6"/>
      <sheetData sheetId="7"/>
      <sheetData sheetId="8"/>
      <sheetData sheetId="9"/>
      <sheetData sheetId="10"/>
      <sheetData sheetId="11">
        <row r="8">
          <cell r="J8" t="str">
            <v>Kenaikan beban operasi akibat pelemahan nilai tukar rupiah terhadap dollar</v>
          </cell>
        </row>
        <row r="9">
          <cell r="J9" t="str">
            <v>Keterlambatan Penerimaan Penjualan Tenaga Listrik MPP 500 MW</v>
          </cell>
        </row>
        <row r="10">
          <cell r="J10" t="str">
            <v>Anggaran Operasi melebihi pagu RKAP yang telah ditetapkan</v>
          </cell>
        </row>
        <row r="11">
          <cell r="J11" t="str">
            <v xml:space="preserve">Realisasi pelaksanaan pekerjaan proyek Anggaran Investasi tidak sesuai dengan perencanaan keuangan
</v>
          </cell>
        </row>
        <row r="12">
          <cell r="J12" t="str">
            <v>Penyelesaian dan Penyampaian Laporan Keuangan audit tidak sesuai target waktu yang ditetapkan</v>
          </cell>
        </row>
        <row r="13">
          <cell r="J13" t="str">
            <v xml:space="preserve">Talent Development dan Talent Mobility tidak efektif dalam menyiapkan Talent milenial untuk Ready sebagai suksesi </v>
          </cell>
        </row>
        <row r="14">
          <cell r="J14" t="str">
            <v xml:space="preserve">Talent Development dan Talent Mobility tidak efektif dalam menyiapkan Talent Perempuan untuk Ready sebagai suksesi </v>
          </cell>
        </row>
        <row r="15">
          <cell r="J15" t="str">
            <v xml:space="preserve">Ketidaktersediaan waktu pengelola organ risiko untuk mengikuti sertifikasi </v>
          </cell>
        </row>
        <row r="16">
          <cell r="J16" t="str">
            <v>Pelaksanaan TJSL/CSR tidak sesuai dengan Timeline</v>
          </cell>
        </row>
        <row r="17">
          <cell r="J17" t="str">
            <v>Kurangnya koordinasi antara auditor dengan auditee terkait tindak lanjut rekomendasi</v>
          </cell>
        </row>
        <row r="18">
          <cell r="J18" t="str">
            <v>Ketersediaan pasokan Gas harga ekonomis tidak mencukupi kebutuhan operasional pembangkit gas</v>
          </cell>
        </row>
        <row r="19">
          <cell r="J19" t="str">
            <v>Penambahan pembangkit berbasis EBT dalam sistem Batam – Bintan tidak mencapai target 100 MWp tahun 2025</v>
          </cell>
        </row>
        <row r="20">
          <cell r="J20" t="str">
            <v xml:space="preserve">Pemenuhan parameter dan kriteria Penilian RMI </v>
          </cell>
        </row>
        <row r="21">
          <cell r="J21" t="str">
            <v>Penjualan listrik kurang maksimal</v>
          </cell>
        </row>
        <row r="22">
          <cell r="J22" t="str">
            <v>Pemegang Saham tidak menyetujui pembelian saham</v>
          </cell>
        </row>
        <row r="23">
          <cell r="J23" t="str">
            <v>Pemegang Saham tidak menyetujui pembelian saham</v>
          </cell>
        </row>
        <row r="24">
          <cell r="J24" t="str">
            <v>Biaya AMC melebihi pagu anggaran</v>
          </cell>
        </row>
        <row r="25">
          <cell r="J25" t="str">
            <v>Harga Jual rata-rata di bawah target RKAP</v>
          </cell>
        </row>
        <row r="28">
          <cell r="J28" t="str">
            <v>Penurunan market share penjualan listrik</v>
          </cell>
        </row>
        <row r="36">
          <cell r="J36" t="str">
            <v>Kegagalan Integrasi Proses Bisnis PLN Batam ke PLN Mobile</v>
          </cell>
        </row>
        <row r="51">
          <cell r="J51" t="str">
            <v>Biaya Pokok Penyediaan Diatas Harga Jual Rata-rata karena permintaan pasokan ke IPP</v>
          </cell>
        </row>
        <row r="52">
          <cell r="J52" t="str">
            <v>Tidak terpenuhinya kriteria penilaian dalam Maturity Level Sustainability (Sertifikat Sistem Manajemen Lingkungan)</v>
          </cell>
        </row>
        <row r="53">
          <cell r="J53" t="str">
            <v>Terjadinya Perilaku berbahaya (Unsafe action)</v>
          </cell>
        </row>
        <row r="54">
          <cell r="J54" t="str">
            <v>Terjadinya Kondisi berbahaya (Unsafe condition)</v>
          </cell>
        </row>
        <row r="55">
          <cell r="J55" t="str">
            <v>Pencemaran lingkungan hidup di area unit kerja</v>
          </cell>
        </row>
        <row r="56">
          <cell r="J56" t="str">
            <v>Peralatan ketenagalistrikan belum memiliki SLO (Standar Laik Operasi)</v>
          </cell>
        </row>
        <row r="57">
          <cell r="J57" t="str">
            <v>Terjadinya pemadaman meluas dan atau blackout di sistem kelistrikan Batam - Bintan</v>
          </cell>
        </row>
        <row r="79">
          <cell r="J79" t="str">
            <v>Terjadi Defisit Daya Pada Sistem Batam-Bintan</v>
          </cell>
        </row>
        <row r="89">
          <cell r="J89" t="str">
            <v>Realisasi operasi sistem ketenagalistrikan tidak berjalan sesuai dengan rencana</v>
          </cell>
        </row>
      </sheetData>
      <sheetData sheetId="12">
        <row r="9">
          <cell r="O9">
            <v>9</v>
          </cell>
        </row>
        <row r="10">
          <cell r="O10">
            <v>19</v>
          </cell>
        </row>
        <row r="11">
          <cell r="O11">
            <v>11</v>
          </cell>
        </row>
        <row r="12">
          <cell r="O12">
            <v>18</v>
          </cell>
        </row>
        <row r="13">
          <cell r="O13">
            <v>23</v>
          </cell>
        </row>
        <row r="14">
          <cell r="O14">
            <v>2</v>
          </cell>
        </row>
        <row r="15">
          <cell r="O15">
            <v>4</v>
          </cell>
        </row>
        <row r="16">
          <cell r="O16">
            <v>17</v>
          </cell>
        </row>
        <row r="17">
          <cell r="O17">
            <v>3</v>
          </cell>
        </row>
        <row r="18">
          <cell r="O18">
            <v>4</v>
          </cell>
        </row>
        <row r="19">
          <cell r="O19">
            <v>7</v>
          </cell>
        </row>
        <row r="20">
          <cell r="O20">
            <v>15</v>
          </cell>
        </row>
        <row r="21">
          <cell r="O21">
            <v>1</v>
          </cell>
        </row>
        <row r="22">
          <cell r="O22">
            <v>1</v>
          </cell>
        </row>
        <row r="23">
          <cell r="O23">
            <v>1</v>
          </cell>
        </row>
        <row r="24">
          <cell r="O24">
            <v>4</v>
          </cell>
        </row>
        <row r="25">
          <cell r="O25">
            <v>3</v>
          </cell>
        </row>
        <row r="28">
          <cell r="O28">
            <v>12</v>
          </cell>
        </row>
        <row r="29">
          <cell r="O29">
            <v>3</v>
          </cell>
        </row>
        <row r="30">
          <cell r="O30">
            <v>4</v>
          </cell>
        </row>
        <row r="31">
          <cell r="O31">
            <v>14</v>
          </cell>
        </row>
        <row r="32">
          <cell r="O32">
            <v>5</v>
          </cell>
        </row>
        <row r="33">
          <cell r="O33">
            <v>20</v>
          </cell>
        </row>
        <row r="56">
          <cell r="O56"/>
        </row>
      </sheetData>
      <sheetData sheetId="13">
        <row r="9">
          <cell r="O9">
            <v>1</v>
          </cell>
        </row>
        <row r="10">
          <cell r="O10">
            <v>13</v>
          </cell>
        </row>
        <row r="11">
          <cell r="O11">
            <v>13</v>
          </cell>
        </row>
        <row r="12">
          <cell r="O12">
            <v>14</v>
          </cell>
        </row>
        <row r="13">
          <cell r="O13">
            <v>1</v>
          </cell>
        </row>
        <row r="14">
          <cell r="O14">
            <v>7</v>
          </cell>
        </row>
        <row r="15">
          <cell r="O15">
            <v>1</v>
          </cell>
        </row>
        <row r="16">
          <cell r="O16">
            <v>13</v>
          </cell>
        </row>
        <row r="18">
          <cell r="O18">
            <v>25</v>
          </cell>
        </row>
        <row r="19">
          <cell r="O19">
            <v>15</v>
          </cell>
        </row>
        <row r="20">
          <cell r="O20">
            <v>13</v>
          </cell>
        </row>
        <row r="21">
          <cell r="O21">
            <v>19</v>
          </cell>
        </row>
        <row r="22">
          <cell r="O22">
            <v>19</v>
          </cell>
        </row>
        <row r="23">
          <cell r="O23">
            <v>10</v>
          </cell>
        </row>
        <row r="24">
          <cell r="O24">
            <v>16</v>
          </cell>
        </row>
      </sheetData>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5E7D-B273-4BE2-8C92-8BCCAAB42DC6}">
  <sheetPr>
    <tabColor rgb="FFFFC000"/>
  </sheetPr>
  <dimension ref="A1:J29"/>
  <sheetViews>
    <sheetView showGridLines="0" zoomScale="85" zoomScaleNormal="85" workbookViewId="0">
      <selection activeCell="F4" sqref="F4:I4"/>
    </sheetView>
  </sheetViews>
  <sheetFormatPr defaultRowHeight="14.25"/>
  <cols>
    <col min="5" max="5" width="13.59765625" customWidth="1"/>
    <col min="9" max="9" width="26.3984375" customWidth="1"/>
  </cols>
  <sheetData>
    <row r="1" spans="5:9" ht="15.4">
      <c r="E1" s="172" t="s">
        <v>0</v>
      </c>
      <c r="F1" s="172"/>
      <c r="G1" s="172"/>
      <c r="H1" s="172"/>
      <c r="I1" s="172"/>
    </row>
    <row r="2" spans="5:9" ht="15.4">
      <c r="E2" s="1472" t="s">
        <v>1</v>
      </c>
      <c r="F2" s="1472"/>
      <c r="G2" s="1472"/>
      <c r="H2" s="1472"/>
      <c r="I2" s="1472"/>
    </row>
    <row r="3" spans="5:9" ht="15.4">
      <c r="E3" s="172" t="s">
        <v>2</v>
      </c>
      <c r="F3" s="1473" t="s">
        <v>3</v>
      </c>
      <c r="G3" s="1473"/>
      <c r="H3" s="1473"/>
      <c r="I3" s="1473"/>
    </row>
    <row r="4" spans="5:9" ht="63" customHeight="1">
      <c r="E4" s="174" t="s">
        <v>4</v>
      </c>
      <c r="F4" s="1474" t="s">
        <v>5</v>
      </c>
      <c r="G4" s="1474"/>
      <c r="H4" s="1474"/>
      <c r="I4" s="1474"/>
    </row>
    <row r="5" spans="5:9" ht="15.4">
      <c r="E5" s="172" t="s">
        <v>6</v>
      </c>
      <c r="F5" s="1473" t="s">
        <v>7</v>
      </c>
      <c r="G5" s="1473"/>
      <c r="H5" s="1473"/>
      <c r="I5" s="1473"/>
    </row>
    <row r="6" spans="5:9" ht="15.4">
      <c r="E6" s="172"/>
      <c r="F6" s="173"/>
      <c r="G6" s="173"/>
      <c r="H6" s="173"/>
      <c r="I6" s="173"/>
    </row>
    <row r="7" spans="5:9" ht="15.4">
      <c r="E7" s="172"/>
      <c r="F7" s="173"/>
      <c r="G7" s="173"/>
      <c r="H7" s="173"/>
      <c r="I7" s="173"/>
    </row>
    <row r="9" spans="5:9" ht="17.649999999999999">
      <c r="E9" s="108" t="s">
        <v>8</v>
      </c>
    </row>
    <row r="10" spans="5:9" ht="17.649999999999999">
      <c r="E10" s="108" t="s">
        <v>9</v>
      </c>
    </row>
    <row r="11" spans="5:9" ht="17.649999999999999">
      <c r="E11" s="108" t="s">
        <v>10</v>
      </c>
    </row>
    <row r="20" spans="1:10" ht="15.4">
      <c r="J20" s="109"/>
    </row>
    <row r="21" spans="1:10" ht="15.4">
      <c r="J21" s="109"/>
    </row>
    <row r="22" spans="1:10" ht="15.4">
      <c r="J22" s="109"/>
    </row>
    <row r="27" spans="1:10" ht="15.4">
      <c r="A27" s="109"/>
      <c r="B27" s="109"/>
      <c r="C27" s="109"/>
      <c r="D27" s="109"/>
      <c r="E27" s="109"/>
      <c r="F27" s="109"/>
      <c r="G27" s="109"/>
      <c r="H27" s="109"/>
      <c r="I27" s="109"/>
    </row>
    <row r="28" spans="1:10" ht="17.25">
      <c r="A28" s="109"/>
      <c r="B28" s="109"/>
      <c r="C28" s="109"/>
      <c r="D28" s="110"/>
      <c r="E28" s="175" t="s">
        <v>11</v>
      </c>
      <c r="F28" s="109"/>
      <c r="G28" s="109"/>
      <c r="H28" s="109"/>
      <c r="I28" s="109"/>
    </row>
    <row r="29" spans="1:10" ht="17.25">
      <c r="A29" s="109"/>
      <c r="B29" s="109"/>
      <c r="C29" s="109"/>
      <c r="D29" s="109"/>
      <c r="E29" s="175" t="s">
        <v>12</v>
      </c>
      <c r="F29" s="109"/>
      <c r="G29" s="109"/>
      <c r="H29" s="109"/>
      <c r="I29" s="109"/>
    </row>
  </sheetData>
  <mergeCells count="4">
    <mergeCell ref="E2:I2"/>
    <mergeCell ref="F3:I3"/>
    <mergeCell ref="F4:I4"/>
    <mergeCell ref="F5:I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40E7-CB62-4044-AF3D-89C9AEC0AC05}">
  <sheetPr codeName="Sheet1">
    <tabColor rgb="FFFFC000"/>
  </sheetPr>
  <dimension ref="A2:L18"/>
  <sheetViews>
    <sheetView showGridLines="0" zoomScale="85" zoomScaleNormal="85" workbookViewId="0">
      <selection activeCell="I5" sqref="I5"/>
    </sheetView>
  </sheetViews>
  <sheetFormatPr defaultColWidth="10.86328125" defaultRowHeight="12.75"/>
  <cols>
    <col min="1" max="1" width="4.3984375" style="72" customWidth="1"/>
    <col min="2" max="2" width="6.1328125" style="72" customWidth="1"/>
    <col min="3" max="3" width="32.1328125" style="69" customWidth="1"/>
    <col min="4" max="4" width="15.86328125" style="69" customWidth="1"/>
    <col min="5" max="16384" width="10.86328125" style="69"/>
  </cols>
  <sheetData>
    <row r="2" spans="1:12" ht="18" customHeight="1" thickBot="1">
      <c r="A2" s="1475" t="s">
        <v>13</v>
      </c>
      <c r="B2" s="1475"/>
      <c r="C2" s="1475"/>
      <c r="D2" s="1475"/>
      <c r="E2" s="1475"/>
      <c r="F2" s="1475"/>
      <c r="G2" s="1475"/>
    </row>
    <row r="3" spans="1:12" ht="13.5" thickTop="1">
      <c r="C3" s="71"/>
      <c r="D3" s="71"/>
    </row>
    <row r="4" spans="1:12" ht="15" customHeight="1">
      <c r="B4" s="72">
        <v>1</v>
      </c>
      <c r="C4" s="168" t="s">
        <v>14</v>
      </c>
      <c r="L4" s="70" t="s">
        <v>15</v>
      </c>
    </row>
    <row r="5" spans="1:12" ht="15" customHeight="1">
      <c r="B5" s="72">
        <v>2</v>
      </c>
      <c r="C5" s="168" t="s">
        <v>16</v>
      </c>
      <c r="L5" s="70" t="s">
        <v>17</v>
      </c>
    </row>
    <row r="6" spans="1:12" ht="15" customHeight="1">
      <c r="B6" s="72">
        <v>3</v>
      </c>
      <c r="C6" s="168" t="s">
        <v>18</v>
      </c>
    </row>
    <row r="7" spans="1:12" ht="15" customHeight="1">
      <c r="B7" s="72">
        <v>4</v>
      </c>
      <c r="C7" s="168" t="s">
        <v>19</v>
      </c>
    </row>
    <row r="8" spans="1:12" ht="15" customHeight="1">
      <c r="B8" s="72">
        <v>5</v>
      </c>
      <c r="C8" s="168" t="s">
        <v>20</v>
      </c>
    </row>
    <row r="9" spans="1:12" ht="15" customHeight="1">
      <c r="B9" s="72">
        <v>6</v>
      </c>
      <c r="C9" s="168" t="s">
        <v>21</v>
      </c>
    </row>
    <row r="10" spans="1:12" ht="15" customHeight="1">
      <c r="B10" s="72">
        <v>7</v>
      </c>
      <c r="C10" s="168" t="s">
        <v>22</v>
      </c>
    </row>
    <row r="11" spans="1:12" ht="15" customHeight="1">
      <c r="B11" s="72">
        <v>8</v>
      </c>
      <c r="C11" s="168" t="s">
        <v>23</v>
      </c>
    </row>
    <row r="12" spans="1:12" ht="15" customHeight="1">
      <c r="B12" s="72">
        <v>9</v>
      </c>
      <c r="C12" s="168" t="s">
        <v>24</v>
      </c>
    </row>
    <row r="13" spans="1:12" ht="15" customHeight="1">
      <c r="B13" s="72">
        <v>10</v>
      </c>
      <c r="C13" s="168" t="s">
        <v>25</v>
      </c>
    </row>
    <row r="14" spans="1:12" ht="15" customHeight="1">
      <c r="B14" s="72">
        <v>11</v>
      </c>
      <c r="C14" s="168" t="s">
        <v>26</v>
      </c>
    </row>
    <row r="15" spans="1:12" ht="15" customHeight="1">
      <c r="B15" s="72">
        <v>12</v>
      </c>
      <c r="C15" s="111" t="s">
        <v>27</v>
      </c>
    </row>
    <row r="16" spans="1:12" ht="15" customHeight="1">
      <c r="B16" s="72">
        <v>13</v>
      </c>
      <c r="C16" s="111" t="s">
        <v>28</v>
      </c>
    </row>
    <row r="17" ht="15" customHeight="1"/>
    <row r="18" ht="15" customHeight="1"/>
  </sheetData>
  <mergeCells count="1">
    <mergeCell ref="A2:G2"/>
  </mergeCells>
  <hyperlinks>
    <hyperlink ref="C4" location="'Metrik Strategi Risiko'!A1" display="Format Metrik Strategi Risiko" xr:uid="{2459A987-95D8-4C9D-B551-A01F9BDAB553}"/>
    <hyperlink ref="C5" location="'Pilihan Sasaran&amp;Strategi Bisnis'!A1" display="Format Pilihan Sasaran&amp;Strategi Bisnis" xr:uid="{EFB9E942-CACA-4AC3-861D-D36509BD132A}"/>
    <hyperlink ref="C6" location="'Profil Risiko'!A1" display="Format Profil Risiko" xr:uid="{3022DA1D-1CCE-43A7-9173-F3184405D715}"/>
    <hyperlink ref="C7" location="'Risiko Inheren Kuantitatif'!A1" display="Format Risiko Inheren Kuantitatif" xr:uid="{E3DCCF7C-C11E-4693-A29C-39A571A797B2}"/>
    <hyperlink ref="C8" location="'Risiko Inheren Kualitatif'!A1" display="Format Risiko Inheren Kualitatif" xr:uid="{2E6797BE-E5A4-44BE-80BC-4C865C9A3B77}"/>
    <hyperlink ref="C9" location="'Risiko Residual Kuantitatif'!A1" display="Format Risiko Residual Kuantitatif" xr:uid="{6AD760C5-BA0C-4986-96F8-89A91F5BDEE5}"/>
    <hyperlink ref="C10" location="'Risiko Residual Kualitatif'!A1" display="Format Risiko Residual Kualitatif" xr:uid="{1F807D2A-6B92-45B0-AADD-1AECDC4567BC}"/>
    <hyperlink ref="C11" location="'Rencana Perlakuan Risiko'!A1" display="Format Rencana Perlakuan Risiko" xr:uid="{9BC46E0E-8D15-4A63-82E3-70D7B3D26EDB}"/>
    <hyperlink ref="C12" location="Heatmap!A1" display="Format Heatmap" xr:uid="{63D9DD45-133E-49A4-8A5D-91798A3C8EED}"/>
    <hyperlink ref="C13" location="'Kriteria Dampak &amp; Prob.'!A1" display="Kriteria Dampak dan Probabilitas" xr:uid="{FD643861-0E92-46D7-ACF0-46A57CBE629C}"/>
    <hyperlink ref="C14" location="'Definisi Taksonomi Risiko'!A1" display="Definisi Taksonomi Risiko" xr:uid="{AAFFBCAD-BD38-4778-B2FC-30B2098C70D1}"/>
    <hyperlink ref="C15" location="'Data Perencanaan Keuangan'!A1" display="Petunjuk Pengisian Data Perencanaan Keuangan pada SIM KBUMN Melalui Platform Anaplan" xr:uid="{38071CC5-7959-4343-822E-0791CE9FA184}"/>
    <hyperlink ref="C16" location="Ilustrasi!A1" display="Ilustrasi Contoh Perhitungan Ambang Batas Risiko dan Pola Integrasi Risiko" xr:uid="{0D8AF53A-BB6D-4E2E-AEF7-898A7D1D44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898A-7EDC-1E44-93C8-49ED2AFCD273}">
  <sheetPr codeName="Sheet2">
    <tabColor rgb="FF1896A4"/>
  </sheetPr>
  <dimension ref="A1:K16"/>
  <sheetViews>
    <sheetView showGridLines="0" zoomScale="110" zoomScaleNormal="110" workbookViewId="0">
      <selection activeCell="G13" sqref="G13"/>
    </sheetView>
  </sheetViews>
  <sheetFormatPr defaultColWidth="8.86328125" defaultRowHeight="13.5"/>
  <cols>
    <col min="1" max="1" width="13.86328125" style="2" customWidth="1"/>
    <col min="2" max="2" width="19.3984375" style="2" customWidth="1"/>
    <col min="3" max="3" width="20.86328125" style="2" customWidth="1"/>
    <col min="4" max="4" width="20.1328125" style="2" customWidth="1"/>
    <col min="5" max="5" width="20.86328125" style="2" customWidth="1"/>
    <col min="6" max="6" width="41.1328125" style="2" customWidth="1"/>
    <col min="7" max="7" width="48.1328125" style="2" customWidth="1"/>
    <col min="8" max="8" width="12.1328125" style="2" customWidth="1"/>
    <col min="9" max="9" width="23" style="2" customWidth="1"/>
    <col min="10" max="10" width="10.1328125" style="2" customWidth="1"/>
    <col min="11" max="11" width="16.86328125" style="2" bestFit="1" customWidth="1"/>
    <col min="12" max="16384" width="8.86328125" style="2"/>
  </cols>
  <sheetData>
    <row r="1" spans="1:11" ht="14.25">
      <c r="A1" s="112" t="s">
        <v>29</v>
      </c>
    </row>
    <row r="2" spans="1:11">
      <c r="A2" s="37" t="s">
        <v>30</v>
      </c>
      <c r="B2" s="1"/>
      <c r="C2" s="1"/>
      <c r="D2" s="1"/>
      <c r="E2" s="1"/>
      <c r="F2" s="1"/>
      <c r="G2" s="1"/>
      <c r="H2" s="1"/>
      <c r="I2" s="1"/>
      <c r="J2" s="1"/>
      <c r="K2" s="1"/>
    </row>
    <row r="3" spans="1:11" ht="40.5" customHeight="1">
      <c r="A3" s="73" t="s">
        <v>31</v>
      </c>
      <c r="B3" s="74" t="s">
        <v>32</v>
      </c>
      <c r="C3" s="74" t="s">
        <v>33</v>
      </c>
      <c r="D3" s="74" t="s">
        <v>34</v>
      </c>
      <c r="E3" s="74" t="s">
        <v>35</v>
      </c>
      <c r="F3" s="1"/>
      <c r="G3" s="1"/>
      <c r="H3" s="1"/>
      <c r="I3" s="1"/>
      <c r="J3" s="1"/>
      <c r="K3" s="1"/>
    </row>
    <row r="4" spans="1:11" ht="42" customHeight="1">
      <c r="A4" s="6" t="s">
        <v>36</v>
      </c>
      <c r="B4" s="4" t="s">
        <v>37</v>
      </c>
      <c r="C4" s="4" t="s">
        <v>37</v>
      </c>
      <c r="D4" s="4" t="s">
        <v>37</v>
      </c>
      <c r="E4" s="4" t="s">
        <v>37</v>
      </c>
      <c r="F4" s="1"/>
      <c r="G4" s="1"/>
      <c r="H4" s="1"/>
      <c r="I4" s="1"/>
      <c r="J4" s="1"/>
      <c r="K4" s="1"/>
    </row>
    <row r="5" spans="1:11" ht="215.25" customHeight="1">
      <c r="A5" s="6" t="s">
        <v>38</v>
      </c>
      <c r="B5" s="53" t="s">
        <v>39</v>
      </c>
      <c r="C5" s="53" t="s">
        <v>40</v>
      </c>
      <c r="D5" s="53" t="s">
        <v>41</v>
      </c>
      <c r="E5" s="53" t="s">
        <v>42</v>
      </c>
      <c r="F5" s="1"/>
      <c r="G5" s="1"/>
      <c r="H5" s="1"/>
      <c r="I5" s="1"/>
      <c r="J5" s="1"/>
      <c r="K5" s="1"/>
    </row>
    <row r="6" spans="1:11" ht="20.25">
      <c r="A6" s="11" t="s">
        <v>43</v>
      </c>
      <c r="B6" s="9" t="s">
        <v>44</v>
      </c>
      <c r="C6" s="9" t="s">
        <v>44</v>
      </c>
      <c r="D6" s="9" t="s">
        <v>44</v>
      </c>
      <c r="E6" s="9" t="s">
        <v>44</v>
      </c>
      <c r="F6" s="1"/>
      <c r="G6" s="1"/>
      <c r="H6" s="1"/>
      <c r="I6" s="1"/>
      <c r="J6" s="1"/>
      <c r="K6" s="1"/>
    </row>
    <row r="7" spans="1:11" ht="21" customHeight="1">
      <c r="A7" s="6" t="s">
        <v>45</v>
      </c>
      <c r="B7" s="198">
        <v>5.0199999999999996</v>
      </c>
      <c r="C7" s="99"/>
      <c r="D7" s="197">
        <f>30.26%*B7</f>
        <v>1.5190520000000001</v>
      </c>
      <c r="E7" s="197">
        <v>0.36</v>
      </c>
      <c r="F7" s="1"/>
      <c r="G7" s="1"/>
      <c r="H7" s="1"/>
      <c r="I7" s="1"/>
      <c r="J7" s="1"/>
      <c r="K7" s="1"/>
    </row>
    <row r="8" spans="1:11">
      <c r="A8" s="37"/>
      <c r="B8" s="1"/>
      <c r="C8" s="1"/>
      <c r="D8" s="1"/>
      <c r="E8" s="1"/>
      <c r="F8" s="1"/>
      <c r="G8" s="1"/>
      <c r="H8" s="1"/>
      <c r="I8" s="1"/>
      <c r="J8" s="1"/>
      <c r="K8" s="1"/>
    </row>
    <row r="9" spans="1:11">
      <c r="A9" s="37" t="s">
        <v>46</v>
      </c>
      <c r="B9" s="1"/>
      <c r="C9" s="1"/>
      <c r="D9" s="1"/>
      <c r="E9" s="1"/>
      <c r="F9" s="1"/>
      <c r="G9" s="1"/>
      <c r="H9" s="1"/>
      <c r="I9" s="1"/>
      <c r="J9" s="1"/>
      <c r="K9" s="1"/>
    </row>
    <row r="10" spans="1:11" ht="33" customHeight="1">
      <c r="A10" s="73" t="s">
        <v>31</v>
      </c>
      <c r="B10" s="75" t="s">
        <v>47</v>
      </c>
      <c r="C10" s="75" t="s">
        <v>48</v>
      </c>
      <c r="D10" s="75" t="s">
        <v>49</v>
      </c>
      <c r="E10" s="75" t="s">
        <v>50</v>
      </c>
      <c r="F10" s="75" t="s">
        <v>51</v>
      </c>
      <c r="G10" s="75" t="s">
        <v>52</v>
      </c>
      <c r="H10" s="75" t="s">
        <v>53</v>
      </c>
      <c r="I10" s="75" t="s">
        <v>54</v>
      </c>
      <c r="J10" s="75" t="s">
        <v>55</v>
      </c>
      <c r="K10" s="97" t="s">
        <v>56</v>
      </c>
    </row>
    <row r="11" spans="1:11" ht="30.4">
      <c r="A11" s="3" t="s">
        <v>36</v>
      </c>
      <c r="B11" s="4" t="s">
        <v>57</v>
      </c>
      <c r="C11" s="4" t="s">
        <v>58</v>
      </c>
      <c r="D11" s="4" t="s">
        <v>59</v>
      </c>
      <c r="E11" s="4" t="s">
        <v>60</v>
      </c>
      <c r="F11" s="4" t="s">
        <v>58</v>
      </c>
      <c r="G11" s="4" t="s">
        <v>60</v>
      </c>
      <c r="H11" s="4" t="s">
        <v>61</v>
      </c>
      <c r="I11" s="4" t="s">
        <v>62</v>
      </c>
      <c r="J11" s="5" t="s">
        <v>63</v>
      </c>
      <c r="K11" s="170" t="s">
        <v>57</v>
      </c>
    </row>
    <row r="12" spans="1:11" s="10" customFormat="1" ht="281.25" customHeight="1">
      <c r="A12" s="6" t="s">
        <v>38</v>
      </c>
      <c r="B12" s="7"/>
      <c r="C12" s="8"/>
      <c r="D12" s="13" t="s">
        <v>64</v>
      </c>
      <c r="E12" s="8" t="s">
        <v>65</v>
      </c>
      <c r="F12" s="8" t="s">
        <v>66</v>
      </c>
      <c r="G12" s="9" t="s">
        <v>67</v>
      </c>
      <c r="H12" s="9" t="s">
        <v>68</v>
      </c>
      <c r="I12" s="9" t="s">
        <v>69</v>
      </c>
      <c r="J12" s="9" t="s">
        <v>70</v>
      </c>
      <c r="K12" s="39" t="s">
        <v>71</v>
      </c>
    </row>
    <row r="13" spans="1:11" s="1" customFormat="1" ht="124.5" customHeight="1">
      <c r="A13" s="11" t="s">
        <v>43</v>
      </c>
      <c r="B13" s="22"/>
      <c r="C13" s="8"/>
      <c r="D13" s="12"/>
      <c r="E13" s="13"/>
      <c r="F13" s="14" t="s">
        <v>72</v>
      </c>
      <c r="G13" s="22"/>
      <c r="H13" s="22"/>
      <c r="I13" s="9" t="s">
        <v>73</v>
      </c>
      <c r="J13" s="9" t="s">
        <v>74</v>
      </c>
      <c r="K13" s="9"/>
    </row>
    <row r="14" spans="1:11" ht="45" customHeight="1">
      <c r="A14" s="6" t="s">
        <v>45</v>
      </c>
      <c r="B14" s="15">
        <v>1</v>
      </c>
      <c r="C14" s="16" t="s">
        <v>75</v>
      </c>
      <c r="D14" s="16" t="str">
        <f>IFERROR(VLOOKUP(C14,Master!$D$2:$E$50,2,0),"")</f>
        <v>PLNA</v>
      </c>
      <c r="E14" s="16" t="s">
        <v>76</v>
      </c>
      <c r="F14" s="8" t="s">
        <v>77</v>
      </c>
      <c r="G14" s="9" t="s">
        <v>78</v>
      </c>
      <c r="H14" s="15" t="s">
        <v>79</v>
      </c>
      <c r="I14" s="17" t="s">
        <v>80</v>
      </c>
      <c r="J14" s="101"/>
      <c r="K14" s="100"/>
    </row>
    <row r="15" spans="1:11" ht="40.5">
      <c r="A15" s="6"/>
      <c r="B15" s="15">
        <v>2</v>
      </c>
      <c r="C15" s="16" t="s">
        <v>75</v>
      </c>
      <c r="D15" s="16" t="str">
        <f>IFERROR(VLOOKUP(C15,Master!$D$2:$E$50,2,0),"")</f>
        <v>PLNA</v>
      </c>
      <c r="E15" s="16" t="s">
        <v>76</v>
      </c>
      <c r="F15" s="8" t="s">
        <v>77</v>
      </c>
      <c r="G15" s="9" t="s">
        <v>78</v>
      </c>
      <c r="H15" s="15" t="s">
        <v>79</v>
      </c>
      <c r="I15" s="17" t="s">
        <v>80</v>
      </c>
      <c r="J15" s="101"/>
      <c r="K15" s="100"/>
    </row>
    <row r="16" spans="1:11" ht="40.5">
      <c r="A16" s="6"/>
      <c r="B16" s="15">
        <v>1</v>
      </c>
      <c r="C16" s="16" t="s">
        <v>75</v>
      </c>
      <c r="D16" s="16" t="str">
        <f>IFERROR(VLOOKUP(C16,Master!$D$2:$E$50,2,0),"")</f>
        <v>PLNA</v>
      </c>
      <c r="E16" s="16" t="s">
        <v>76</v>
      </c>
      <c r="F16" s="8" t="s">
        <v>77</v>
      </c>
      <c r="G16" s="9" t="s">
        <v>78</v>
      </c>
      <c r="H16" s="15" t="s">
        <v>79</v>
      </c>
      <c r="I16" s="17" t="s">
        <v>80</v>
      </c>
      <c r="J16" s="101"/>
      <c r="K16" s="100"/>
    </row>
  </sheetData>
  <conditionalFormatting sqref="J11">
    <cfRule type="cellIs" dxfId="84" priority="1" operator="equal">
      <formula>1</formula>
    </cfRule>
  </conditionalFormatting>
  <hyperlinks>
    <hyperlink ref="A1" location="'Daftar Isi'!A1" display="Kembali ke Daftar Isi" xr:uid="{EAE3E551-DBF1-4F72-ACE0-B0C1AA0B1C86}"/>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0C2321B-FB3A-4AF5-B619-8864DD112AB6}">
          <x14:formula1>
            <xm:f>Master!$J$2:$J$5</xm:f>
          </x14:formula1>
          <xm:sqref>H14:H16</xm:sqref>
        </x14:dataValidation>
        <x14:dataValidation type="list" allowBlank="1" showInputMessage="1" showErrorMessage="1" xr:uid="{7F93B1B2-CBB6-4936-8C1F-1BC1627BB1BE}">
          <x14:formula1>
            <xm:f>Master!$D$2:$D$50</xm:f>
          </x14:formula1>
          <xm:sqref>C14:C16</xm:sqref>
        </x14:dataValidation>
        <x14:dataValidation type="list" allowBlank="1" showInputMessage="1" showErrorMessage="1" xr:uid="{353D09A5-7594-4EA5-A5BA-B888E7152370}">
          <x14:formula1>
            <xm:f>Master!$F$2:$F$22</xm:f>
          </x14:formula1>
          <xm:sqref>F14:F16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F43B-A84D-1946-B03E-D62B67C77463}">
  <sheetPr codeName="Sheet3">
    <tabColor rgb="FF1896A4"/>
  </sheetPr>
  <dimension ref="A1:H30"/>
  <sheetViews>
    <sheetView showGridLines="0" zoomScale="115" zoomScaleNormal="115" workbookViewId="0">
      <pane xSplit="2" ySplit="3" topLeftCell="C7" activePane="bottomRight" state="frozen"/>
      <selection pane="topRight" activeCell="C1" sqref="C1"/>
      <selection pane="bottomLeft" activeCell="A4" sqref="A4"/>
      <selection pane="bottomRight" activeCell="C10" sqref="C10"/>
    </sheetView>
  </sheetViews>
  <sheetFormatPr defaultColWidth="11.3984375" defaultRowHeight="14.25"/>
  <cols>
    <col min="1" max="1" width="12.86328125" customWidth="1"/>
    <col min="2" max="2" width="6.1328125" customWidth="1"/>
    <col min="3" max="4" width="33.3984375" customWidth="1"/>
    <col min="5" max="5" width="30.59765625" bestFit="1" customWidth="1"/>
    <col min="6" max="6" width="29.86328125" customWidth="1"/>
    <col min="7" max="7" width="28.86328125" customWidth="1"/>
    <col min="8" max="8" width="34.1328125" customWidth="1"/>
  </cols>
  <sheetData>
    <row r="1" spans="1:8">
      <c r="A1" s="112" t="s">
        <v>29</v>
      </c>
    </row>
    <row r="2" spans="1:8" ht="33" customHeight="1">
      <c r="A2" s="75" t="s">
        <v>31</v>
      </c>
      <c r="B2" s="74" t="s">
        <v>81</v>
      </c>
      <c r="C2" s="74" t="s">
        <v>82</v>
      </c>
      <c r="D2" s="74" t="s">
        <v>83</v>
      </c>
      <c r="E2" s="74" t="s">
        <v>84</v>
      </c>
      <c r="F2" s="74" t="s">
        <v>85</v>
      </c>
      <c r="G2" s="74" t="s">
        <v>86</v>
      </c>
      <c r="H2" s="74" t="s">
        <v>87</v>
      </c>
    </row>
    <row r="3" spans="1:8" ht="14.25" customHeight="1">
      <c r="A3" s="6" t="s">
        <v>36</v>
      </c>
      <c r="B3" s="4" t="s">
        <v>57</v>
      </c>
      <c r="C3" s="4" t="s">
        <v>60</v>
      </c>
      <c r="D3" s="4" t="s">
        <v>60</v>
      </c>
      <c r="E3" s="4" t="s">
        <v>60</v>
      </c>
      <c r="F3" s="4" t="s">
        <v>60</v>
      </c>
      <c r="G3" s="4" t="s">
        <v>60</v>
      </c>
      <c r="H3" s="4" t="s">
        <v>58</v>
      </c>
    </row>
    <row r="4" spans="1:8" ht="81">
      <c r="A4" s="6" t="s">
        <v>38</v>
      </c>
      <c r="B4" s="9"/>
      <c r="C4" s="9" t="s">
        <v>88</v>
      </c>
      <c r="D4" s="9" t="s">
        <v>89</v>
      </c>
      <c r="E4" s="9" t="s">
        <v>90</v>
      </c>
      <c r="F4" s="9" t="s">
        <v>91</v>
      </c>
      <c r="G4" s="9" t="s">
        <v>92</v>
      </c>
      <c r="H4" s="9" t="s">
        <v>93</v>
      </c>
    </row>
    <row r="5" spans="1:8" ht="144.75" customHeight="1">
      <c r="A5" s="11" t="s">
        <v>43</v>
      </c>
      <c r="B5" s="9"/>
      <c r="C5" s="9" t="s">
        <v>94</v>
      </c>
      <c r="D5" s="9" t="s">
        <v>95</v>
      </c>
      <c r="E5" s="9" t="s">
        <v>44</v>
      </c>
      <c r="F5" s="9" t="s">
        <v>44</v>
      </c>
      <c r="G5" s="9"/>
      <c r="H5" s="51" t="s">
        <v>96</v>
      </c>
    </row>
    <row r="6" spans="1:8" ht="41.25" customHeight="1">
      <c r="A6" s="1476" t="s">
        <v>97</v>
      </c>
      <c r="B6" s="1477"/>
      <c r="C6" s="171" t="s">
        <v>98</v>
      </c>
      <c r="D6" s="171"/>
      <c r="E6" s="1477" t="s">
        <v>99</v>
      </c>
      <c r="F6" s="1477" t="s">
        <v>100</v>
      </c>
      <c r="G6" s="1477" t="s">
        <v>101</v>
      </c>
      <c r="H6" s="53" t="s">
        <v>102</v>
      </c>
    </row>
    <row r="7" spans="1:8" ht="41.25" customHeight="1">
      <c r="A7" s="1476"/>
      <c r="B7" s="1477"/>
      <c r="C7" s="1478"/>
      <c r="D7" s="171" t="s">
        <v>103</v>
      </c>
      <c r="E7" s="1477"/>
      <c r="F7" s="1477"/>
      <c r="G7" s="1477"/>
      <c r="H7" s="53" t="s">
        <v>104</v>
      </c>
    </row>
    <row r="8" spans="1:8" ht="41.25" customHeight="1">
      <c r="A8" s="1476"/>
      <c r="B8" s="1477"/>
      <c r="C8" s="1478"/>
      <c r="D8" s="171" t="s">
        <v>105</v>
      </c>
      <c r="E8" s="1477"/>
      <c r="F8" s="1477"/>
      <c r="G8" s="1477"/>
      <c r="H8" s="53" t="s">
        <v>102</v>
      </c>
    </row>
    <row r="9" spans="1:8" ht="37.5" hidden="1" customHeight="1">
      <c r="A9" s="6" t="s">
        <v>45</v>
      </c>
      <c r="B9" s="66"/>
      <c r="C9" s="64"/>
      <c r="D9" s="64"/>
      <c r="E9" s="65"/>
      <c r="F9" s="65"/>
      <c r="G9" s="65"/>
      <c r="H9" s="65"/>
    </row>
    <row r="10" spans="1:8" ht="37.5" customHeight="1">
      <c r="A10" s="6" t="s">
        <v>45</v>
      </c>
      <c r="B10" s="66"/>
      <c r="C10" s="177" t="s">
        <v>106</v>
      </c>
      <c r="D10" s="64"/>
      <c r="E10" s="65"/>
      <c r="F10" s="65"/>
      <c r="G10" s="65" t="s">
        <v>107</v>
      </c>
      <c r="H10" s="65"/>
    </row>
    <row r="11" spans="1:8" ht="13.7" customHeight="1">
      <c r="A11" s="6"/>
      <c r="B11" s="66"/>
      <c r="C11" s="177"/>
      <c r="D11" s="178" t="s">
        <v>108</v>
      </c>
      <c r="E11" s="65" t="s">
        <v>109</v>
      </c>
      <c r="F11" s="1072"/>
      <c r="G11" s="1072" t="s">
        <v>110</v>
      </c>
      <c r="H11" s="65" t="s">
        <v>102</v>
      </c>
    </row>
    <row r="12" spans="1:8" ht="13.7" customHeight="1">
      <c r="A12" s="6"/>
      <c r="B12" s="66"/>
      <c r="C12" s="177"/>
      <c r="D12" s="178"/>
      <c r="E12" s="65"/>
      <c r="F12" s="1072"/>
      <c r="G12" s="1072" t="s">
        <v>111</v>
      </c>
      <c r="H12" s="65"/>
    </row>
    <row r="13" spans="1:8" ht="13.7" customHeight="1">
      <c r="A13" s="6"/>
      <c r="B13" s="66"/>
      <c r="C13" s="177"/>
      <c r="D13" s="178"/>
      <c r="E13" s="65"/>
      <c r="F13" s="1072"/>
      <c r="G13" s="1072" t="s">
        <v>112</v>
      </c>
      <c r="H13" s="65"/>
    </row>
    <row r="14" spans="1:8" ht="13.7" customHeight="1">
      <c r="A14" s="6"/>
      <c r="B14" s="66"/>
      <c r="C14" s="177"/>
      <c r="D14" s="178"/>
      <c r="E14" s="65"/>
      <c r="F14" s="1072"/>
      <c r="G14" s="1072" t="s">
        <v>113</v>
      </c>
      <c r="H14" s="65"/>
    </row>
    <row r="15" spans="1:8" ht="13.7" customHeight="1">
      <c r="A15" s="6"/>
      <c r="B15" s="66"/>
      <c r="C15" s="177"/>
      <c r="D15" s="178"/>
      <c r="E15" s="65"/>
      <c r="F15" s="1072"/>
      <c r="G15" s="1072" t="s">
        <v>114</v>
      </c>
      <c r="H15" s="65"/>
    </row>
    <row r="16" spans="1:8" ht="13.7" customHeight="1">
      <c r="A16" s="6"/>
      <c r="B16" s="66"/>
      <c r="C16" s="177"/>
      <c r="D16" s="178"/>
      <c r="E16" s="65"/>
      <c r="F16" s="1072"/>
      <c r="G16" s="1072" t="s">
        <v>115</v>
      </c>
      <c r="H16" s="65"/>
    </row>
    <row r="17" spans="1:8" ht="13.7" customHeight="1">
      <c r="A17" s="6"/>
      <c r="B17" s="66"/>
      <c r="C17" s="177"/>
      <c r="D17" s="178"/>
      <c r="E17" s="65"/>
      <c r="F17" s="1072"/>
      <c r="G17" s="1072" t="s">
        <v>116</v>
      </c>
      <c r="H17" s="65"/>
    </row>
    <row r="18" spans="1:8" ht="13.7" customHeight="1">
      <c r="A18" s="6"/>
      <c r="B18" s="66"/>
      <c r="C18" s="177"/>
      <c r="D18" s="178"/>
      <c r="E18" s="65"/>
      <c r="F18" s="1072"/>
      <c r="G18" s="1072" t="s">
        <v>117</v>
      </c>
      <c r="H18" s="65"/>
    </row>
    <row r="19" spans="1:8" ht="13.7" customHeight="1">
      <c r="A19" s="6"/>
      <c r="B19" s="66"/>
      <c r="C19" s="177"/>
      <c r="D19" s="178"/>
      <c r="E19" s="65"/>
      <c r="F19" s="1072"/>
      <c r="G19" s="1072" t="s">
        <v>118</v>
      </c>
      <c r="H19" s="65"/>
    </row>
    <row r="20" spans="1:8" ht="13.7" customHeight="1">
      <c r="A20" s="6"/>
      <c r="B20" s="66"/>
      <c r="C20" s="177"/>
      <c r="D20" s="178"/>
      <c r="E20" s="65"/>
      <c r="F20" s="1072"/>
      <c r="G20" s="1072" t="s">
        <v>119</v>
      </c>
      <c r="H20" s="65"/>
    </row>
    <row r="21" spans="1:8" ht="13.7" customHeight="1">
      <c r="A21" s="6"/>
      <c r="B21" s="66"/>
      <c r="C21" s="177"/>
      <c r="D21" s="178"/>
      <c r="E21" s="65"/>
      <c r="F21" s="1072"/>
      <c r="G21" s="1072" t="s">
        <v>120</v>
      </c>
      <c r="H21" s="65"/>
    </row>
    <row r="22" spans="1:8" ht="13.7" customHeight="1">
      <c r="A22" s="6"/>
      <c r="B22" s="66"/>
      <c r="C22" s="177"/>
      <c r="D22" s="178"/>
      <c r="E22" s="65"/>
      <c r="F22" s="1072"/>
      <c r="G22" s="1072" t="s">
        <v>121</v>
      </c>
      <c r="H22" s="65"/>
    </row>
    <row r="23" spans="1:8" ht="13.7" customHeight="1">
      <c r="A23" s="6"/>
      <c r="B23" s="66"/>
      <c r="C23" s="177"/>
      <c r="D23" s="178"/>
      <c r="E23" s="65"/>
      <c r="F23" s="1072"/>
      <c r="G23" s="1072"/>
      <c r="H23" s="65"/>
    </row>
    <row r="24" spans="1:8" ht="13.7" customHeight="1">
      <c r="A24" s="6"/>
      <c r="B24" s="66"/>
      <c r="C24" s="177"/>
      <c r="D24" s="178"/>
      <c r="E24" s="65"/>
      <c r="F24" s="1072"/>
      <c r="G24" s="1072"/>
      <c r="H24" s="65"/>
    </row>
    <row r="25" spans="1:8" ht="13.7" customHeight="1">
      <c r="A25" s="6"/>
      <c r="B25" s="66"/>
      <c r="C25" s="177"/>
      <c r="D25" s="178"/>
      <c r="E25" s="65"/>
      <c r="F25" s="1072"/>
      <c r="G25" s="1072"/>
      <c r="H25" s="65"/>
    </row>
    <row r="26" spans="1:8" ht="13.7" customHeight="1">
      <c r="A26" s="6"/>
      <c r="B26" s="66"/>
      <c r="C26" s="177"/>
      <c r="D26" s="178"/>
      <c r="E26" s="65"/>
      <c r="F26" s="1072"/>
      <c r="G26" s="1072"/>
      <c r="H26" s="65"/>
    </row>
    <row r="27" spans="1:8" ht="13.7" customHeight="1">
      <c r="A27" s="6"/>
      <c r="B27" s="66"/>
      <c r="C27" s="177"/>
      <c r="D27" s="178"/>
      <c r="E27" s="65"/>
      <c r="F27" s="1072"/>
      <c r="G27" s="1072"/>
      <c r="H27" s="65"/>
    </row>
    <row r="28" spans="1:8">
      <c r="A28" s="6"/>
      <c r="B28" s="106"/>
      <c r="C28" s="178"/>
      <c r="D28" s="178" t="s">
        <v>122</v>
      </c>
      <c r="E28" s="179"/>
      <c r="F28" s="179"/>
      <c r="G28" s="179"/>
      <c r="H28" s="177"/>
    </row>
    <row r="30" spans="1:8">
      <c r="F30" s="80"/>
      <c r="G30" s="80"/>
    </row>
  </sheetData>
  <mergeCells count="6">
    <mergeCell ref="A6:A8"/>
    <mergeCell ref="B6:B8"/>
    <mergeCell ref="E6:E8"/>
    <mergeCell ref="F6:F8"/>
    <mergeCell ref="G6:G8"/>
    <mergeCell ref="C7:C8"/>
  </mergeCells>
  <hyperlinks>
    <hyperlink ref="A1" location="'Daftar Isi'!A1" display="Kembali ke Daftar Isi" xr:uid="{CEE6F519-25E7-45E6-BE11-F8EDFFE2E51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2B7D7B2-5FD4-4A42-BF30-E27A00FBF7B6}">
          <x14:formula1>
            <xm:f>Master!$M$2:$M$3</xm:f>
          </x14:formula1>
          <xm:sqref>H6:H28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B954-9FB1-4F4B-88E7-D97D2A380569}">
  <sheetPr>
    <tabColor rgb="FFFF0000"/>
  </sheetPr>
  <dimension ref="A1:CV862"/>
  <sheetViews>
    <sheetView showGridLines="0" tabSelected="1" topLeftCell="BI2" zoomScale="85" zoomScaleNormal="85" workbookViewId="0">
      <pane ySplit="6" topLeftCell="A13" activePane="bottomLeft" state="frozen"/>
      <selection activeCell="L2" sqref="L2"/>
      <selection pane="bottomLeft" activeCell="CH28" sqref="CH28"/>
    </sheetView>
  </sheetViews>
  <sheetFormatPr defaultColWidth="14.3984375" defaultRowHeight="15" customHeight="1" outlineLevelRow="1"/>
  <cols>
    <col min="1" max="1" width="15.1328125" style="219" customWidth="1"/>
    <col min="2" max="2" width="10.3984375" style="219" customWidth="1"/>
    <col min="3" max="3" width="12.3984375" style="220" customWidth="1"/>
    <col min="4" max="4" width="10.3984375" style="219" customWidth="1"/>
    <col min="5" max="5" width="13.3984375" style="219" customWidth="1"/>
    <col min="6" max="6" width="36" style="220" hidden="1" customWidth="1"/>
    <col min="7" max="7" width="9.86328125" style="220" customWidth="1"/>
    <col min="8" max="8" width="36" style="220" customWidth="1"/>
    <col min="9" max="9" width="18.59765625" style="220" customWidth="1"/>
    <col min="10" max="10" width="39.86328125" style="220" customWidth="1"/>
    <col min="11" max="11" width="44.59765625" style="219" customWidth="1"/>
    <col min="12" max="12" width="9.86328125" style="219" customWidth="1"/>
    <col min="13" max="13" width="27.59765625" style="219" customWidth="1"/>
    <col min="14" max="14" width="40.59765625" style="219" customWidth="1"/>
    <col min="15" max="15" width="10.1328125" style="219" customWidth="1"/>
    <col min="16" max="16" width="12.59765625" style="219" customWidth="1"/>
    <col min="17" max="17" width="32.59765625" style="219" customWidth="1"/>
    <col min="18" max="18" width="21.3984375" style="220" customWidth="1"/>
    <col min="19" max="19" width="12.3984375" style="219" customWidth="1"/>
    <col min="20" max="22" width="11.3984375" style="220" customWidth="1"/>
    <col min="23" max="23" width="15.3984375" style="219" customWidth="1"/>
    <col min="24" max="24" width="18.59765625" style="219" customWidth="1"/>
    <col min="25" max="25" width="13.59765625" style="219" customWidth="1"/>
    <col min="26" max="26" width="14.3984375" style="219" customWidth="1"/>
    <col min="27" max="27" width="31.3984375" style="219" customWidth="1"/>
    <col min="28" max="28" width="22" style="220" customWidth="1"/>
    <col min="29" max="29" width="14.3984375" style="219"/>
    <col min="30" max="30" width="7.3984375" style="220" customWidth="1"/>
    <col min="31" max="31" width="17.1328125" style="220" customWidth="1"/>
    <col min="32" max="32" width="9.73046875" style="362" customWidth="1"/>
    <col min="33" max="34" width="14.59765625" style="362" bestFit="1" customWidth="1"/>
    <col min="35" max="35" width="14.59765625" style="219" bestFit="1" customWidth="1"/>
    <col min="36" max="36" width="10.265625" style="219" customWidth="1"/>
    <col min="37" max="37" width="14.59765625" style="219" bestFit="1" customWidth="1"/>
    <col min="38" max="38" width="7" style="219" hidden="1" customWidth="1"/>
    <col min="39" max="39" width="8.3984375" style="219" hidden="1" customWidth="1"/>
    <col min="40" max="40" width="11.3984375" style="219" hidden="1" customWidth="1"/>
    <col min="41" max="41" width="15.1328125" style="219" bestFit="1" customWidth="1"/>
    <col min="42" max="44" width="16.1328125" style="219" bestFit="1" customWidth="1"/>
    <col min="45" max="48" width="2.86328125" style="219" bestFit="1" customWidth="1"/>
    <col min="49" max="52" width="4.86328125" style="219" bestFit="1" customWidth="1"/>
    <col min="53" max="56" width="2.86328125" style="219" bestFit="1" customWidth="1"/>
    <col min="57" max="59" width="15.1328125" style="219" bestFit="1" customWidth="1"/>
    <col min="60" max="60" width="16.1328125" style="219" bestFit="1" customWidth="1"/>
    <col min="61" max="61" width="4.86328125" style="219" bestFit="1" customWidth="1"/>
    <col min="62" max="64" width="3.59765625" style="219" customWidth="1"/>
    <col min="65" max="66" width="14.1328125" style="219" bestFit="1" customWidth="1"/>
    <col min="67" max="68" width="13.86328125" style="219" bestFit="1" customWidth="1"/>
    <col min="69" max="72" width="2.73046875" style="219" hidden="1" customWidth="1"/>
    <col min="73" max="76" width="0" style="219" hidden="1" customWidth="1"/>
    <col min="77" max="77" width="9.1328125" style="219" hidden="1" customWidth="1"/>
    <col min="78" max="78" width="10.86328125" style="219" hidden="1" customWidth="1"/>
    <col min="79" max="79" width="0" style="219" hidden="1" customWidth="1"/>
    <col min="80" max="80" width="14.3984375" style="219"/>
    <col min="81" max="81" width="19.1328125" style="219" customWidth="1"/>
    <col min="82" max="83" width="14.3984375" style="219"/>
    <col min="84" max="84" width="14.59765625" style="219" bestFit="1" customWidth="1"/>
    <col min="85" max="86" width="10.73046875" style="219" customWidth="1"/>
    <col min="87" max="88" width="14.3984375" style="219"/>
    <col min="89" max="97" width="1.73046875" style="219" bestFit="1" customWidth="1"/>
    <col min="98" max="100" width="2.59765625" style="219" bestFit="1" customWidth="1"/>
    <col min="101" max="16384" width="14.3984375" style="219"/>
  </cols>
  <sheetData>
    <row r="1" spans="1:100" ht="15" customHeight="1">
      <c r="AC1" s="1459"/>
      <c r="AD1" s="1459"/>
      <c r="AE1" s="1459"/>
      <c r="AF1" s="1459"/>
      <c r="AG1" s="1459"/>
      <c r="AH1" s="1459"/>
      <c r="AI1" s="1459"/>
      <c r="AJ1" s="1459"/>
      <c r="AK1" s="1459"/>
      <c r="AO1" s="1434" t="s">
        <v>123</v>
      </c>
      <c r="AP1" s="1434"/>
      <c r="AQ1" s="1434"/>
      <c r="AR1" s="1434"/>
      <c r="AS1" s="1434"/>
      <c r="AT1" s="1434"/>
      <c r="AU1" s="1434"/>
      <c r="AV1" s="1434"/>
      <c r="AW1" s="1434"/>
      <c r="AX1" s="1434"/>
      <c r="AY1" s="1434"/>
      <c r="AZ1" s="1434"/>
      <c r="BA1" s="1434"/>
      <c r="BB1" s="1434"/>
      <c r="BC1" s="1434"/>
      <c r="BD1" s="1434"/>
      <c r="BE1" s="1434"/>
      <c r="BF1" s="1434"/>
      <c r="BG1" s="1434"/>
      <c r="BH1" s="1434"/>
      <c r="BI1" s="1434"/>
      <c r="BJ1" s="1434"/>
      <c r="BK1" s="1434"/>
      <c r="BL1" s="1434"/>
      <c r="BM1" s="1434"/>
      <c r="BN1" s="1434"/>
      <c r="BO1" s="1434"/>
      <c r="BP1" s="1434"/>
      <c r="BQ1" s="359"/>
      <c r="BR1" s="359"/>
      <c r="BS1" s="359"/>
      <c r="BT1" s="359"/>
      <c r="BY1" s="356" t="s">
        <v>124</v>
      </c>
      <c r="BZ1" s="356"/>
      <c r="CA1" s="356"/>
      <c r="CB1" s="1419" t="s">
        <v>124</v>
      </c>
      <c r="CC1" s="1420"/>
      <c r="CD1" s="1420"/>
      <c r="CE1" s="1420"/>
      <c r="CF1" s="1420"/>
      <c r="CG1" s="1420"/>
      <c r="CH1" s="1420"/>
      <c r="CI1" s="1420"/>
      <c r="CJ1" s="1421"/>
      <c r="CK1" s="356"/>
      <c r="CL1" s="356"/>
      <c r="CM1" s="356"/>
      <c r="CN1" s="356"/>
      <c r="CO1" s="356"/>
      <c r="CP1" s="356"/>
      <c r="CQ1" s="356"/>
      <c r="CR1" s="356"/>
      <c r="CS1" s="356"/>
      <c r="CT1" s="356"/>
      <c r="CU1" s="356"/>
      <c r="CV1" s="356"/>
    </row>
    <row r="2" spans="1:100" ht="18.95" customHeight="1">
      <c r="AC2" s="1459"/>
      <c r="AD2" s="1459"/>
      <c r="AE2" s="1459"/>
      <c r="AF2" s="1459"/>
      <c r="AG2" s="1459"/>
      <c r="AH2" s="1459"/>
      <c r="AI2" s="1459"/>
      <c r="AJ2" s="1459"/>
      <c r="AK2" s="1459"/>
      <c r="AO2" s="1435"/>
      <c r="AP2" s="1435"/>
      <c r="AQ2" s="1435"/>
      <c r="AR2" s="1435"/>
      <c r="AS2" s="1435"/>
      <c r="AT2" s="1435"/>
      <c r="AU2" s="1435"/>
      <c r="AV2" s="1435"/>
      <c r="AW2" s="1435"/>
      <c r="AX2" s="1435"/>
      <c r="AY2" s="1435"/>
      <c r="AZ2" s="1435"/>
      <c r="BA2" s="1435"/>
      <c r="BB2" s="1435"/>
      <c r="BC2" s="1435"/>
      <c r="BD2" s="1435"/>
      <c r="BE2" s="1435"/>
      <c r="BF2" s="1435"/>
      <c r="BG2" s="1435"/>
      <c r="BH2" s="1435"/>
      <c r="BI2" s="1435"/>
      <c r="BJ2" s="1435"/>
      <c r="BK2" s="1435"/>
      <c r="BL2" s="1435"/>
      <c r="BM2" s="1435"/>
      <c r="BN2" s="1435"/>
      <c r="BO2" s="1435"/>
      <c r="BP2" s="1435"/>
      <c r="BQ2" s="360"/>
      <c r="BR2" s="360"/>
      <c r="BS2" s="360"/>
      <c r="BT2" s="360"/>
      <c r="BU2" s="352" t="s">
        <v>31</v>
      </c>
      <c r="BV2" s="352" t="s">
        <v>47</v>
      </c>
      <c r="BW2" s="352" t="s">
        <v>125</v>
      </c>
      <c r="BX2" s="352" t="s">
        <v>49</v>
      </c>
      <c r="BY2" s="354" t="s">
        <v>126</v>
      </c>
      <c r="BZ2" s="354" t="s">
        <v>127</v>
      </c>
      <c r="CA2" s="354" t="s">
        <v>128</v>
      </c>
      <c r="CB2" s="354" t="s">
        <v>129</v>
      </c>
      <c r="CC2" s="354" t="s">
        <v>130</v>
      </c>
      <c r="CD2" s="354" t="s">
        <v>131</v>
      </c>
      <c r="CE2" s="354" t="s">
        <v>132</v>
      </c>
      <c r="CF2" s="354" t="s">
        <v>133</v>
      </c>
      <c r="CG2" s="354" t="s">
        <v>134</v>
      </c>
      <c r="CH2" s="354" t="s">
        <v>135</v>
      </c>
      <c r="CI2" s="354" t="s">
        <v>136</v>
      </c>
      <c r="CJ2" s="354" t="s">
        <v>137</v>
      </c>
      <c r="CK2" s="1428" t="s">
        <v>138</v>
      </c>
      <c r="CL2" s="1429"/>
      <c r="CM2" s="1429"/>
      <c r="CN2" s="1429"/>
      <c r="CO2" s="1429"/>
      <c r="CP2" s="1429"/>
      <c r="CQ2" s="1429"/>
      <c r="CR2" s="1429"/>
      <c r="CS2" s="1429"/>
      <c r="CT2" s="1429"/>
      <c r="CU2" s="1429"/>
      <c r="CV2" s="1430"/>
    </row>
    <row r="3" spans="1:100" ht="20.45" customHeight="1">
      <c r="A3" s="221" t="s">
        <v>29</v>
      </c>
      <c r="B3" s="222"/>
      <c r="C3" s="222"/>
      <c r="D3" s="222"/>
      <c r="E3" s="222"/>
      <c r="F3" s="222"/>
      <c r="G3" s="222"/>
      <c r="H3" s="222"/>
      <c r="I3" s="222"/>
      <c r="J3" s="222"/>
      <c r="K3" s="222"/>
      <c r="L3" s="222"/>
      <c r="M3" s="222"/>
      <c r="N3" s="222"/>
      <c r="O3" s="222"/>
      <c r="P3" s="222"/>
      <c r="Q3" s="223"/>
      <c r="R3" s="222"/>
      <c r="S3" s="222"/>
      <c r="T3" s="222"/>
      <c r="U3" s="222"/>
      <c r="V3" s="222"/>
      <c r="W3" s="223"/>
      <c r="X3" s="223"/>
      <c r="Y3" s="222"/>
      <c r="Z3" s="222"/>
      <c r="AA3" s="222"/>
      <c r="AB3" s="224"/>
      <c r="AC3" s="355"/>
      <c r="AD3" s="355"/>
      <c r="AE3" s="355"/>
      <c r="AF3" s="355"/>
      <c r="AG3" s="355"/>
      <c r="AH3" s="355"/>
      <c r="AI3" s="1097">
        <v>610000000000</v>
      </c>
      <c r="AJ3" s="1438" t="s">
        <v>139</v>
      </c>
      <c r="AK3" s="1439"/>
      <c r="AL3" s="1412" t="s">
        <v>47</v>
      </c>
      <c r="AM3" s="1412" t="s">
        <v>126</v>
      </c>
      <c r="AN3" s="1412" t="s">
        <v>140</v>
      </c>
      <c r="AO3" s="1462" t="s">
        <v>141</v>
      </c>
      <c r="AP3" s="1463"/>
      <c r="AQ3" s="1463"/>
      <c r="AR3" s="1464"/>
      <c r="AS3" s="1452" t="s">
        <v>142</v>
      </c>
      <c r="AT3" s="1453"/>
      <c r="AU3" s="1453"/>
      <c r="AV3" s="1458"/>
      <c r="AW3" s="1446" t="s">
        <v>143</v>
      </c>
      <c r="AX3" s="1447"/>
      <c r="AY3" s="1447"/>
      <c r="AZ3" s="1448"/>
      <c r="BA3" s="1452" t="s">
        <v>144</v>
      </c>
      <c r="BB3" s="1453"/>
      <c r="BC3" s="1453"/>
      <c r="BD3" s="1458"/>
      <c r="BE3" s="1446" t="s">
        <v>145</v>
      </c>
      <c r="BF3" s="1447"/>
      <c r="BG3" s="1447"/>
      <c r="BH3" s="1448"/>
      <c r="BI3" s="1452" t="s">
        <v>146</v>
      </c>
      <c r="BJ3" s="1453"/>
      <c r="BK3" s="1453"/>
      <c r="BL3" s="1458"/>
      <c r="BM3" s="1452" t="s">
        <v>147</v>
      </c>
      <c r="BN3" s="1453"/>
      <c r="BO3" s="1453"/>
      <c r="BP3" s="1453"/>
      <c r="BQ3" s="348"/>
      <c r="BR3" s="348"/>
      <c r="BS3" s="348"/>
      <c r="BT3" s="349"/>
      <c r="BU3" s="351"/>
      <c r="BV3" s="351"/>
      <c r="BW3" s="353"/>
      <c r="BX3" s="351"/>
      <c r="BY3" s="353"/>
      <c r="BZ3" s="351"/>
      <c r="CA3" s="351"/>
      <c r="CB3" s="353"/>
      <c r="CC3" s="353"/>
      <c r="CD3" s="353"/>
      <c r="CE3" s="353"/>
      <c r="CF3" s="351"/>
      <c r="CG3" s="351"/>
      <c r="CH3" s="351"/>
      <c r="CI3" s="351"/>
      <c r="CJ3" s="351"/>
      <c r="CK3" s="225">
        <v>1</v>
      </c>
      <c r="CL3" s="226">
        <f t="shared" ref="CL3" si="0">CK3+1</f>
        <v>2</v>
      </c>
      <c r="CM3" s="226">
        <f t="shared" ref="CM3" si="1">CL3+1</f>
        <v>3</v>
      </c>
      <c r="CN3" s="226">
        <f t="shared" ref="CN3" si="2">CM3+1</f>
        <v>4</v>
      </c>
      <c r="CO3" s="226">
        <f t="shared" ref="CO3" si="3">CN3+1</f>
        <v>5</v>
      </c>
      <c r="CP3" s="226">
        <f t="shared" ref="CP3" si="4">CO3+1</f>
        <v>6</v>
      </c>
      <c r="CQ3" s="226">
        <f t="shared" ref="CQ3" si="5">CP3+1</f>
        <v>7</v>
      </c>
      <c r="CR3" s="226">
        <f t="shared" ref="CR3" si="6">CQ3+1</f>
        <v>8</v>
      </c>
      <c r="CS3" s="226">
        <f t="shared" ref="CS3" si="7">CR3+1</f>
        <v>9</v>
      </c>
      <c r="CT3" s="226">
        <f t="shared" ref="CT3" si="8">CS3+1</f>
        <v>10</v>
      </c>
      <c r="CU3" s="226">
        <f t="shared" ref="CU3" si="9">CT3+1</f>
        <v>11</v>
      </c>
      <c r="CV3" s="226">
        <f t="shared" ref="CV3" si="10">CU3+1</f>
        <v>12</v>
      </c>
    </row>
    <row r="4" spans="1:100" ht="40.5">
      <c r="A4" s="1412" t="s">
        <v>31</v>
      </c>
      <c r="B4" s="1412" t="s">
        <v>47</v>
      </c>
      <c r="C4" s="1412" t="s">
        <v>48</v>
      </c>
      <c r="D4" s="1412" t="s">
        <v>148</v>
      </c>
      <c r="E4" s="1412" t="s">
        <v>149</v>
      </c>
      <c r="F4" s="1412" t="s">
        <v>150</v>
      </c>
      <c r="G4" s="1414" t="s">
        <v>151</v>
      </c>
      <c r="H4" s="1414" t="s">
        <v>152</v>
      </c>
      <c r="I4" s="1412" t="s">
        <v>153</v>
      </c>
      <c r="J4" s="1412" t="s">
        <v>154</v>
      </c>
      <c r="K4" s="1412" t="s">
        <v>51</v>
      </c>
      <c r="L4" s="1412" t="s">
        <v>126</v>
      </c>
      <c r="M4" s="1412" t="s">
        <v>155</v>
      </c>
      <c r="N4" s="1412" t="s">
        <v>156</v>
      </c>
      <c r="O4" s="1412" t="s">
        <v>157</v>
      </c>
      <c r="P4" s="1412" t="s">
        <v>158</v>
      </c>
      <c r="Q4" s="1412" t="s">
        <v>128</v>
      </c>
      <c r="R4" s="1412" t="s">
        <v>159</v>
      </c>
      <c r="S4" s="1412" t="s">
        <v>160</v>
      </c>
      <c r="T4" s="1468" t="s">
        <v>161</v>
      </c>
      <c r="U4" s="1469"/>
      <c r="V4" s="1470"/>
      <c r="W4" s="1412" t="s">
        <v>162</v>
      </c>
      <c r="X4" s="1418" t="s">
        <v>163</v>
      </c>
      <c r="Y4" s="1412" t="s">
        <v>164</v>
      </c>
      <c r="Z4" s="1412" t="s">
        <v>165</v>
      </c>
      <c r="AA4" s="1412" t="s">
        <v>166</v>
      </c>
      <c r="AB4" s="1412" t="s">
        <v>167</v>
      </c>
      <c r="AC4" s="1460" t="s">
        <v>168</v>
      </c>
      <c r="AD4" s="1432" t="s">
        <v>169</v>
      </c>
      <c r="AE4" s="1433"/>
      <c r="AF4" s="230" t="s">
        <v>170</v>
      </c>
      <c r="AG4" s="1460" t="s">
        <v>171</v>
      </c>
      <c r="AH4" s="230" t="s">
        <v>172</v>
      </c>
      <c r="AI4" s="1436" t="s">
        <v>173</v>
      </c>
      <c r="AJ4" s="230" t="s">
        <v>174</v>
      </c>
      <c r="AK4" s="230" t="s">
        <v>175</v>
      </c>
      <c r="AL4" s="1431"/>
      <c r="AM4" s="1431"/>
      <c r="AN4" s="1457"/>
      <c r="AO4" s="1465"/>
      <c r="AP4" s="1466"/>
      <c r="AQ4" s="1466"/>
      <c r="AR4" s="1467"/>
      <c r="AS4" s="1454" t="s">
        <v>125</v>
      </c>
      <c r="AT4" s="1455"/>
      <c r="AU4" s="1455"/>
      <c r="AV4" s="1456"/>
      <c r="AW4" s="1449"/>
      <c r="AX4" s="1450"/>
      <c r="AY4" s="1450"/>
      <c r="AZ4" s="1451"/>
      <c r="BA4" s="1454" t="s">
        <v>125</v>
      </c>
      <c r="BB4" s="1455"/>
      <c r="BC4" s="1455"/>
      <c r="BD4" s="1456"/>
      <c r="BE4" s="1449"/>
      <c r="BF4" s="1450"/>
      <c r="BG4" s="1450"/>
      <c r="BH4" s="1451"/>
      <c r="BI4" s="1454" t="s">
        <v>125</v>
      </c>
      <c r="BJ4" s="1455"/>
      <c r="BK4" s="1455"/>
      <c r="BL4" s="1456"/>
      <c r="BM4" s="1454" t="s">
        <v>125</v>
      </c>
      <c r="BN4" s="1455"/>
      <c r="BO4" s="1455"/>
      <c r="BP4" s="1456"/>
      <c r="BQ4" s="350" t="s">
        <v>176</v>
      </c>
      <c r="BR4" s="348"/>
      <c r="BS4" s="348"/>
      <c r="BT4" s="349"/>
      <c r="BU4" s="228" t="s">
        <v>36</v>
      </c>
      <c r="BV4" s="231" t="s">
        <v>57</v>
      </c>
      <c r="BW4" s="231" t="s">
        <v>58</v>
      </c>
      <c r="BX4" s="231" t="s">
        <v>59</v>
      </c>
      <c r="BY4" s="231" t="s">
        <v>57</v>
      </c>
      <c r="BZ4" s="231" t="s">
        <v>177</v>
      </c>
      <c r="CA4" s="231" t="s">
        <v>59</v>
      </c>
      <c r="CB4" s="231" t="s">
        <v>58</v>
      </c>
      <c r="CC4" s="232" t="s">
        <v>178</v>
      </c>
      <c r="CD4" s="233" t="s">
        <v>60</v>
      </c>
      <c r="CE4" s="233" t="s">
        <v>60</v>
      </c>
      <c r="CF4" s="231" t="s">
        <v>179</v>
      </c>
      <c r="CG4" s="231" t="s">
        <v>61</v>
      </c>
      <c r="CH4" s="231" t="s">
        <v>60</v>
      </c>
      <c r="CI4" s="231" t="s">
        <v>61</v>
      </c>
      <c r="CJ4" s="231" t="s">
        <v>60</v>
      </c>
      <c r="CK4" s="1422" t="s">
        <v>180</v>
      </c>
      <c r="CL4" s="1423"/>
      <c r="CM4" s="1423"/>
      <c r="CN4" s="1423"/>
      <c r="CO4" s="1423"/>
      <c r="CP4" s="1423"/>
      <c r="CQ4" s="1423"/>
      <c r="CR4" s="1423"/>
      <c r="CS4" s="1423"/>
      <c r="CT4" s="1423"/>
      <c r="CU4" s="1423"/>
      <c r="CV4" s="1424"/>
    </row>
    <row r="5" spans="1:100" ht="24.95" customHeight="1">
      <c r="A5" s="1416"/>
      <c r="B5" s="1416"/>
      <c r="C5" s="1413"/>
      <c r="D5" s="1416"/>
      <c r="E5" s="1417"/>
      <c r="F5" s="1413"/>
      <c r="G5" s="1415"/>
      <c r="H5" s="1415"/>
      <c r="I5" s="1413"/>
      <c r="J5" s="1413"/>
      <c r="K5" s="1416"/>
      <c r="L5" s="1416"/>
      <c r="M5" s="1416"/>
      <c r="N5" s="1416"/>
      <c r="O5" s="1416"/>
      <c r="P5" s="1416"/>
      <c r="Q5" s="1416"/>
      <c r="R5" s="1413"/>
      <c r="S5" s="1416"/>
      <c r="T5" s="227" t="s">
        <v>181</v>
      </c>
      <c r="U5" s="228" t="s">
        <v>182</v>
      </c>
      <c r="V5" s="229" t="s">
        <v>183</v>
      </c>
      <c r="W5" s="1416"/>
      <c r="X5" s="1416"/>
      <c r="Y5" s="1416"/>
      <c r="Z5" s="1416"/>
      <c r="AA5" s="1416"/>
      <c r="AB5" s="1413"/>
      <c r="AC5" s="1461"/>
      <c r="AD5" s="366" t="s">
        <v>184</v>
      </c>
      <c r="AE5" s="366" t="s">
        <v>185</v>
      </c>
      <c r="AF5" s="226" t="s">
        <v>125</v>
      </c>
      <c r="AG5" s="1471"/>
      <c r="AH5" s="226" t="s">
        <v>125</v>
      </c>
      <c r="AI5" s="1437"/>
      <c r="AJ5" s="226" t="s">
        <v>125</v>
      </c>
      <c r="AK5" s="226" t="s">
        <v>125</v>
      </c>
      <c r="AL5" s="1431"/>
      <c r="AM5" s="1431"/>
      <c r="AN5" s="1457"/>
      <c r="AO5" s="234" t="s">
        <v>186</v>
      </c>
      <c r="AP5" s="234" t="s">
        <v>187</v>
      </c>
      <c r="AQ5" s="234" t="s">
        <v>188</v>
      </c>
      <c r="AR5" s="234" t="s">
        <v>189</v>
      </c>
      <c r="AS5" s="235" t="s">
        <v>186</v>
      </c>
      <c r="AT5" s="235" t="s">
        <v>187</v>
      </c>
      <c r="AU5" s="235" t="s">
        <v>188</v>
      </c>
      <c r="AV5" s="235" t="s">
        <v>189</v>
      </c>
      <c r="AW5" s="235" t="s">
        <v>186</v>
      </c>
      <c r="AX5" s="235" t="s">
        <v>187</v>
      </c>
      <c r="AY5" s="235" t="s">
        <v>188</v>
      </c>
      <c r="AZ5" s="235" t="s">
        <v>189</v>
      </c>
      <c r="BA5" s="235" t="s">
        <v>186</v>
      </c>
      <c r="BB5" s="235" t="s">
        <v>187</v>
      </c>
      <c r="BC5" s="235" t="s">
        <v>188</v>
      </c>
      <c r="BD5" s="235" t="s">
        <v>189</v>
      </c>
      <c r="BE5" s="235" t="s">
        <v>186</v>
      </c>
      <c r="BF5" s="235" t="s">
        <v>187</v>
      </c>
      <c r="BG5" s="235" t="s">
        <v>188</v>
      </c>
      <c r="BH5" s="235" t="s">
        <v>189</v>
      </c>
      <c r="BI5" s="235" t="s">
        <v>186</v>
      </c>
      <c r="BJ5" s="235" t="s">
        <v>187</v>
      </c>
      <c r="BK5" s="235" t="s">
        <v>188</v>
      </c>
      <c r="BL5" s="235" t="s">
        <v>189</v>
      </c>
      <c r="BM5" s="235" t="s">
        <v>186</v>
      </c>
      <c r="BN5" s="235" t="s">
        <v>187</v>
      </c>
      <c r="BO5" s="235" t="s">
        <v>188</v>
      </c>
      <c r="BP5" s="235" t="s">
        <v>189</v>
      </c>
      <c r="BQ5" s="235" t="s">
        <v>186</v>
      </c>
      <c r="BR5" s="235" t="s">
        <v>187</v>
      </c>
      <c r="BS5" s="235" t="s">
        <v>188</v>
      </c>
      <c r="BT5" s="235" t="s">
        <v>189</v>
      </c>
      <c r="BU5" s="228" t="s">
        <v>38</v>
      </c>
      <c r="BV5" s="236"/>
      <c r="BW5" s="237"/>
      <c r="BX5" s="237"/>
      <c r="BY5" s="238" t="s">
        <v>64</v>
      </c>
      <c r="BZ5" s="236" t="s">
        <v>190</v>
      </c>
      <c r="CA5" s="236" t="s">
        <v>191</v>
      </c>
      <c r="CB5" s="239" t="s">
        <v>192</v>
      </c>
      <c r="CC5" s="240" t="s">
        <v>193</v>
      </c>
      <c r="CD5" s="236" t="s">
        <v>194</v>
      </c>
      <c r="CE5" s="236" t="s">
        <v>195</v>
      </c>
      <c r="CF5" s="236" t="s">
        <v>196</v>
      </c>
      <c r="CG5" s="236"/>
      <c r="CH5" s="236"/>
      <c r="CI5" s="236" t="s">
        <v>197</v>
      </c>
      <c r="CJ5" s="236" t="s">
        <v>198</v>
      </c>
      <c r="CK5" s="1425" t="s">
        <v>199</v>
      </c>
      <c r="CL5" s="1426"/>
      <c r="CM5" s="1426"/>
      <c r="CN5" s="1426"/>
      <c r="CO5" s="1426"/>
      <c r="CP5" s="1426"/>
      <c r="CQ5" s="1426"/>
      <c r="CR5" s="1426"/>
      <c r="CS5" s="1426"/>
      <c r="CT5" s="1426"/>
      <c r="CU5" s="1426"/>
      <c r="CV5" s="1427"/>
    </row>
    <row r="6" spans="1:100" ht="26.45" customHeight="1" outlineLevel="1">
      <c r="A6" s="228" t="s">
        <v>36</v>
      </c>
      <c r="B6" s="231" t="s">
        <v>57</v>
      </c>
      <c r="C6" s="231" t="s">
        <v>58</v>
      </c>
      <c r="D6" s="231" t="s">
        <v>57</v>
      </c>
      <c r="E6" s="231" t="s">
        <v>200</v>
      </c>
      <c r="F6" s="231" t="s">
        <v>60</v>
      </c>
      <c r="G6" s="231"/>
      <c r="H6" s="231" t="s">
        <v>200</v>
      </c>
      <c r="I6" s="231"/>
      <c r="J6" s="231" t="s">
        <v>58</v>
      </c>
      <c r="K6" s="231" t="s">
        <v>58</v>
      </c>
      <c r="L6" s="231" t="s">
        <v>57</v>
      </c>
      <c r="M6" s="231" t="s">
        <v>201</v>
      </c>
      <c r="N6" s="231" t="s">
        <v>201</v>
      </c>
      <c r="O6" s="231" t="s">
        <v>177</v>
      </c>
      <c r="P6" s="231" t="s">
        <v>59</v>
      </c>
      <c r="Q6" s="231" t="s">
        <v>60</v>
      </c>
      <c r="R6" s="231" t="s">
        <v>63</v>
      </c>
      <c r="S6" s="231" t="s">
        <v>63</v>
      </c>
      <c r="T6" s="231" t="s">
        <v>63</v>
      </c>
      <c r="U6" s="231" t="s">
        <v>63</v>
      </c>
      <c r="V6" s="231" t="s">
        <v>63</v>
      </c>
      <c r="W6" s="231" t="s">
        <v>61</v>
      </c>
      <c r="X6" s="231" t="s">
        <v>60</v>
      </c>
      <c r="Y6" s="231" t="s">
        <v>58</v>
      </c>
      <c r="Z6" s="231" t="s">
        <v>58</v>
      </c>
      <c r="AA6" s="231" t="s">
        <v>60</v>
      </c>
      <c r="AB6" s="231" t="s">
        <v>60</v>
      </c>
      <c r="AC6" s="244" t="s">
        <v>60</v>
      </c>
      <c r="AD6" s="365"/>
      <c r="AE6" s="365"/>
      <c r="AF6" s="231" t="s">
        <v>58</v>
      </c>
      <c r="AG6" s="231" t="s">
        <v>202</v>
      </c>
      <c r="AH6" s="231" t="s">
        <v>58</v>
      </c>
      <c r="AI6" s="245"/>
      <c r="AJ6" s="231" t="s">
        <v>203</v>
      </c>
      <c r="AK6" s="231" t="s">
        <v>60</v>
      </c>
      <c r="AL6" s="1416"/>
      <c r="AM6" s="1416"/>
      <c r="AN6" s="1413"/>
      <c r="AO6" s="1443" t="s">
        <v>179</v>
      </c>
      <c r="AP6" s="1444"/>
      <c r="AQ6" s="1444"/>
      <c r="AR6" s="1445"/>
      <c r="AS6" s="1422" t="s">
        <v>58</v>
      </c>
      <c r="AT6" s="1441"/>
      <c r="AU6" s="1441"/>
      <c r="AV6" s="1442"/>
      <c r="AW6" s="1422" t="s">
        <v>202</v>
      </c>
      <c r="AX6" s="1441"/>
      <c r="AY6" s="1441"/>
      <c r="AZ6" s="1442"/>
      <c r="BA6" s="1422" t="s">
        <v>58</v>
      </c>
      <c r="BB6" s="1441"/>
      <c r="BC6" s="1441"/>
      <c r="BD6" s="1442"/>
      <c r="BE6" s="1422" t="s">
        <v>179</v>
      </c>
      <c r="BF6" s="1441"/>
      <c r="BG6" s="1441"/>
      <c r="BH6" s="1442"/>
      <c r="BI6" s="1422" t="s">
        <v>203</v>
      </c>
      <c r="BJ6" s="1441"/>
      <c r="BK6" s="1441"/>
      <c r="BL6" s="1442"/>
      <c r="BM6" s="1422" t="s">
        <v>60</v>
      </c>
      <c r="BN6" s="1441"/>
      <c r="BO6" s="1441"/>
      <c r="BP6" s="1442"/>
      <c r="BQ6" s="1422" t="s">
        <v>59</v>
      </c>
      <c r="BR6" s="1441"/>
      <c r="BS6" s="1441"/>
      <c r="BT6" s="1442"/>
      <c r="BU6" s="246" t="s">
        <v>43</v>
      </c>
      <c r="BV6" s="237"/>
      <c r="BW6" s="247"/>
      <c r="BX6" s="247"/>
      <c r="BY6" s="247"/>
      <c r="BZ6" s="236"/>
      <c r="CA6" s="236" t="s">
        <v>204</v>
      </c>
      <c r="CB6" s="238"/>
      <c r="CC6" s="248" t="s">
        <v>205</v>
      </c>
      <c r="CD6" s="243" t="s">
        <v>206</v>
      </c>
      <c r="CE6" s="243"/>
      <c r="CF6" s="238"/>
      <c r="CG6" s="238"/>
      <c r="CH6" s="238"/>
      <c r="CI6" s="238"/>
      <c r="CJ6" s="238"/>
      <c r="CK6" s="1440"/>
      <c r="CL6" s="1441"/>
      <c r="CM6" s="1441"/>
      <c r="CN6" s="1441"/>
      <c r="CO6" s="1441"/>
      <c r="CP6" s="1441"/>
      <c r="CQ6" s="1441"/>
      <c r="CR6" s="1441"/>
      <c r="CS6" s="1441"/>
      <c r="CT6" s="1441"/>
      <c r="CU6" s="1441"/>
      <c r="CV6" s="1442"/>
    </row>
    <row r="7" spans="1:100" ht="33" customHeight="1" outlineLevel="1">
      <c r="A7" s="242" t="s">
        <v>38</v>
      </c>
      <c r="B7" s="236"/>
      <c r="C7" s="237"/>
      <c r="D7" s="236"/>
      <c r="E7" s="243" t="s">
        <v>64</v>
      </c>
      <c r="F7" s="237" t="s">
        <v>207</v>
      </c>
      <c r="G7" s="237"/>
      <c r="H7" s="237" t="s">
        <v>207</v>
      </c>
      <c r="I7" s="237"/>
      <c r="J7" s="237" t="s">
        <v>208</v>
      </c>
      <c r="K7" s="236" t="s">
        <v>209</v>
      </c>
      <c r="L7" s="236" t="s">
        <v>210</v>
      </c>
      <c r="M7" s="236" t="s">
        <v>211</v>
      </c>
      <c r="N7" s="236" t="s">
        <v>212</v>
      </c>
      <c r="O7" s="236" t="s">
        <v>190</v>
      </c>
      <c r="P7" s="236" t="s">
        <v>213</v>
      </c>
      <c r="Q7" s="236" t="s">
        <v>214</v>
      </c>
      <c r="R7" s="237" t="s">
        <v>215</v>
      </c>
      <c r="S7" s="236" t="s">
        <v>216</v>
      </c>
      <c r="T7" s="237" t="s">
        <v>217</v>
      </c>
      <c r="U7" s="237"/>
      <c r="V7" s="237"/>
      <c r="W7" s="236" t="s">
        <v>218</v>
      </c>
      <c r="X7" s="236" t="s">
        <v>219</v>
      </c>
      <c r="Y7" s="236" t="s">
        <v>220</v>
      </c>
      <c r="Z7" s="236" t="s">
        <v>221</v>
      </c>
      <c r="AA7" s="236" t="s">
        <v>222</v>
      </c>
      <c r="AB7" s="237" t="s">
        <v>223</v>
      </c>
      <c r="AC7" s="244"/>
      <c r="AD7" s="244"/>
      <c r="AE7" s="244"/>
      <c r="AF7" s="231"/>
      <c r="AG7" s="231"/>
      <c r="AH7" s="231"/>
      <c r="AI7" s="245"/>
      <c r="AJ7" s="231"/>
      <c r="AK7" s="231"/>
      <c r="AL7" s="231"/>
      <c r="AM7" s="231"/>
      <c r="AN7" s="233"/>
      <c r="AO7" s="1443"/>
      <c r="AP7" s="1444"/>
      <c r="AQ7" s="1444"/>
      <c r="AR7" s="1445"/>
      <c r="AS7" s="1422"/>
      <c r="AT7" s="1441"/>
      <c r="AU7" s="1441"/>
      <c r="AV7" s="1442"/>
      <c r="AW7" s="1422"/>
      <c r="AX7" s="1441"/>
      <c r="AY7" s="1441"/>
      <c r="AZ7" s="1442"/>
      <c r="BA7" s="1422"/>
      <c r="BB7" s="1441"/>
      <c r="BC7" s="1441"/>
      <c r="BD7" s="1442"/>
      <c r="BE7" s="1422"/>
      <c r="BF7" s="1441"/>
      <c r="BG7" s="1441"/>
      <c r="BH7" s="1442"/>
      <c r="BI7" s="1422"/>
      <c r="BJ7" s="1441"/>
      <c r="BK7" s="1441"/>
      <c r="BL7" s="1442"/>
      <c r="BM7" s="1422"/>
      <c r="BN7" s="1441"/>
      <c r="BO7" s="1441"/>
      <c r="BP7" s="1442"/>
      <c r="BQ7" s="1422"/>
      <c r="BR7" s="1441"/>
      <c r="BS7" s="1441"/>
      <c r="BT7" s="1442"/>
      <c r="BU7" s="246"/>
      <c r="BV7" s="237"/>
      <c r="BW7" s="247"/>
      <c r="BX7" s="247"/>
      <c r="BY7" s="247"/>
      <c r="BZ7" s="236"/>
      <c r="CA7" s="236"/>
      <c r="CB7" s="238"/>
      <c r="CC7" s="248"/>
      <c r="CD7" s="243"/>
      <c r="CE7" s="243"/>
      <c r="CF7" s="238"/>
      <c r="CG7" s="238"/>
      <c r="CH7" s="238"/>
      <c r="CI7" s="238"/>
      <c r="CJ7" s="238"/>
      <c r="CK7" s="1440"/>
      <c r="CL7" s="1441"/>
      <c r="CM7" s="1441"/>
      <c r="CN7" s="1441"/>
      <c r="CO7" s="1441"/>
      <c r="CP7" s="1441"/>
      <c r="CQ7" s="1441"/>
      <c r="CR7" s="1441"/>
      <c r="CS7" s="1441"/>
      <c r="CT7" s="1441"/>
      <c r="CU7" s="1441"/>
      <c r="CV7" s="1442"/>
    </row>
    <row r="8" spans="1:100" ht="57.95" customHeight="1" outlineLevel="1">
      <c r="A8" s="249" t="s">
        <v>43</v>
      </c>
      <c r="B8" s="236"/>
      <c r="C8" s="237"/>
      <c r="D8" s="236"/>
      <c r="E8" s="250"/>
      <c r="F8" s="238" t="s">
        <v>224</v>
      </c>
      <c r="G8" s="238"/>
      <c r="H8" s="238" t="s">
        <v>224</v>
      </c>
      <c r="I8" s="238"/>
      <c r="J8" s="238"/>
      <c r="K8" s="251" t="s">
        <v>225</v>
      </c>
      <c r="L8" s="236" t="s">
        <v>226</v>
      </c>
      <c r="M8" s="243" t="s">
        <v>227</v>
      </c>
      <c r="N8" s="243"/>
      <c r="O8" s="243"/>
      <c r="P8" s="236" t="s">
        <v>228</v>
      </c>
      <c r="Q8" s="236" t="s">
        <v>229</v>
      </c>
      <c r="R8" s="252" t="s">
        <v>230</v>
      </c>
      <c r="S8" s="238"/>
      <c r="T8" s="237"/>
      <c r="U8" s="237"/>
      <c r="V8" s="237" t="s">
        <v>231</v>
      </c>
      <c r="W8" s="243" t="s">
        <v>232</v>
      </c>
      <c r="X8" s="243" t="s">
        <v>233</v>
      </c>
      <c r="Y8" s="253" t="s">
        <v>234</v>
      </c>
      <c r="Z8" s="243" t="s">
        <v>235</v>
      </c>
      <c r="AA8" s="254"/>
      <c r="AB8" s="238" t="s">
        <v>236</v>
      </c>
      <c r="AG8" s="219"/>
      <c r="AH8" s="219"/>
    </row>
    <row r="9" spans="1:100" ht="14.25">
      <c r="A9" s="255"/>
      <c r="B9" s="236"/>
      <c r="C9" s="237"/>
      <c r="D9" s="236"/>
      <c r="E9" s="250"/>
      <c r="F9" s="238"/>
      <c r="G9" s="238"/>
      <c r="H9" s="238"/>
      <c r="I9" s="238"/>
      <c r="J9" s="238"/>
      <c r="K9" s="251"/>
      <c r="L9" s="236"/>
      <c r="M9" s="243"/>
      <c r="N9" s="243"/>
      <c r="O9" s="243"/>
      <c r="P9" s="236"/>
      <c r="Q9" s="236"/>
      <c r="R9" s="252"/>
      <c r="S9" s="238"/>
      <c r="T9" s="237"/>
      <c r="U9" s="237"/>
      <c r="V9" s="237"/>
      <c r="W9" s="243"/>
      <c r="X9" s="256"/>
      <c r="Y9" s="253"/>
      <c r="Z9" s="243"/>
      <c r="AA9" s="254"/>
      <c r="AB9" s="238"/>
      <c r="AF9" s="362">
        <f>AE13/AI3</f>
        <v>0.16825730574550091</v>
      </c>
      <c r="AO9" s="219">
        <f>AO13/$AI$3</f>
        <v>0.16825730574550091</v>
      </c>
      <c r="AP9" s="219">
        <f>AP13/$AI$3</f>
        <v>0.16825730574550091</v>
      </c>
      <c r="AQ9" s="219">
        <f>AQ13/$AI$3</f>
        <v>0.16825730574550091</v>
      </c>
      <c r="AR9" s="219">
        <f>AR13/$AI$3</f>
        <v>0.16825730574550091</v>
      </c>
    </row>
    <row r="10" spans="1:100" s="364" customFormat="1" ht="44.45" hidden="1" customHeight="1">
      <c r="A10" s="255" t="s">
        <v>237</v>
      </c>
      <c r="B10" s="237">
        <v>1</v>
      </c>
      <c r="C10" s="237" t="s">
        <v>75</v>
      </c>
      <c r="D10" s="237" t="s">
        <v>238</v>
      </c>
      <c r="E10" s="1101" t="s">
        <v>239</v>
      </c>
      <c r="F10" s="237"/>
      <c r="G10" s="237">
        <v>1</v>
      </c>
      <c r="H10" s="237" t="s">
        <v>107</v>
      </c>
      <c r="I10" s="1101" t="s">
        <v>240</v>
      </c>
      <c r="J10" s="1101" t="s">
        <v>241</v>
      </c>
      <c r="K10" s="1100" t="s">
        <v>242</v>
      </c>
      <c r="L10" s="237">
        <v>1</v>
      </c>
      <c r="M10" s="236" t="s">
        <v>243</v>
      </c>
      <c r="N10" s="236" t="s">
        <v>244</v>
      </c>
      <c r="O10" s="237" t="s">
        <v>245</v>
      </c>
      <c r="P10" s="1087" t="str">
        <f t="shared" ref="P10:P12" si="11">CONCATENATE(E10,"-",L10,"-",O10)</f>
        <v>BID KEU-1-a</v>
      </c>
      <c r="Q10" s="236" t="s">
        <v>246</v>
      </c>
      <c r="R10" s="237" t="s">
        <v>247</v>
      </c>
      <c r="S10" s="237" t="s">
        <v>248</v>
      </c>
      <c r="T10" s="258" t="s">
        <v>249</v>
      </c>
      <c r="U10" s="259" t="s">
        <v>250</v>
      </c>
      <c r="V10" s="259" t="s">
        <v>251</v>
      </c>
      <c r="W10" s="1098" t="s">
        <v>252</v>
      </c>
      <c r="X10" s="260" t="s">
        <v>253</v>
      </c>
      <c r="Y10" s="1099" t="s">
        <v>254</v>
      </c>
      <c r="Z10" s="1101" t="s">
        <v>255</v>
      </c>
      <c r="AA10" s="236" t="s">
        <v>256</v>
      </c>
      <c r="AB10" s="241" t="s">
        <v>257</v>
      </c>
      <c r="AC10" s="261" t="s">
        <v>258</v>
      </c>
      <c r="AD10" s="358" t="str">
        <f>IF(Z10="KUANTITATIF","Wajib Isi","Tidak Wajib")</f>
        <v>Wajib Isi</v>
      </c>
      <c r="AE10" s="1107">
        <v>100000000</v>
      </c>
      <c r="AF10" s="263">
        <v>4</v>
      </c>
      <c r="AG10" s="264">
        <v>0.67</v>
      </c>
      <c r="AH10" s="263">
        <v>1</v>
      </c>
      <c r="AI10" s="265">
        <f t="shared" ref="AI10:AI20" si="12">IF(Z10="kuantitatif",(AE10*AG10),(AF10*AH10*1%*$AI$3))</f>
        <v>67000000.000000007</v>
      </c>
      <c r="AJ10" s="1070">
        <f>INDEX(Source!$E$33:$I$37,MATCH(AH10,Source!$D$33:$D$37,0),MATCH(AF10,Source!$E$38:$I$38,0))</f>
        <v>15</v>
      </c>
      <c r="AK10" s="371" t="str">
        <f>LOOKUP(MATCH(AJ10,'Perhitungan Heatmap'!$D$9:$AB$9),'Perhitungan Heatmap'!$D$9:$AB$9,'Perhitungan Heatmap'!$D$10:$AB$10)</f>
        <v>Moderate</v>
      </c>
      <c r="AL10" s="262"/>
      <c r="AM10" s="262"/>
      <c r="AN10" s="262"/>
      <c r="AO10" s="266"/>
      <c r="AP10" s="266"/>
      <c r="AQ10" s="266"/>
      <c r="AR10" s="266"/>
      <c r="AS10" s="1102">
        <v>3</v>
      </c>
      <c r="AT10" s="1102">
        <v>5</v>
      </c>
      <c r="AU10" s="1102">
        <v>3</v>
      </c>
      <c r="AV10" s="1102">
        <v>2</v>
      </c>
      <c r="AW10" s="266"/>
      <c r="AX10" s="266"/>
      <c r="AY10" s="266"/>
      <c r="AZ10" s="266"/>
      <c r="BA10" s="1102">
        <v>2</v>
      </c>
      <c r="BB10" s="1102">
        <v>4</v>
      </c>
      <c r="BC10" s="1102">
        <v>3</v>
      </c>
      <c r="BD10" s="1102">
        <v>3</v>
      </c>
      <c r="BE10" s="266"/>
      <c r="BF10" s="266"/>
      <c r="BG10" s="266"/>
      <c r="BH10" s="266"/>
      <c r="BI10" s="1071">
        <f>INDEX(Source!$E$33:$I$37,MATCH(BA10,Source!$D$33:$D$37,0),MATCH(AS10,Source!$E$38:$I$38,0))</f>
        <v>11</v>
      </c>
      <c r="BJ10" s="1071">
        <f>INDEX(Source!$E$33:$I$37,MATCH(BB10,Source!$D$33:$D$37,0),MATCH(AT10,Source!$E$38:$I$38,0))</f>
        <v>24</v>
      </c>
      <c r="BK10" s="1071">
        <f>INDEX(Source!$E$33:$I$37,MATCH(BC10,Source!$D$33:$D$37,0),MATCH(AU10,Source!$E$38:$I$38,0))</f>
        <v>13</v>
      </c>
      <c r="BL10" s="1071">
        <f>INDEX(Source!$E$33:$I$37,MATCH(BD10,Source!$D$33:$D$37,0),MATCH(AV10,Source!$E$38:$I$38,0))</f>
        <v>8</v>
      </c>
      <c r="BM10" s="372" t="str">
        <f>LOOKUP(MATCH(BI10,'Perhitungan Heatmap'!$D$9:$AB$9),'Perhitungan Heatmap'!$D$9:$AB$9,'Perhitungan Heatmap'!$D$10:$AB$10)</f>
        <v>Low To Moderate</v>
      </c>
      <c r="BN10" s="372" t="str">
        <f>LOOKUP(MATCH(BJ10,'Perhitungan Heatmap'!$D$9:$AB$9),'Perhitungan Heatmap'!$D$9:$AB$9,'Perhitungan Heatmap'!$D$10:$AB$10)</f>
        <v>High</v>
      </c>
      <c r="BO10" s="372" t="str">
        <f>LOOKUP(MATCH(BK10,'Perhitungan Heatmap'!$D$9:$AB$9),'Perhitungan Heatmap'!$D$9:$AB$9,'Perhitungan Heatmap'!$D$10:$AB$10)</f>
        <v>Moderate</v>
      </c>
      <c r="BP10" s="372" t="str">
        <f>LOOKUP(MATCH(BL10,'Perhitungan Heatmap'!$D$9:$AB$9),'Perhitungan Heatmap'!$D$9:$AB$9,'Perhitungan Heatmap'!$D$10:$AB$10)</f>
        <v>Low To Moderate</v>
      </c>
      <c r="BQ10" s="262"/>
      <c r="BR10" s="262"/>
      <c r="BS10" s="262"/>
      <c r="BT10" s="262"/>
      <c r="BU10" s="262"/>
      <c r="BV10" s="262"/>
      <c r="BW10" s="262"/>
      <c r="BX10" s="262"/>
      <c r="BY10" s="267">
        <f>L10</f>
        <v>1</v>
      </c>
      <c r="BZ10" s="267" t="str">
        <f>O10</f>
        <v>a</v>
      </c>
      <c r="CA10" s="261" t="str">
        <f>Q10</f>
        <v>Faktor eksternal perusahaan seperti kondisi ekonomi politik dalam negeri dan atau luar negeri, dan tingkat kebutuhan pasar akan mata uang dollar</v>
      </c>
      <c r="CB10" s="1106" t="s">
        <v>259</v>
      </c>
      <c r="CC10" s="1103" t="s">
        <v>260</v>
      </c>
      <c r="CD10" s="261" t="s">
        <v>261</v>
      </c>
      <c r="CE10" s="261" t="s">
        <v>262</v>
      </c>
      <c r="CF10" s="269">
        <v>292092000000</v>
      </c>
      <c r="CG10" s="1104" t="s">
        <v>263</v>
      </c>
      <c r="CH10" s="269"/>
      <c r="CI10" s="1103" t="s">
        <v>264</v>
      </c>
      <c r="CJ10" s="267" t="s">
        <v>265</v>
      </c>
      <c r="CK10" s="270"/>
      <c r="CL10" s="270"/>
      <c r="CM10" s="270"/>
      <c r="CN10" s="270"/>
      <c r="CO10" s="270"/>
      <c r="CP10" s="270"/>
      <c r="CQ10" s="270"/>
      <c r="CR10" s="270"/>
      <c r="CS10" s="270"/>
      <c r="CT10" s="270"/>
      <c r="CU10" s="270">
        <v>1</v>
      </c>
      <c r="CV10" s="270">
        <v>1</v>
      </c>
    </row>
    <row r="11" spans="1:100" s="271" customFormat="1" ht="67.5" customHeight="1">
      <c r="A11" s="255" t="s">
        <v>266</v>
      </c>
      <c r="B11" s="1155">
        <v>1</v>
      </c>
      <c r="C11" s="1155" t="s">
        <v>75</v>
      </c>
      <c r="D11" s="1155" t="s">
        <v>238</v>
      </c>
      <c r="E11" s="1156" t="s">
        <v>267</v>
      </c>
      <c r="F11" s="1157"/>
      <c r="G11" s="1155"/>
      <c r="H11" s="1155" t="s">
        <v>268</v>
      </c>
      <c r="I11" s="1165" t="s">
        <v>240</v>
      </c>
      <c r="J11" s="1156" t="s">
        <v>269</v>
      </c>
      <c r="K11" s="1158" t="s">
        <v>270</v>
      </c>
      <c r="L11" s="1155">
        <v>1</v>
      </c>
      <c r="M11" s="1159" t="s">
        <v>271</v>
      </c>
      <c r="N11" s="2030" t="s">
        <v>3231</v>
      </c>
      <c r="O11" s="1157" t="s">
        <v>245</v>
      </c>
      <c r="P11" s="1160" t="str">
        <f t="shared" ref="P11" si="13">CONCATENATE(E11,"-",L11,"-",O11)</f>
        <v>BID AGA-1-a</v>
      </c>
      <c r="Q11" s="1167" t="s">
        <v>272</v>
      </c>
      <c r="R11" s="1157" t="s">
        <v>273</v>
      </c>
      <c r="S11" s="1157" t="s">
        <v>248</v>
      </c>
      <c r="T11" s="1169" t="s">
        <v>274</v>
      </c>
      <c r="U11" s="1169" t="s">
        <v>275</v>
      </c>
      <c r="V11" s="1169" t="s">
        <v>276</v>
      </c>
      <c r="W11" s="1170" t="s">
        <v>252</v>
      </c>
      <c r="X11" s="1167" t="s">
        <v>277</v>
      </c>
      <c r="Y11" s="1171" t="s">
        <v>254</v>
      </c>
      <c r="Z11" s="1165" t="s">
        <v>255</v>
      </c>
      <c r="AA11" s="1167" t="s">
        <v>278</v>
      </c>
      <c r="AB11" s="1172" t="s">
        <v>279</v>
      </c>
      <c r="AC11" s="261" t="s">
        <v>280</v>
      </c>
      <c r="AD11" s="358" t="str">
        <f t="shared" ref="AD11" si="14">IF(Z11="KUANTITATIF","Wajib Isi","Tidak Wajib")</f>
        <v>Wajib Isi</v>
      </c>
      <c r="AE11" s="1107">
        <f>'Justifikasi Risk Assessment'!P40</f>
        <v>660636000000</v>
      </c>
      <c r="AF11" s="268">
        <v>5</v>
      </c>
      <c r="AG11" s="1108">
        <f>'Justifikasi Risk Assessment'!D52</f>
        <v>0.6</v>
      </c>
      <c r="AH11" s="268">
        <v>4</v>
      </c>
      <c r="AI11" s="265">
        <f t="shared" si="12"/>
        <v>396381600000</v>
      </c>
      <c r="AJ11" s="1070">
        <f>INDEX(Source!$E$33:$I$37,MATCH(AH11,Source!$D$33:$D$37,0),MATCH(AF11,Source!$E$38:$I$38,0))</f>
        <v>24</v>
      </c>
      <c r="AK11" s="1183" t="str">
        <f>LOOKUP(MATCH(AJ11,'Perhitungan Heatmap'!$D$9:$AB$9),'Perhitungan Heatmap'!$D$9:$AB$9,'Perhitungan Heatmap'!$D$10:$AB$10)</f>
        <v>High</v>
      </c>
      <c r="AL11" s="268"/>
      <c r="AM11" s="268"/>
      <c r="AN11" s="268"/>
      <c r="AO11" s="1187">
        <f>AE11</f>
        <v>660636000000</v>
      </c>
      <c r="AP11" s="1187">
        <f>'Justifikasi Risk Assessment'!R42</f>
        <v>585357000000</v>
      </c>
      <c r="AQ11" s="1187">
        <f>'Justifikasi Risk Assessment'!S42</f>
        <v>410748000000</v>
      </c>
      <c r="AR11" s="1187">
        <f>'Justifikasi Risk Assessment'!T42</f>
        <v>213579000000</v>
      </c>
      <c r="AS11" s="1102">
        <v>5</v>
      </c>
      <c r="AT11" s="1102">
        <v>5</v>
      </c>
      <c r="AU11" s="1102">
        <v>4</v>
      </c>
      <c r="AV11" s="1102">
        <v>2</v>
      </c>
      <c r="AW11" s="1184">
        <f>AG11</f>
        <v>0.6</v>
      </c>
      <c r="AX11" s="1184">
        <f t="shared" ref="AX11:AZ13" si="15">AW11*75%</f>
        <v>0.44999999999999996</v>
      </c>
      <c r="AY11" s="1184">
        <f t="shared" si="15"/>
        <v>0.33749999999999997</v>
      </c>
      <c r="AZ11" s="1184">
        <f t="shared" si="15"/>
        <v>0.25312499999999999</v>
      </c>
      <c r="BA11" s="1102">
        <v>4</v>
      </c>
      <c r="BB11" s="1102">
        <v>3</v>
      </c>
      <c r="BC11" s="1102">
        <v>2</v>
      </c>
      <c r="BD11" s="1102">
        <v>2</v>
      </c>
      <c r="BE11" s="1182">
        <f>AO11*AW11</f>
        <v>396381600000</v>
      </c>
      <c r="BF11" s="1182">
        <f t="shared" ref="BF11" si="16">AP11*AX11</f>
        <v>263410649999.99997</v>
      </c>
      <c r="BG11" s="1182">
        <f t="shared" ref="BG11:BH14" si="17">AQ11*AY11</f>
        <v>138627450000</v>
      </c>
      <c r="BH11" s="1182">
        <f t="shared" si="17"/>
        <v>54062184375</v>
      </c>
      <c r="BI11" s="1071">
        <f>INDEX(Source!$E$33:$I$37,MATCH(BA11,Source!$D$33:$D$37,0),MATCH(AS11,Source!$E$38:$I$38,0))</f>
        <v>24</v>
      </c>
      <c r="BJ11" s="1071">
        <f>INDEX(Source!$E$33:$I$37,MATCH(BB11,Source!$D$33:$D$37,0),MATCH(AT11,Source!$E$38:$I$38,0))</f>
        <v>23</v>
      </c>
      <c r="BK11" s="1071">
        <f>INDEX(Source!$E$33:$I$37,MATCH(BC11,Source!$D$33:$D$37,0),MATCH(AU11,Source!$E$38:$I$38,0))</f>
        <v>16</v>
      </c>
      <c r="BL11" s="1071">
        <f>INDEX(Source!$E$33:$I$37,MATCH(BD11,Source!$D$33:$D$37,0),MATCH(AV11,Source!$E$38:$I$38,0))</f>
        <v>6</v>
      </c>
      <c r="BM11" s="1181" t="str">
        <f>LOOKUP(MATCH(BI11,'Perhitungan Heatmap'!$D$9:$AB$9),'Perhitungan Heatmap'!$D$9:$AB$9,'Perhitungan Heatmap'!$D$10:$AB$10)</f>
        <v>High</v>
      </c>
      <c r="BN11" s="1181" t="str">
        <f>LOOKUP(MATCH(BJ11,'Perhitungan Heatmap'!$D$9:$AB$9),'Perhitungan Heatmap'!$D$9:$AB$9,'Perhitungan Heatmap'!$D$10:$AB$10)</f>
        <v>High</v>
      </c>
      <c r="BO11" s="1181" t="str">
        <f>LOOKUP(MATCH(BK11,'Perhitungan Heatmap'!$D$9:$AB$9),'Perhitungan Heatmap'!$D$9:$AB$9,'Perhitungan Heatmap'!$D$10:$AB$10)</f>
        <v>Moderate To High</v>
      </c>
      <c r="BP11" s="1181" t="str">
        <f>LOOKUP(MATCH(BL11,'Perhitungan Heatmap'!$D$9:$AB$9),'Perhitungan Heatmap'!$D$9:$AB$9,'Perhitungan Heatmap'!$D$10:$AB$10)</f>
        <v>Low To Moderate</v>
      </c>
      <c r="BQ11" s="268"/>
      <c r="BR11" s="268"/>
      <c r="BS11" s="268"/>
      <c r="BT11" s="268"/>
      <c r="BU11" s="268"/>
      <c r="BV11" s="268"/>
      <c r="BW11" s="268"/>
      <c r="BX11" s="268"/>
      <c r="BY11" s="268"/>
      <c r="BZ11" s="267"/>
      <c r="CA11" s="268"/>
      <c r="CB11" s="1106" t="s">
        <v>259</v>
      </c>
      <c r="CC11" s="1103" t="s">
        <v>260</v>
      </c>
      <c r="CD11" s="261" t="s">
        <v>281</v>
      </c>
      <c r="CE11" s="261" t="s">
        <v>282</v>
      </c>
      <c r="CF11" s="2073"/>
      <c r="CG11" s="1102"/>
      <c r="CH11" s="268"/>
      <c r="CI11" s="1102"/>
      <c r="CJ11" s="268" t="s">
        <v>283</v>
      </c>
      <c r="CK11" s="1157">
        <v>1</v>
      </c>
      <c r="CL11" s="1157">
        <v>1</v>
      </c>
      <c r="CM11" s="1157">
        <v>1</v>
      </c>
      <c r="CN11" s="1157">
        <v>1</v>
      </c>
      <c r="CO11" s="1157">
        <v>1</v>
      </c>
      <c r="CP11" s="1157">
        <v>1</v>
      </c>
      <c r="CQ11" s="1157">
        <v>1</v>
      </c>
      <c r="CR11" s="1157">
        <v>1</v>
      </c>
      <c r="CS11" s="1157">
        <v>1</v>
      </c>
      <c r="CT11" s="1157">
        <v>1</v>
      </c>
      <c r="CU11" s="1157">
        <v>1</v>
      </c>
      <c r="CV11" s="1157">
        <v>1</v>
      </c>
    </row>
    <row r="12" spans="1:100" s="271" customFormat="1" ht="157.5">
      <c r="A12" s="257"/>
      <c r="B12" s="1157">
        <v>2</v>
      </c>
      <c r="C12" s="1157" t="s">
        <v>75</v>
      </c>
      <c r="D12" s="1157" t="s">
        <v>238</v>
      </c>
      <c r="E12" s="1165" t="s">
        <v>267</v>
      </c>
      <c r="F12" s="1157"/>
      <c r="G12" s="1157"/>
      <c r="H12" s="1157" t="s">
        <v>284</v>
      </c>
      <c r="I12" s="1165" t="s">
        <v>240</v>
      </c>
      <c r="J12" s="1165" t="s">
        <v>241</v>
      </c>
      <c r="K12" s="1166" t="s">
        <v>270</v>
      </c>
      <c r="L12" s="1157">
        <v>2</v>
      </c>
      <c r="M12" s="1167" t="s">
        <v>285</v>
      </c>
      <c r="N12" s="1168" t="s">
        <v>286</v>
      </c>
      <c r="O12" s="1157" t="s">
        <v>245</v>
      </c>
      <c r="P12" s="1160" t="str">
        <f t="shared" si="11"/>
        <v>BID AGA-2-a</v>
      </c>
      <c r="Q12" s="1167" t="s">
        <v>287</v>
      </c>
      <c r="R12" s="1157" t="s">
        <v>288</v>
      </c>
      <c r="S12" s="1157" t="s">
        <v>202</v>
      </c>
      <c r="T12" s="1169" t="s">
        <v>289</v>
      </c>
      <c r="U12" s="1169">
        <v>1</v>
      </c>
      <c r="V12" s="1169" t="s">
        <v>290</v>
      </c>
      <c r="W12" s="1170" t="s">
        <v>252</v>
      </c>
      <c r="X12" s="1167" t="s">
        <v>291</v>
      </c>
      <c r="Y12" s="1171" t="s">
        <v>254</v>
      </c>
      <c r="Z12" s="1165" t="s">
        <v>255</v>
      </c>
      <c r="AA12" s="1167" t="s">
        <v>292</v>
      </c>
      <c r="AB12" s="1172" t="s">
        <v>293</v>
      </c>
      <c r="AC12" s="261" t="s">
        <v>294</v>
      </c>
      <c r="AD12" s="358" t="str">
        <f t="shared" ref="AD12" si="18">IF(Z12="KUANTITATIF","Wajib Isi","Tidak Wajib")</f>
        <v>Wajib Isi</v>
      </c>
      <c r="AE12" s="1107">
        <f>'Justifikasi Risk Assessment'!G65</f>
        <v>3600000000</v>
      </c>
      <c r="AF12" s="268">
        <v>1</v>
      </c>
      <c r="AG12" s="1108">
        <f>'Justifikasi Risk Assessment'!J60</f>
        <v>0.2</v>
      </c>
      <c r="AH12" s="268">
        <v>2</v>
      </c>
      <c r="AI12" s="265">
        <f t="shared" si="12"/>
        <v>720000000</v>
      </c>
      <c r="AJ12" s="1070">
        <f>INDEX(Source!$E$33:$I$37,MATCH(AH12,Source!$D$33:$D$37,0),MATCH(AF12,Source!$E$38:$I$38,0))</f>
        <v>2</v>
      </c>
      <c r="AK12" s="1183" t="str">
        <f>LOOKUP(MATCH(AJ12,'Perhitungan Heatmap'!$D$9:$AB$9),'Perhitungan Heatmap'!$D$9:$AB$9,'Perhitungan Heatmap'!$D$10:$AB$10)</f>
        <v>Low</v>
      </c>
      <c r="AL12" s="268"/>
      <c r="AM12" s="268"/>
      <c r="AN12" s="268"/>
      <c r="AO12" s="1187">
        <f>AE12</f>
        <v>3600000000</v>
      </c>
      <c r="AP12" s="1187">
        <f>AO12*75%</f>
        <v>2700000000</v>
      </c>
      <c r="AQ12" s="1187">
        <f>AO12*50%</f>
        <v>1800000000</v>
      </c>
      <c r="AR12" s="1187">
        <f>AO12*25%</f>
        <v>900000000</v>
      </c>
      <c r="AS12" s="1102">
        <v>1</v>
      </c>
      <c r="AT12" s="1102">
        <v>1</v>
      </c>
      <c r="AU12" s="1102">
        <v>1</v>
      </c>
      <c r="AV12" s="1102">
        <v>1</v>
      </c>
      <c r="AW12" s="1184">
        <f>AG12</f>
        <v>0.2</v>
      </c>
      <c r="AX12" s="1184">
        <f t="shared" si="15"/>
        <v>0.15000000000000002</v>
      </c>
      <c r="AY12" s="1184">
        <f t="shared" si="15"/>
        <v>0.11250000000000002</v>
      </c>
      <c r="AZ12" s="1184">
        <f t="shared" si="15"/>
        <v>8.4375000000000006E-2</v>
      </c>
      <c r="BA12" s="1102">
        <v>2</v>
      </c>
      <c r="BB12" s="1102">
        <v>2</v>
      </c>
      <c r="BC12" s="1102">
        <v>2</v>
      </c>
      <c r="BD12" s="1102">
        <v>1</v>
      </c>
      <c r="BE12" s="1182">
        <f>AO12*AW12</f>
        <v>720000000</v>
      </c>
      <c r="BF12" s="1182">
        <f t="shared" ref="BF12" si="19">AP12*AX12</f>
        <v>405000000.00000006</v>
      </c>
      <c r="BG12" s="1182">
        <f t="shared" si="17"/>
        <v>202500000.00000003</v>
      </c>
      <c r="BH12" s="1182">
        <f t="shared" si="17"/>
        <v>75937500</v>
      </c>
      <c r="BI12" s="1071">
        <f>INDEX(Source!$E$33:$I$37,MATCH(BA12,Source!$D$33:$D$37,0),MATCH(AS12,Source!$E$38:$I$38,0))</f>
        <v>2</v>
      </c>
      <c r="BJ12" s="1071">
        <f>INDEX(Source!$E$33:$I$37,MATCH(BB12,Source!$D$33:$D$37,0),MATCH(AT12,Source!$E$38:$I$38,0))</f>
        <v>2</v>
      </c>
      <c r="BK12" s="1071">
        <f>INDEX(Source!$E$33:$I$37,MATCH(BC12,Source!$D$33:$D$37,0),MATCH(AU12,Source!$E$38:$I$38,0))</f>
        <v>2</v>
      </c>
      <c r="BL12" s="1071">
        <f>INDEX(Source!$E$33:$I$37,MATCH(BD12,Source!$D$33:$D$37,0),MATCH(AV12,Source!$E$38:$I$38,0))</f>
        <v>1</v>
      </c>
      <c r="BM12" s="1181" t="str">
        <f>LOOKUP(MATCH(BI12,'Perhitungan Heatmap'!$D$9:$AB$9),'Perhitungan Heatmap'!$D$9:$AB$9,'Perhitungan Heatmap'!$D$10:$AB$10)</f>
        <v>Low</v>
      </c>
      <c r="BN12" s="1181" t="str">
        <f>LOOKUP(MATCH(BJ12,'Perhitungan Heatmap'!$D$9:$AB$9),'Perhitungan Heatmap'!$D$9:$AB$9,'Perhitungan Heatmap'!$D$10:$AB$10)</f>
        <v>Low</v>
      </c>
      <c r="BO12" s="1181" t="str">
        <f>LOOKUP(MATCH(BK12,'Perhitungan Heatmap'!$D$9:$AB$9),'Perhitungan Heatmap'!$D$9:$AB$9,'Perhitungan Heatmap'!$D$10:$AB$10)</f>
        <v>Low</v>
      </c>
      <c r="BP12" s="1181" t="str">
        <f>LOOKUP(MATCH(BL12,'Perhitungan Heatmap'!$D$9:$AB$9),'Perhitungan Heatmap'!$D$9:$AB$9,'Perhitungan Heatmap'!$D$10:$AB$10)</f>
        <v>Low</v>
      </c>
      <c r="BQ12" s="268"/>
      <c r="BR12" s="268"/>
      <c r="BS12" s="268"/>
      <c r="BT12" s="268"/>
      <c r="BU12" s="268"/>
      <c r="BV12" s="268"/>
      <c r="BW12" s="268"/>
      <c r="BX12" s="268"/>
      <c r="BY12" s="268"/>
      <c r="BZ12" s="267"/>
      <c r="CA12" s="268"/>
      <c r="CB12" s="1106" t="s">
        <v>295</v>
      </c>
      <c r="CC12" s="1103" t="s">
        <v>260</v>
      </c>
      <c r="CD12" s="261" t="s">
        <v>296</v>
      </c>
      <c r="CE12" s="261" t="s">
        <v>297</v>
      </c>
      <c r="CF12" s="2073"/>
      <c r="CG12" s="1102"/>
      <c r="CH12" s="268"/>
      <c r="CI12" s="1102" t="s">
        <v>298</v>
      </c>
      <c r="CJ12" s="268" t="s">
        <v>283</v>
      </c>
      <c r="CK12" s="1157">
        <v>1</v>
      </c>
      <c r="CL12" s="1157">
        <v>1</v>
      </c>
      <c r="CM12" s="1157">
        <v>1</v>
      </c>
      <c r="CN12" s="1157">
        <v>1</v>
      </c>
      <c r="CO12" s="1157">
        <v>1</v>
      </c>
      <c r="CP12" s="1157">
        <v>1</v>
      </c>
      <c r="CQ12" s="1157">
        <v>1</v>
      </c>
      <c r="CR12" s="1157">
        <v>1</v>
      </c>
      <c r="CS12" s="1157">
        <v>1</v>
      </c>
      <c r="CT12" s="1157">
        <v>1</v>
      </c>
      <c r="CU12" s="1157">
        <v>1</v>
      </c>
      <c r="CV12" s="1157">
        <v>1</v>
      </c>
    </row>
    <row r="13" spans="1:100" s="271" customFormat="1" ht="388.5">
      <c r="A13" s="257"/>
      <c r="B13" s="1157">
        <v>3</v>
      </c>
      <c r="C13" s="1157" t="s">
        <v>75</v>
      </c>
      <c r="D13" s="1157" t="s">
        <v>238</v>
      </c>
      <c r="E13" s="1165" t="s">
        <v>267</v>
      </c>
      <c r="F13" s="1157"/>
      <c r="G13" s="1157"/>
      <c r="H13" s="1157" t="s">
        <v>299</v>
      </c>
      <c r="I13" s="1165" t="s">
        <v>240</v>
      </c>
      <c r="J13" s="1165" t="s">
        <v>241</v>
      </c>
      <c r="K13" s="1166" t="s">
        <v>270</v>
      </c>
      <c r="L13" s="1157">
        <v>3</v>
      </c>
      <c r="M13" s="1167" t="s">
        <v>3233</v>
      </c>
      <c r="N13" s="1167" t="s">
        <v>3234</v>
      </c>
      <c r="O13" s="1157" t="s">
        <v>245</v>
      </c>
      <c r="P13" s="1160" t="str">
        <f t="shared" ref="P13:P21" si="20">CONCATENATE(E13,"-",L13,"-",O13)</f>
        <v>BID AGA-3-a</v>
      </c>
      <c r="Q13" s="1167" t="s">
        <v>300</v>
      </c>
      <c r="R13" s="1157" t="s">
        <v>301</v>
      </c>
      <c r="S13" s="1157" t="s">
        <v>302</v>
      </c>
      <c r="T13" s="1169" t="s">
        <v>303</v>
      </c>
      <c r="U13" s="1169" t="s">
        <v>304</v>
      </c>
      <c r="V13" s="1169" t="s">
        <v>305</v>
      </c>
      <c r="W13" s="1170" t="s">
        <v>252</v>
      </c>
      <c r="X13" s="1167" t="s">
        <v>306</v>
      </c>
      <c r="Y13" s="1171" t="s">
        <v>307</v>
      </c>
      <c r="Z13" s="1165" t="s">
        <v>255</v>
      </c>
      <c r="AA13" s="1167" t="s">
        <v>308</v>
      </c>
      <c r="AB13" s="1172" t="s">
        <v>279</v>
      </c>
      <c r="AC13" s="261" t="s">
        <v>309</v>
      </c>
      <c r="AD13" s="358" t="str">
        <f t="shared" ref="AD13:AD20" si="21">IF(Z13="KUANTITATIF","Wajib Isi","Tidak Wajib")</f>
        <v>Wajib Isi</v>
      </c>
      <c r="AE13" s="1107">
        <f>'Justifikasi Risk Assessment'!H89</f>
        <v>102636956504.75555</v>
      </c>
      <c r="AF13" s="268">
        <v>1</v>
      </c>
      <c r="AG13" s="1108">
        <f>'Justifikasi Risk Assessment'!H90</f>
        <v>0.44444444444444442</v>
      </c>
      <c r="AH13" s="268">
        <v>3</v>
      </c>
      <c r="AI13" s="265">
        <f t="shared" si="12"/>
        <v>45616425113.224686</v>
      </c>
      <c r="AJ13" s="1070">
        <f>INDEX(Source!$E$33:$I$37,MATCH(AH13,Source!$D$33:$D$37,0),MATCH(AF13,Source!$E$38:$I$38,0))</f>
        <v>3</v>
      </c>
      <c r="AK13" s="1183" t="str">
        <f>LOOKUP(MATCH(AJ13,'Perhitungan Heatmap'!$D$9:$AB$9),'Perhitungan Heatmap'!$D$9:$AB$9,'Perhitungan Heatmap'!$D$10:$AB$10)</f>
        <v>Low</v>
      </c>
      <c r="AL13" s="268"/>
      <c r="AM13" s="268"/>
      <c r="AN13" s="268"/>
      <c r="AO13" s="1187">
        <f>AE13</f>
        <v>102636956504.75555</v>
      </c>
      <c r="AP13" s="1187">
        <f>AO13</f>
        <v>102636956504.75555</v>
      </c>
      <c r="AQ13" s="1187">
        <f>AP13</f>
        <v>102636956504.75555</v>
      </c>
      <c r="AR13" s="1187">
        <f>AQ13</f>
        <v>102636956504.75555</v>
      </c>
      <c r="AS13" s="1102">
        <v>1</v>
      </c>
      <c r="AT13" s="1102">
        <v>1</v>
      </c>
      <c r="AU13" s="1102">
        <v>1</v>
      </c>
      <c r="AV13" s="1102">
        <v>1</v>
      </c>
      <c r="AW13" s="1184">
        <f>AG13</f>
        <v>0.44444444444444442</v>
      </c>
      <c r="AX13" s="1184">
        <f t="shared" si="15"/>
        <v>0.33333333333333331</v>
      </c>
      <c r="AY13" s="1184">
        <f t="shared" si="15"/>
        <v>0.25</v>
      </c>
      <c r="AZ13" s="1184">
        <f t="shared" si="15"/>
        <v>0.1875</v>
      </c>
      <c r="BA13" s="1102">
        <v>3</v>
      </c>
      <c r="BB13" s="1102">
        <v>2</v>
      </c>
      <c r="BC13" s="1102">
        <v>2</v>
      </c>
      <c r="BD13" s="1102">
        <v>1</v>
      </c>
      <c r="BE13" s="1182">
        <f>AO13*AW13</f>
        <v>45616425113.224686</v>
      </c>
      <c r="BF13" s="1182">
        <f>AP13*AX13</f>
        <v>34212318834.918518</v>
      </c>
      <c r="BG13" s="1182">
        <f t="shared" si="17"/>
        <v>25659239126.188889</v>
      </c>
      <c r="BH13" s="1182">
        <f t="shared" si="17"/>
        <v>19244429344.641666</v>
      </c>
      <c r="BI13" s="1071">
        <f>INDEX(Source!$E$33:$I$37,MATCH(BA13,Source!$D$33:$D$37,0),MATCH(AS13,Source!$E$38:$I$38,0))</f>
        <v>3</v>
      </c>
      <c r="BJ13" s="1071">
        <f>INDEX(Source!$E$33:$I$37,MATCH(BB13,Source!$D$33:$D$37,0),MATCH(AT13,Source!$E$38:$I$38,0))</f>
        <v>2</v>
      </c>
      <c r="BK13" s="1071">
        <f>INDEX(Source!$E$33:$I$37,MATCH(BC13,Source!$D$33:$D$37,0),MATCH(AU13,Source!$E$38:$I$38,0))</f>
        <v>2</v>
      </c>
      <c r="BL13" s="1071">
        <f>INDEX(Source!$E$33:$I$37,MATCH(BD13,Source!$D$33:$D$37,0),MATCH(AV13,Source!$E$38:$I$38,0))</f>
        <v>1</v>
      </c>
      <c r="BM13" s="1181" t="str">
        <f>LOOKUP(MATCH(BI13,'Perhitungan Heatmap'!$D$9:$AB$9),'Perhitungan Heatmap'!$D$9:$AB$9,'Perhitungan Heatmap'!$D$10:$AB$10)</f>
        <v>Low</v>
      </c>
      <c r="BN13" s="1181" t="str">
        <f>LOOKUP(MATCH(BJ13,'Perhitungan Heatmap'!$D$9:$AB$9),'Perhitungan Heatmap'!$D$9:$AB$9,'Perhitungan Heatmap'!$D$10:$AB$10)</f>
        <v>Low</v>
      </c>
      <c r="BO13" s="1181" t="str">
        <f>LOOKUP(MATCH(BK13,'Perhitungan Heatmap'!$D$9:$AB$9),'Perhitungan Heatmap'!$D$9:$AB$9,'Perhitungan Heatmap'!$D$10:$AB$10)</f>
        <v>Low</v>
      </c>
      <c r="BP13" s="1181" t="str">
        <f>LOOKUP(MATCH(BL13,'Perhitungan Heatmap'!$D$9:$AB$9),'Perhitungan Heatmap'!$D$9:$AB$9,'Perhitungan Heatmap'!$D$10:$AB$10)</f>
        <v>Low</v>
      </c>
      <c r="BQ13" s="268"/>
      <c r="BR13" s="268"/>
      <c r="BS13" s="268"/>
      <c r="BT13" s="268"/>
      <c r="BU13" s="268"/>
      <c r="BV13" s="268"/>
      <c r="BW13" s="268"/>
      <c r="BX13" s="268"/>
      <c r="BY13" s="268"/>
      <c r="BZ13" s="267"/>
      <c r="CA13" s="268"/>
      <c r="CB13" s="1106" t="s">
        <v>295</v>
      </c>
      <c r="CC13" s="1103" t="s">
        <v>260</v>
      </c>
      <c r="CD13" s="261" t="s">
        <v>310</v>
      </c>
      <c r="CE13" s="261" t="s">
        <v>311</v>
      </c>
      <c r="CF13" s="2074">
        <v>50000000</v>
      </c>
      <c r="CG13" s="1104"/>
      <c r="CH13" s="268"/>
      <c r="CI13" s="1102"/>
      <c r="CJ13" s="268" t="s">
        <v>283</v>
      </c>
      <c r="CK13" s="1157">
        <v>1</v>
      </c>
      <c r="CL13" s="1157">
        <v>1</v>
      </c>
      <c r="CM13" s="1157">
        <v>1</v>
      </c>
      <c r="CN13" s="1157">
        <v>1</v>
      </c>
      <c r="CO13" s="1157">
        <v>1</v>
      </c>
      <c r="CP13" s="1157">
        <v>1</v>
      </c>
      <c r="CQ13" s="1157">
        <v>1</v>
      </c>
      <c r="CR13" s="1157">
        <v>1</v>
      </c>
      <c r="CS13" s="1157">
        <v>1</v>
      </c>
      <c r="CT13" s="1157">
        <v>1</v>
      </c>
      <c r="CU13" s="1157">
        <v>1</v>
      </c>
      <c r="CV13" s="1157">
        <v>1</v>
      </c>
    </row>
    <row r="14" spans="1:100" s="271" customFormat="1" ht="73.5">
      <c r="A14" s="257"/>
      <c r="B14" s="1157">
        <v>4</v>
      </c>
      <c r="C14" s="1157" t="s">
        <v>75</v>
      </c>
      <c r="D14" s="1157" t="s">
        <v>238</v>
      </c>
      <c r="E14" s="1165" t="s">
        <v>267</v>
      </c>
      <c r="F14" s="1157"/>
      <c r="G14" s="1157"/>
      <c r="H14" s="1157" t="s">
        <v>312</v>
      </c>
      <c r="I14" s="1165" t="s">
        <v>240</v>
      </c>
      <c r="J14" s="1165" t="s">
        <v>241</v>
      </c>
      <c r="K14" s="1166" t="s">
        <v>77</v>
      </c>
      <c r="L14" s="1157">
        <v>4</v>
      </c>
      <c r="M14" s="1159" t="s">
        <v>3229</v>
      </c>
      <c r="N14" s="1159" t="s">
        <v>3225</v>
      </c>
      <c r="O14" s="1155" t="s">
        <v>245</v>
      </c>
      <c r="P14" s="1160" t="str">
        <f t="shared" si="20"/>
        <v>BID AGA-4-a</v>
      </c>
      <c r="Q14" s="1159" t="s">
        <v>313</v>
      </c>
      <c r="R14" s="1155" t="s">
        <v>314</v>
      </c>
      <c r="S14" s="1155" t="s">
        <v>202</v>
      </c>
      <c r="T14" s="1155" t="s">
        <v>289</v>
      </c>
      <c r="U14" s="1161">
        <v>1</v>
      </c>
      <c r="V14" s="1155" t="s">
        <v>290</v>
      </c>
      <c r="W14" s="1162" t="s">
        <v>252</v>
      </c>
      <c r="X14" s="1159" t="s">
        <v>315</v>
      </c>
      <c r="Y14" s="1163" t="s">
        <v>307</v>
      </c>
      <c r="Z14" s="1156" t="s">
        <v>255</v>
      </c>
      <c r="AA14" s="1159" t="s">
        <v>3232</v>
      </c>
      <c r="AB14" s="1164" t="s">
        <v>3240</v>
      </c>
      <c r="AC14" s="1115" t="s">
        <v>317</v>
      </c>
      <c r="AD14" s="358" t="str">
        <f t="shared" si="21"/>
        <v>Wajib Isi</v>
      </c>
      <c r="AE14" s="1107">
        <f>'Justifikasi Risk Assessment'!P112</f>
        <v>254880000000</v>
      </c>
      <c r="AF14" s="1111">
        <v>3</v>
      </c>
      <c r="AG14" s="1112">
        <f>'Justifikasi Risk Assessment'!D124</f>
        <v>0.33333333333333331</v>
      </c>
      <c r="AH14" s="1111">
        <v>2</v>
      </c>
      <c r="AI14" s="265">
        <f t="shared" si="12"/>
        <v>84960000000</v>
      </c>
      <c r="AJ14" s="1070">
        <f>INDEX(Source!$E$33:$I$37,MATCH(AH14,Source!$D$33:$D$37,0),MATCH(AF14,Source!$E$38:$I$38,0))</f>
        <v>11</v>
      </c>
      <c r="AK14" s="1183" t="str">
        <f>LOOKUP(MATCH(AJ14,'Perhitungan Heatmap'!$D$9:$AB$9),'Perhitungan Heatmap'!$D$9:$AB$9,'Perhitungan Heatmap'!$D$10:$AB$10)</f>
        <v>Low To Moderate</v>
      </c>
      <c r="AL14" s="268"/>
      <c r="AM14" s="268"/>
      <c r="AN14" s="268"/>
      <c r="AO14" s="1182">
        <f>'Justifikasi Risk Assessment'!Q114</f>
        <v>254880000000</v>
      </c>
      <c r="AP14" s="1182">
        <f>'Justifikasi Risk Assessment'!R114</f>
        <v>254880000000</v>
      </c>
      <c r="AQ14" s="1182">
        <f>'Justifikasi Risk Assessment'!S114</f>
        <v>254880000000</v>
      </c>
      <c r="AR14" s="1182">
        <f>'Justifikasi Risk Assessment'!T114</f>
        <v>191160000000</v>
      </c>
      <c r="AS14" s="1113">
        <v>2</v>
      </c>
      <c r="AT14" s="1113">
        <v>2</v>
      </c>
      <c r="AU14" s="1113">
        <v>2</v>
      </c>
      <c r="AV14" s="1113">
        <v>1</v>
      </c>
      <c r="AW14" s="1161">
        <f>AG14</f>
        <v>0.33333333333333331</v>
      </c>
      <c r="AX14" s="1184">
        <f>AW14*75%</f>
        <v>0.25</v>
      </c>
      <c r="AY14" s="1184">
        <f>AW14*50%</f>
        <v>0.16666666666666666</v>
      </c>
      <c r="AZ14" s="1184">
        <f>AW14*25%</f>
        <v>8.3333333333333329E-2</v>
      </c>
      <c r="BA14" s="1113">
        <v>2</v>
      </c>
      <c r="BB14" s="1113">
        <v>1</v>
      </c>
      <c r="BC14" s="1113">
        <v>1</v>
      </c>
      <c r="BD14" s="1113">
        <v>1</v>
      </c>
      <c r="BE14" s="1182">
        <f>AO14*AW14</f>
        <v>84960000000</v>
      </c>
      <c r="BF14" s="1182">
        <f>AP14*AX14</f>
        <v>63720000000</v>
      </c>
      <c r="BG14" s="1182">
        <f t="shared" si="17"/>
        <v>42480000000</v>
      </c>
      <c r="BH14" s="1182">
        <f t="shared" si="17"/>
        <v>15930000000</v>
      </c>
      <c r="BI14" s="1071">
        <f>INDEX(Source!$E$33:$I$37,MATCH(BA14,Source!$D$33:$D$37,0),MATCH(AS14,Source!$E$38:$I$38,0))</f>
        <v>6</v>
      </c>
      <c r="BJ14" s="1071">
        <f>INDEX(Source!$E$33:$I$37,MATCH(BB14,Source!$D$33:$D$37,0),MATCH(AT14,Source!$E$38:$I$38,0))</f>
        <v>5</v>
      </c>
      <c r="BK14" s="1071">
        <f>INDEX(Source!$E$33:$I$37,MATCH(BC14,Source!$D$33:$D$37,0),MATCH(AU14,Source!$E$38:$I$38,0))</f>
        <v>5</v>
      </c>
      <c r="BL14" s="1071">
        <f>INDEX(Source!$E$33:$I$37,MATCH(BD14,Source!$D$33:$D$37,0),MATCH(AV14,Source!$E$38:$I$38,0))</f>
        <v>1</v>
      </c>
      <c r="BM14" s="1181" t="str">
        <f>LOOKUP(MATCH(BI14,'Perhitungan Heatmap'!$D$9:$AB$9),'Perhitungan Heatmap'!$D$9:$AB$9,'Perhitungan Heatmap'!$D$10:$AB$10)</f>
        <v>Low To Moderate</v>
      </c>
      <c r="BN14" s="1181" t="str">
        <f>LOOKUP(MATCH(BJ14,'Perhitungan Heatmap'!$D$9:$AB$9),'Perhitungan Heatmap'!$D$9:$AB$9,'Perhitungan Heatmap'!$D$10:$AB$10)</f>
        <v>Low</v>
      </c>
      <c r="BO14" s="1181" t="str">
        <f>LOOKUP(MATCH(BK14,'Perhitungan Heatmap'!$D$9:$AB$9),'Perhitungan Heatmap'!$D$9:$AB$9,'Perhitungan Heatmap'!$D$10:$AB$10)</f>
        <v>Low</v>
      </c>
      <c r="BP14" s="1181" t="str">
        <f>LOOKUP(MATCH(BL14,'Perhitungan Heatmap'!$D$9:$AB$9),'Perhitungan Heatmap'!$D$9:$AB$9,'Perhitungan Heatmap'!$D$10:$AB$10)</f>
        <v>Low</v>
      </c>
      <c r="BQ14" s="268"/>
      <c r="BR14" s="268"/>
      <c r="BS14" s="268"/>
      <c r="BT14" s="268"/>
      <c r="BU14" s="268"/>
      <c r="BV14" s="268"/>
      <c r="BW14" s="268"/>
      <c r="BX14" s="268"/>
      <c r="BY14" s="268"/>
      <c r="BZ14" s="267" t="s">
        <v>318</v>
      </c>
      <c r="CA14" s="268" t="s">
        <v>319</v>
      </c>
      <c r="CB14" s="1106" t="s">
        <v>295</v>
      </c>
      <c r="CC14" s="1114" t="s">
        <v>260</v>
      </c>
      <c r="CD14" s="1115" t="s">
        <v>320</v>
      </c>
      <c r="CE14" s="1115" t="s">
        <v>321</v>
      </c>
      <c r="CF14" s="2073"/>
      <c r="CG14" s="1113"/>
      <c r="CH14" s="1111"/>
      <c r="CI14" s="1113" t="s">
        <v>298</v>
      </c>
      <c r="CJ14" s="1111" t="s">
        <v>283</v>
      </c>
      <c r="CK14" s="1342"/>
      <c r="CL14" s="1342"/>
      <c r="CM14" s="1342"/>
      <c r="CN14" s="1342"/>
      <c r="CO14" s="1342"/>
      <c r="CP14" s="1342"/>
      <c r="CQ14" s="1342"/>
      <c r="CR14" s="1342"/>
      <c r="CS14" s="1185">
        <v>1</v>
      </c>
      <c r="CT14" s="1185">
        <v>1</v>
      </c>
      <c r="CU14" s="1185">
        <v>1</v>
      </c>
      <c r="CV14" s="1185">
        <v>1</v>
      </c>
    </row>
    <row r="15" spans="1:100" s="271" customFormat="1" ht="126">
      <c r="A15" s="257"/>
      <c r="B15" s="1176">
        <v>5</v>
      </c>
      <c r="C15" s="1157" t="s">
        <v>75</v>
      </c>
      <c r="D15" s="1157" t="s">
        <v>238</v>
      </c>
      <c r="E15" s="1165" t="s">
        <v>267</v>
      </c>
      <c r="F15" s="1157"/>
      <c r="G15" s="1176"/>
      <c r="H15" s="1157" t="s">
        <v>322</v>
      </c>
      <c r="I15" s="1165" t="s">
        <v>240</v>
      </c>
      <c r="J15" s="1165" t="s">
        <v>241</v>
      </c>
      <c r="K15" s="1166" t="s">
        <v>77</v>
      </c>
      <c r="L15" s="1157">
        <v>5</v>
      </c>
      <c r="M15" s="1159" t="s">
        <v>3235</v>
      </c>
      <c r="N15" s="1159" t="s">
        <v>3236</v>
      </c>
      <c r="O15" s="1155" t="s">
        <v>245</v>
      </c>
      <c r="P15" s="1160" t="str">
        <f t="shared" si="20"/>
        <v>BID AGA-5-a</v>
      </c>
      <c r="Q15" s="1159" t="s">
        <v>3238</v>
      </c>
      <c r="R15" s="1155" t="s">
        <v>3237</v>
      </c>
      <c r="S15" s="1155" t="s">
        <v>323</v>
      </c>
      <c r="T15" s="1110" t="s">
        <v>324</v>
      </c>
      <c r="U15" s="1110" t="s">
        <v>325</v>
      </c>
      <c r="V15" s="1110" t="s">
        <v>326</v>
      </c>
      <c r="W15" s="1170" t="s">
        <v>327</v>
      </c>
      <c r="X15" s="1339" t="s">
        <v>3239</v>
      </c>
      <c r="Y15" s="1171" t="s">
        <v>307</v>
      </c>
      <c r="Z15" s="1156" t="s">
        <v>255</v>
      </c>
      <c r="AA15" s="1340" t="s">
        <v>328</v>
      </c>
      <c r="AB15" s="1172" t="s">
        <v>279</v>
      </c>
      <c r="AC15" s="1348" t="s">
        <v>329</v>
      </c>
      <c r="AD15" s="358" t="str">
        <f t="shared" si="21"/>
        <v>Wajib Isi</v>
      </c>
      <c r="AE15" s="2056">
        <f>'Justifikasi Risk Assessment'!O135</f>
        <v>7911211469.8060303</v>
      </c>
      <c r="AF15" s="1111">
        <v>3</v>
      </c>
      <c r="AG15" s="1112">
        <f>'Justifikasi Risk Assessment'!D139</f>
        <v>0.25</v>
      </c>
      <c r="AH15" s="1111">
        <v>2</v>
      </c>
      <c r="AI15" s="265">
        <f t="shared" si="12"/>
        <v>1977802867.4515076</v>
      </c>
      <c r="AJ15" s="1070">
        <f>INDEX(Source!$E$33:$I$37,MATCH(AH15,Source!$D$33:$D$37,0),MATCH(AF15,Source!$E$38:$I$38,0))</f>
        <v>11</v>
      </c>
      <c r="AK15" s="1183" t="str">
        <f>LOOKUP(MATCH(AJ15,'Perhitungan Heatmap'!$D$9:$AB$9),'Perhitungan Heatmap'!$D$9:$AB$9,'Perhitungan Heatmap'!$D$10:$AB$10)</f>
        <v>Low To Moderate</v>
      </c>
      <c r="AL15" s="268"/>
      <c r="AM15" s="268"/>
      <c r="AN15" s="268"/>
      <c r="AO15" s="1182">
        <f>'Justifikasi Risk Assessment'!Q136</f>
        <v>7911211469.8060303</v>
      </c>
      <c r="AP15" s="1182">
        <f>'Justifikasi Risk Assessment'!R136</f>
        <v>6033503792.5732422</v>
      </c>
      <c r="AQ15" s="1182">
        <f>'Justifikasi Risk Assessment'!S136</f>
        <v>4058723628.8164063</v>
      </c>
      <c r="AR15" s="1182">
        <f>'Justifikasi Risk Assessment'!T136</f>
        <v>2006513944.3519897</v>
      </c>
      <c r="AS15" s="1113">
        <v>1</v>
      </c>
      <c r="AT15" s="1113">
        <v>1</v>
      </c>
      <c r="AU15" s="1113">
        <v>1</v>
      </c>
      <c r="AV15" s="1113">
        <v>1</v>
      </c>
      <c r="AW15" s="1161">
        <f>AG15</f>
        <v>0.25</v>
      </c>
      <c r="AX15" s="1184">
        <f>AW15*75%</f>
        <v>0.1875</v>
      </c>
      <c r="AY15" s="1184">
        <f>AW15*50%</f>
        <v>0.125</v>
      </c>
      <c r="AZ15" s="1184">
        <f>AW15*25%</f>
        <v>6.25E-2</v>
      </c>
      <c r="BA15" s="1113">
        <v>3</v>
      </c>
      <c r="BB15" s="1113">
        <v>2</v>
      </c>
      <c r="BC15" s="1113">
        <v>2</v>
      </c>
      <c r="BD15" s="1113">
        <v>1</v>
      </c>
      <c r="BE15" s="1182">
        <f>AO15*AW15</f>
        <v>1977802867.4515076</v>
      </c>
      <c r="BF15" s="1182">
        <f>AP15*AX15</f>
        <v>1131281961.1074829</v>
      </c>
      <c r="BG15" s="1182">
        <f t="shared" ref="BG15" si="22">AQ15*AY15</f>
        <v>507340453.60205078</v>
      </c>
      <c r="BH15" s="1182">
        <f t="shared" ref="BH15" si="23">AR15*AZ15</f>
        <v>125407121.52199936</v>
      </c>
      <c r="BI15" s="1071">
        <v>1</v>
      </c>
      <c r="BJ15" s="1071">
        <v>1</v>
      </c>
      <c r="BK15" s="1071">
        <v>1</v>
      </c>
      <c r="BL15" s="1071">
        <v>1</v>
      </c>
      <c r="BM15" s="1181" t="str">
        <f>LOOKUP(MATCH(BI15,'Perhitungan Heatmap'!$D$9:$AB$9),'Perhitungan Heatmap'!$D$9:$AB$9,'Perhitungan Heatmap'!$D$10:$AB$10)</f>
        <v>Low</v>
      </c>
      <c r="BN15" s="1181" t="str">
        <f>LOOKUP(MATCH(BJ15,'Perhitungan Heatmap'!$D$9:$AB$9),'Perhitungan Heatmap'!$D$9:$AB$9,'Perhitungan Heatmap'!$D$10:$AB$10)</f>
        <v>Low</v>
      </c>
      <c r="BO15" s="1181" t="str">
        <f>LOOKUP(MATCH(BK15,'Perhitungan Heatmap'!$D$9:$AB$9),'Perhitungan Heatmap'!$D$9:$AB$9,'Perhitungan Heatmap'!$D$10:$AB$10)</f>
        <v>Low</v>
      </c>
      <c r="BP15" s="1181" t="str">
        <f>LOOKUP(MATCH(BL15,'Perhitungan Heatmap'!$D$9:$AB$9),'Perhitungan Heatmap'!$D$9:$AB$9,'Perhitungan Heatmap'!$D$10:$AB$10)</f>
        <v>Low</v>
      </c>
      <c r="BQ15" s="268"/>
      <c r="BR15" s="268"/>
      <c r="BS15" s="268"/>
      <c r="BT15" s="268"/>
      <c r="BU15" s="268"/>
      <c r="BV15" s="268"/>
      <c r="BW15" s="268"/>
      <c r="BX15" s="268"/>
      <c r="BY15" s="268"/>
      <c r="BZ15" s="267"/>
      <c r="CA15" s="268"/>
      <c r="CB15" s="1106" t="s">
        <v>295</v>
      </c>
      <c r="CC15" s="1114" t="s">
        <v>260</v>
      </c>
      <c r="CD15" s="2035" t="s">
        <v>3246</v>
      </c>
      <c r="CE15" s="2035" t="s">
        <v>3243</v>
      </c>
      <c r="CF15" s="2075">
        <v>100000000</v>
      </c>
      <c r="CG15" s="1341"/>
      <c r="CH15" s="1111"/>
      <c r="CI15" s="1113"/>
      <c r="CJ15" s="1111" t="s">
        <v>283</v>
      </c>
      <c r="CK15" s="1185">
        <v>1</v>
      </c>
      <c r="CL15" s="1185">
        <v>1</v>
      </c>
      <c r="CM15" s="1185">
        <v>1</v>
      </c>
      <c r="CN15" s="1185">
        <v>1</v>
      </c>
      <c r="CO15" s="1185">
        <v>1</v>
      </c>
      <c r="CP15" s="1185">
        <v>1</v>
      </c>
      <c r="CQ15" s="1185">
        <v>1</v>
      </c>
      <c r="CR15" s="1342"/>
      <c r="CS15" s="1342"/>
      <c r="CT15" s="1342"/>
      <c r="CU15" s="1342"/>
      <c r="CV15" s="1342"/>
    </row>
    <row r="16" spans="1:100" s="272" customFormat="1" ht="98.65" customHeight="1">
      <c r="A16" s="257"/>
      <c r="B16" s="1176">
        <v>6</v>
      </c>
      <c r="C16" s="1157" t="s">
        <v>75</v>
      </c>
      <c r="D16" s="1157" t="s">
        <v>238</v>
      </c>
      <c r="E16" s="1165" t="s">
        <v>267</v>
      </c>
      <c r="F16" s="1157"/>
      <c r="G16" s="1176"/>
      <c r="H16" s="1157" t="s">
        <v>330</v>
      </c>
      <c r="I16" s="1165" t="s">
        <v>240</v>
      </c>
      <c r="J16" s="1165" t="s">
        <v>331</v>
      </c>
      <c r="K16" s="1166" t="s">
        <v>332</v>
      </c>
      <c r="L16" s="1157">
        <v>6</v>
      </c>
      <c r="M16" s="1167" t="s">
        <v>333</v>
      </c>
      <c r="N16" s="1167" t="s">
        <v>3244</v>
      </c>
      <c r="O16" s="1157" t="s">
        <v>245</v>
      </c>
      <c r="P16" s="1160" t="str">
        <f t="shared" si="20"/>
        <v>BID AGA-6-a</v>
      </c>
      <c r="Q16" s="1167" t="s">
        <v>334</v>
      </c>
      <c r="R16" s="1157" t="s">
        <v>330</v>
      </c>
      <c r="S16" s="1157" t="s">
        <v>335</v>
      </c>
      <c r="T16" s="1110" t="s">
        <v>3247</v>
      </c>
      <c r="U16" s="1178">
        <v>0.99729999999999996</v>
      </c>
      <c r="V16" s="1110" t="s">
        <v>3248</v>
      </c>
      <c r="W16" s="1179" t="s">
        <v>252</v>
      </c>
      <c r="X16" s="1177" t="s">
        <v>336</v>
      </c>
      <c r="Y16" s="1171" t="s">
        <v>307</v>
      </c>
      <c r="Z16" s="1165" t="s">
        <v>316</v>
      </c>
      <c r="AA16" s="1174" t="s">
        <v>337</v>
      </c>
      <c r="AB16" s="1172" t="s">
        <v>279</v>
      </c>
      <c r="AC16" s="261" t="s">
        <v>338</v>
      </c>
      <c r="AD16" s="358" t="str">
        <f t="shared" si="21"/>
        <v>Tidak Wajib</v>
      </c>
      <c r="AE16" s="358"/>
      <c r="AF16" s="268">
        <v>3</v>
      </c>
      <c r="AG16" s="1108">
        <f>'Justifikasi Risk Assessment'!D152</f>
        <v>0.2</v>
      </c>
      <c r="AH16" s="268">
        <v>1</v>
      </c>
      <c r="AI16" s="265">
        <f t="shared" si="12"/>
        <v>18300000000</v>
      </c>
      <c r="AJ16" s="1070">
        <f>INDEX(Source!$E$33:$I$37,MATCH(AH16,Source!$D$33:$D$37,0),MATCH(AF16,Source!$E$38:$I$38,0))</f>
        <v>10</v>
      </c>
      <c r="AK16" s="1183" t="str">
        <f>LOOKUP(MATCH(AJ16,'Perhitungan Heatmap'!$D$9:$AB$9),'Perhitungan Heatmap'!$D$9:$AB$9,'Perhitungan Heatmap'!$D$10:$AB$10)</f>
        <v>Low To Moderate</v>
      </c>
      <c r="AL16" s="268"/>
      <c r="AM16" s="268"/>
      <c r="AN16" s="268"/>
      <c r="AO16" s="1182"/>
      <c r="AP16" s="1182"/>
      <c r="AQ16" s="1182"/>
      <c r="AR16" s="1182"/>
      <c r="AS16" s="1102">
        <v>3</v>
      </c>
      <c r="AT16" s="1102">
        <v>3</v>
      </c>
      <c r="AU16" s="1102">
        <v>3</v>
      </c>
      <c r="AV16" s="1102">
        <v>3</v>
      </c>
      <c r="AW16" s="1180">
        <v>0.2</v>
      </c>
      <c r="AX16" s="1180">
        <v>0.2</v>
      </c>
      <c r="AY16" s="1180">
        <v>0.2</v>
      </c>
      <c r="AZ16" s="1180">
        <v>0.2</v>
      </c>
      <c r="BA16" s="1102">
        <v>2</v>
      </c>
      <c r="BB16" s="1102">
        <v>2</v>
      </c>
      <c r="BC16" s="1102">
        <v>2</v>
      </c>
      <c r="BD16" s="1102">
        <v>2</v>
      </c>
      <c r="BE16" s="1182">
        <f>AI16</f>
        <v>18300000000</v>
      </c>
      <c r="BF16" s="1182">
        <f t="shared" ref="BF16:BH18" si="24">BE16</f>
        <v>18300000000</v>
      </c>
      <c r="BG16" s="1182">
        <f t="shared" si="24"/>
        <v>18300000000</v>
      </c>
      <c r="BH16" s="1182">
        <f t="shared" si="24"/>
        <v>18300000000</v>
      </c>
      <c r="BI16" s="1071">
        <f>INDEX(Source!$E$33:$I$37,MATCH(BA16,Source!$D$33:$D$37,0),MATCH(AS16,Source!$E$38:$I$38,0))</f>
        <v>11</v>
      </c>
      <c r="BJ16" s="1071">
        <f>INDEX(Source!$E$33:$I$37,MATCH(BB16,Source!$D$33:$D$37,0),MATCH(AT16,Source!$E$38:$I$38,0))</f>
        <v>11</v>
      </c>
      <c r="BK16" s="1071">
        <f>INDEX(Source!$E$33:$I$37,MATCH(BC16,Source!$D$33:$D$37,0),MATCH(AU16,Source!$E$38:$I$38,0))</f>
        <v>11</v>
      </c>
      <c r="BL16" s="1071">
        <f>INDEX(Source!$E$33:$I$37,MATCH(BD16,Source!$D$33:$D$37,0),MATCH(AV16,Source!$E$38:$I$38,0))</f>
        <v>11</v>
      </c>
      <c r="BM16" s="1181" t="str">
        <f>LOOKUP(MATCH(BI16,'Perhitungan Heatmap'!$D$9:$AB$9),'Perhitungan Heatmap'!$D$9:$AB$9,'Perhitungan Heatmap'!$D$10:$AB$10)</f>
        <v>Low To Moderate</v>
      </c>
      <c r="BN16" s="1181" t="str">
        <f>LOOKUP(MATCH(BJ16,'Perhitungan Heatmap'!$D$9:$AB$9),'Perhitungan Heatmap'!$D$9:$AB$9,'Perhitungan Heatmap'!$D$10:$AB$10)</f>
        <v>Low To Moderate</v>
      </c>
      <c r="BO16" s="1181" t="str">
        <f>LOOKUP(MATCH(BK16,'Perhitungan Heatmap'!$D$9:$AB$9),'Perhitungan Heatmap'!$D$9:$AB$9,'Perhitungan Heatmap'!$D$10:$AB$10)</f>
        <v>Low To Moderate</v>
      </c>
      <c r="BP16" s="1181" t="str">
        <f>LOOKUP(MATCH(BL16,'Perhitungan Heatmap'!$D$9:$AB$9),'Perhitungan Heatmap'!$D$9:$AB$9,'Perhitungan Heatmap'!$D$10:$AB$10)</f>
        <v>Low To Moderate</v>
      </c>
      <c r="BQ16" s="268"/>
      <c r="BR16" s="268"/>
      <c r="BS16" s="268"/>
      <c r="BT16" s="268"/>
      <c r="BU16" s="268"/>
      <c r="BV16" s="268"/>
      <c r="BW16" s="268"/>
      <c r="BX16" s="268"/>
      <c r="BY16" s="268"/>
      <c r="BZ16" s="268"/>
      <c r="CA16" s="268"/>
      <c r="CB16" s="1106" t="s">
        <v>259</v>
      </c>
      <c r="CC16" s="1103" t="s">
        <v>260</v>
      </c>
      <c r="CD16" s="261" t="s">
        <v>339</v>
      </c>
      <c r="CE16" s="261" t="s">
        <v>3251</v>
      </c>
      <c r="CF16" s="2074">
        <v>400000000</v>
      </c>
      <c r="CG16" s="1116"/>
      <c r="CH16" s="268"/>
      <c r="CI16" s="1102"/>
      <c r="CJ16" s="268" t="s">
        <v>283</v>
      </c>
      <c r="CK16" s="1157">
        <v>1</v>
      </c>
      <c r="CL16" s="1157">
        <v>1</v>
      </c>
      <c r="CM16" s="1157">
        <v>1</v>
      </c>
      <c r="CN16" s="1157">
        <v>1</v>
      </c>
      <c r="CO16" s="1157">
        <v>1</v>
      </c>
      <c r="CP16" s="1157">
        <v>1</v>
      </c>
      <c r="CQ16" s="1157">
        <v>1</v>
      </c>
      <c r="CR16" s="1157">
        <v>1</v>
      </c>
      <c r="CS16" s="1157">
        <v>1</v>
      </c>
      <c r="CT16" s="1157">
        <v>1</v>
      </c>
      <c r="CU16" s="1157">
        <v>1</v>
      </c>
      <c r="CV16" s="1157">
        <v>1</v>
      </c>
    </row>
    <row r="17" spans="1:100" s="272" customFormat="1" ht="98.65" customHeight="1">
      <c r="A17" s="257"/>
      <c r="B17" s="1176">
        <v>7</v>
      </c>
      <c r="C17" s="1157" t="s">
        <v>75</v>
      </c>
      <c r="D17" s="1157" t="s">
        <v>238</v>
      </c>
      <c r="E17" s="1165" t="s">
        <v>267</v>
      </c>
      <c r="F17" s="1157"/>
      <c r="G17" s="1176"/>
      <c r="H17" s="1157" t="s">
        <v>340</v>
      </c>
      <c r="I17" s="1165" t="s">
        <v>341</v>
      </c>
      <c r="J17" s="1165" t="s">
        <v>331</v>
      </c>
      <c r="K17" s="1166" t="s">
        <v>332</v>
      </c>
      <c r="L17" s="1157">
        <v>7</v>
      </c>
      <c r="M17" s="1167" t="s">
        <v>342</v>
      </c>
      <c r="N17" s="1167" t="s">
        <v>343</v>
      </c>
      <c r="O17" s="1157" t="s">
        <v>245</v>
      </c>
      <c r="P17" s="1160" t="str">
        <f t="shared" ref="P17" si="25">CONCATENATE(E17,"-",L17,"-",O17)</f>
        <v>BID AGA-7-a</v>
      </c>
      <c r="Q17" s="1167" t="s">
        <v>344</v>
      </c>
      <c r="R17" s="1157" t="s">
        <v>3252</v>
      </c>
      <c r="S17" s="1157" t="s">
        <v>335</v>
      </c>
      <c r="T17" s="1370">
        <v>1</v>
      </c>
      <c r="U17" s="1178">
        <v>0.99</v>
      </c>
      <c r="V17" s="1110" t="s">
        <v>345</v>
      </c>
      <c r="W17" s="1179" t="s">
        <v>346</v>
      </c>
      <c r="X17" s="1177" t="s">
        <v>347</v>
      </c>
      <c r="Y17" s="1171" t="s">
        <v>307</v>
      </c>
      <c r="Z17" s="1165" t="s">
        <v>316</v>
      </c>
      <c r="AA17" s="1174" t="s">
        <v>348</v>
      </c>
      <c r="AB17" s="1172" t="s">
        <v>279</v>
      </c>
      <c r="AC17" s="261" t="s">
        <v>349</v>
      </c>
      <c r="AD17" s="358" t="str">
        <f t="shared" si="21"/>
        <v>Tidak Wajib</v>
      </c>
      <c r="AE17" s="1107"/>
      <c r="AF17" s="268">
        <v>1</v>
      </c>
      <c r="AG17" s="1108">
        <f>'Justifikasi Risk Assessment'!F165</f>
        <v>0</v>
      </c>
      <c r="AH17" s="268">
        <v>1</v>
      </c>
      <c r="AI17" s="265">
        <f t="shared" si="12"/>
        <v>6100000000</v>
      </c>
      <c r="AJ17" s="1070">
        <f>INDEX(Source!$E$33:$I$37,MATCH(AH17,Source!$D$33:$D$37,0),MATCH(AF17,Source!$E$38:$I$38,0))</f>
        <v>1</v>
      </c>
      <c r="AK17" s="1183" t="str">
        <f>LOOKUP(MATCH(AJ17,'Perhitungan Heatmap'!$D$9:$AB$9),'Perhitungan Heatmap'!$D$9:$AB$9,'Perhitungan Heatmap'!$D$10:$AB$10)</f>
        <v>Low</v>
      </c>
      <c r="AL17" s="268"/>
      <c r="AM17" s="268"/>
      <c r="AN17" s="268"/>
      <c r="AO17" s="1182"/>
      <c r="AP17" s="1182"/>
      <c r="AQ17" s="1182"/>
      <c r="AR17" s="1182"/>
      <c r="AS17" s="1102">
        <v>1</v>
      </c>
      <c r="AT17" s="1102">
        <v>1</v>
      </c>
      <c r="AU17" s="1102">
        <v>1</v>
      </c>
      <c r="AV17" s="1102">
        <v>1</v>
      </c>
      <c r="AW17" s="1180">
        <v>0.2</v>
      </c>
      <c r="AX17" s="1180">
        <v>0.2</v>
      </c>
      <c r="AY17" s="1180">
        <v>0.2</v>
      </c>
      <c r="AZ17" s="1180">
        <v>0.2</v>
      </c>
      <c r="BA17" s="1102">
        <v>1</v>
      </c>
      <c r="BB17" s="1102">
        <v>1</v>
      </c>
      <c r="BC17" s="1102">
        <v>1</v>
      </c>
      <c r="BD17" s="1102">
        <v>1</v>
      </c>
      <c r="BE17" s="1182">
        <f>AI17</f>
        <v>6100000000</v>
      </c>
      <c r="BF17" s="1182">
        <f t="shared" ref="BF17" si="26">BE17</f>
        <v>6100000000</v>
      </c>
      <c r="BG17" s="1182">
        <f t="shared" ref="BG17" si="27">BF17</f>
        <v>6100000000</v>
      </c>
      <c r="BH17" s="1182">
        <f t="shared" ref="BH17" si="28">BG17</f>
        <v>6100000000</v>
      </c>
      <c r="BI17" s="1071">
        <f>INDEX(Source!$E$33:$I$37,MATCH(BA17,Source!$D$33:$D$37,0),MATCH(AS17,Source!$E$38:$I$38,0))</f>
        <v>1</v>
      </c>
      <c r="BJ17" s="1071">
        <f>INDEX(Source!$E$33:$I$37,MATCH(BB17,Source!$D$33:$D$37,0),MATCH(AT17,Source!$E$38:$I$38,0))</f>
        <v>1</v>
      </c>
      <c r="BK17" s="1071">
        <f>INDEX(Source!$E$33:$I$37,MATCH(BC17,Source!$D$33:$D$37,0),MATCH(AU17,Source!$E$38:$I$38,0))</f>
        <v>1</v>
      </c>
      <c r="BL17" s="1071">
        <f>INDEX(Source!$E$33:$I$37,MATCH(BD17,Source!$D$33:$D$37,0),MATCH(AV17,Source!$E$38:$I$38,0))</f>
        <v>1</v>
      </c>
      <c r="BM17" s="1181" t="str">
        <f>LOOKUP(MATCH(BI17,'Perhitungan Heatmap'!$D$9:$AB$9),'Perhitungan Heatmap'!$D$9:$AB$9,'Perhitungan Heatmap'!$D$10:$AB$10)</f>
        <v>Low</v>
      </c>
      <c r="BN17" s="1181" t="str">
        <f>LOOKUP(MATCH(BJ17,'Perhitungan Heatmap'!$D$9:$AB$9),'Perhitungan Heatmap'!$D$9:$AB$9,'Perhitungan Heatmap'!$D$10:$AB$10)</f>
        <v>Low</v>
      </c>
      <c r="BO17" s="1181" t="str">
        <f>LOOKUP(MATCH(BK17,'Perhitungan Heatmap'!$D$9:$AB$9),'Perhitungan Heatmap'!$D$9:$AB$9,'Perhitungan Heatmap'!$D$10:$AB$10)</f>
        <v>Low</v>
      </c>
      <c r="BP17" s="1181" t="str">
        <f>LOOKUP(MATCH(BL17,'Perhitungan Heatmap'!$D$9:$AB$9),'Perhitungan Heatmap'!$D$9:$AB$9,'Perhitungan Heatmap'!$D$10:$AB$10)</f>
        <v>Low</v>
      </c>
      <c r="BQ17" s="268"/>
      <c r="BR17" s="268"/>
      <c r="BS17" s="268"/>
      <c r="BT17" s="268"/>
      <c r="BU17" s="268"/>
      <c r="BV17" s="268"/>
      <c r="BW17" s="268"/>
      <c r="BX17" s="268"/>
      <c r="BY17" s="268"/>
      <c r="BZ17" s="268"/>
      <c r="CA17" s="268"/>
      <c r="CB17" s="1106" t="s">
        <v>295</v>
      </c>
      <c r="CC17" s="1103" t="s">
        <v>260</v>
      </c>
      <c r="CD17" s="261" t="s">
        <v>3253</v>
      </c>
      <c r="CE17" s="261" t="s">
        <v>3254</v>
      </c>
      <c r="CF17" s="2074"/>
      <c r="CG17" s="1116"/>
      <c r="CH17" s="268"/>
      <c r="CI17" s="1102"/>
      <c r="CJ17" s="268" t="s">
        <v>283</v>
      </c>
      <c r="CK17" s="1157"/>
      <c r="CL17" s="1157">
        <v>1</v>
      </c>
      <c r="CM17" s="1157">
        <v>1</v>
      </c>
      <c r="CN17" s="1157">
        <v>1</v>
      </c>
      <c r="CO17" s="1157">
        <v>1</v>
      </c>
      <c r="CP17" s="1157">
        <v>1</v>
      </c>
      <c r="CQ17" s="1157">
        <v>1</v>
      </c>
      <c r="CR17" s="1157">
        <v>1</v>
      </c>
      <c r="CS17" s="1157">
        <v>1</v>
      </c>
      <c r="CT17" s="1157">
        <v>1</v>
      </c>
      <c r="CU17" s="1157">
        <v>1</v>
      </c>
      <c r="CV17" s="1157">
        <v>1</v>
      </c>
    </row>
    <row r="18" spans="1:100" s="272" customFormat="1" ht="98.65" customHeight="1">
      <c r="A18" s="257"/>
      <c r="B18" s="1176">
        <v>8</v>
      </c>
      <c r="C18" s="1157" t="s">
        <v>75</v>
      </c>
      <c r="D18" s="1157" t="s">
        <v>238</v>
      </c>
      <c r="E18" s="1165" t="s">
        <v>267</v>
      </c>
      <c r="F18" s="1157"/>
      <c r="G18" s="1176"/>
      <c r="H18" s="1157" t="s">
        <v>351</v>
      </c>
      <c r="I18" s="1165" t="s">
        <v>341</v>
      </c>
      <c r="J18" s="1165" t="s">
        <v>269</v>
      </c>
      <c r="K18" s="1166" t="s">
        <v>77</v>
      </c>
      <c r="L18" s="1157">
        <v>8</v>
      </c>
      <c r="M18" s="1167" t="s">
        <v>352</v>
      </c>
      <c r="N18" s="1167" t="s">
        <v>353</v>
      </c>
      <c r="O18" s="1157" t="s">
        <v>245</v>
      </c>
      <c r="P18" s="1160" t="str">
        <f t="shared" si="20"/>
        <v>BID AGA-8-a</v>
      </c>
      <c r="Q18" s="1167" t="s">
        <v>3260</v>
      </c>
      <c r="R18" s="1157" t="s">
        <v>354</v>
      </c>
      <c r="S18" s="1110" t="s">
        <v>323</v>
      </c>
      <c r="T18" s="1110" t="s">
        <v>355</v>
      </c>
      <c r="U18" s="1178" t="s">
        <v>356</v>
      </c>
      <c r="V18" s="1110" t="s">
        <v>357</v>
      </c>
      <c r="W18" s="1179" t="s">
        <v>252</v>
      </c>
      <c r="X18" s="1177" t="s">
        <v>358</v>
      </c>
      <c r="Y18" s="1171" t="s">
        <v>307</v>
      </c>
      <c r="Z18" s="1165" t="s">
        <v>316</v>
      </c>
      <c r="AA18" s="1174" t="s">
        <v>3256</v>
      </c>
      <c r="AB18" s="1172" t="s">
        <v>279</v>
      </c>
      <c r="AC18" s="261" t="s">
        <v>3255</v>
      </c>
      <c r="AD18" s="358" t="str">
        <f t="shared" si="21"/>
        <v>Tidak Wajib</v>
      </c>
      <c r="AE18" s="358"/>
      <c r="AF18" s="268">
        <v>1</v>
      </c>
      <c r="AG18" s="2061" t="str">
        <f>'Justifikasi Risk Assessment'!D171</f>
        <v>20%%</v>
      </c>
      <c r="AH18" s="268">
        <v>1</v>
      </c>
      <c r="AI18" s="265">
        <f t="shared" si="12"/>
        <v>6100000000</v>
      </c>
      <c r="AJ18" s="1070">
        <f>INDEX(Source!$E$33:$I$37,MATCH(AH18,Source!$D$33:$D$37,0),MATCH(AF18,Source!$E$38:$I$38,0))</f>
        <v>1</v>
      </c>
      <c r="AK18" s="1183" t="str">
        <f>LOOKUP(MATCH(AJ18,'Perhitungan Heatmap'!$D$9:$AB$9),'Perhitungan Heatmap'!$D$9:$AB$9,'Perhitungan Heatmap'!$D$10:$AB$10)</f>
        <v>Low</v>
      </c>
      <c r="AL18" s="268"/>
      <c r="AM18" s="268"/>
      <c r="AN18" s="268"/>
      <c r="AO18" s="1182"/>
      <c r="AP18" s="1182"/>
      <c r="AQ18" s="1182"/>
      <c r="AR18" s="1182"/>
      <c r="AS18" s="1102">
        <v>3</v>
      </c>
      <c r="AT18" s="1102">
        <v>3</v>
      </c>
      <c r="AU18" s="1102">
        <v>3</v>
      </c>
      <c r="AV18" s="1102">
        <v>3</v>
      </c>
      <c r="AW18" s="1180" t="str">
        <f>AG18</f>
        <v>20%%</v>
      </c>
      <c r="AX18" s="1180" t="str">
        <f>AW18</f>
        <v>20%%</v>
      </c>
      <c r="AY18" s="1180" t="str">
        <f>AX18</f>
        <v>20%%</v>
      </c>
      <c r="AZ18" s="1180" t="str">
        <f>AY18</f>
        <v>20%%</v>
      </c>
      <c r="BA18" s="1102">
        <v>1</v>
      </c>
      <c r="BB18" s="1102">
        <v>1</v>
      </c>
      <c r="BC18" s="1102">
        <v>1</v>
      </c>
      <c r="BD18" s="1102">
        <v>1</v>
      </c>
      <c r="BE18" s="1182">
        <f>AI18</f>
        <v>6100000000</v>
      </c>
      <c r="BF18" s="1182">
        <f t="shared" si="24"/>
        <v>6100000000</v>
      </c>
      <c r="BG18" s="1182">
        <f t="shared" si="24"/>
        <v>6100000000</v>
      </c>
      <c r="BH18" s="1182">
        <f t="shared" si="24"/>
        <v>6100000000</v>
      </c>
      <c r="BI18" s="1071">
        <f>INDEX(Source!$E$33:$I$37,MATCH(BA18,Source!$D$33:$D$37,0),MATCH(AS18,Source!$E$38:$I$38,0))</f>
        <v>10</v>
      </c>
      <c r="BJ18" s="1071">
        <f>INDEX(Source!$E$33:$I$37,MATCH(BB18,Source!$D$33:$D$37,0),MATCH(AT18,Source!$E$38:$I$38,0))</f>
        <v>10</v>
      </c>
      <c r="BK18" s="1071">
        <f>INDEX(Source!$E$33:$I$37,MATCH(BC18,Source!$D$33:$D$37,0),MATCH(AU18,Source!$E$38:$I$38,0))</f>
        <v>10</v>
      </c>
      <c r="BL18" s="1071">
        <f>INDEX(Source!$E$33:$I$37,MATCH(BD18,Source!$D$33:$D$37,0),MATCH(AV18,Source!$E$38:$I$38,0))</f>
        <v>10</v>
      </c>
      <c r="BM18" s="1181" t="str">
        <f>LOOKUP(MATCH(BI18,'Perhitungan Heatmap'!$D$9:$AB$9),'Perhitungan Heatmap'!$D$9:$AB$9,'Perhitungan Heatmap'!$D$10:$AB$10)</f>
        <v>Low To Moderate</v>
      </c>
      <c r="BN18" s="1181" t="str">
        <f>LOOKUP(MATCH(BJ18,'Perhitungan Heatmap'!$D$9:$AB$9),'Perhitungan Heatmap'!$D$9:$AB$9,'Perhitungan Heatmap'!$D$10:$AB$10)</f>
        <v>Low To Moderate</v>
      </c>
      <c r="BO18" s="1181" t="str">
        <f>LOOKUP(MATCH(BK18,'Perhitungan Heatmap'!$D$9:$AB$9),'Perhitungan Heatmap'!$D$9:$AB$9,'Perhitungan Heatmap'!$D$10:$AB$10)</f>
        <v>Low To Moderate</v>
      </c>
      <c r="BP18" s="1181" t="str">
        <f>LOOKUP(MATCH(BL18,'Perhitungan Heatmap'!$D$9:$AB$9),'Perhitungan Heatmap'!$D$9:$AB$9,'Perhitungan Heatmap'!$D$10:$AB$10)</f>
        <v>Low To Moderate</v>
      </c>
      <c r="BQ18" s="268"/>
      <c r="BR18" s="268"/>
      <c r="BS18" s="268"/>
      <c r="BT18" s="268"/>
      <c r="BU18" s="268"/>
      <c r="BV18" s="268"/>
      <c r="BW18" s="268"/>
      <c r="BX18" s="268"/>
      <c r="BY18" s="268"/>
      <c r="BZ18" s="268"/>
      <c r="CA18" s="268"/>
      <c r="CB18" s="1106" t="s">
        <v>259</v>
      </c>
      <c r="CC18" s="1103" t="s">
        <v>260</v>
      </c>
      <c r="CD18" s="261" t="s">
        <v>3259</v>
      </c>
      <c r="CE18" s="261" t="s">
        <v>359</v>
      </c>
      <c r="CF18" s="2074">
        <v>2500000000</v>
      </c>
      <c r="CG18" s="1104" t="s">
        <v>360</v>
      </c>
      <c r="CH18" s="268"/>
      <c r="CI18" s="1102" t="s">
        <v>264</v>
      </c>
      <c r="CJ18" s="268" t="s">
        <v>283</v>
      </c>
      <c r="CK18" s="1157">
        <v>1</v>
      </c>
      <c r="CL18" s="1157">
        <v>1</v>
      </c>
      <c r="CM18" s="1157">
        <v>1</v>
      </c>
      <c r="CN18" s="1157">
        <v>1</v>
      </c>
      <c r="CO18" s="1157">
        <v>1</v>
      </c>
      <c r="CP18" s="1157">
        <v>1</v>
      </c>
      <c r="CQ18" s="1157">
        <v>1</v>
      </c>
      <c r="CR18" s="1157">
        <v>1</v>
      </c>
      <c r="CS18" s="1157">
        <v>1</v>
      </c>
      <c r="CT18" s="1157">
        <v>1</v>
      </c>
      <c r="CU18" s="1157">
        <v>1</v>
      </c>
      <c r="CV18" s="1157">
        <v>1</v>
      </c>
    </row>
    <row r="19" spans="1:100" s="271" customFormat="1" ht="69.95" customHeight="1">
      <c r="A19" s="257"/>
      <c r="B19" s="1173">
        <v>9</v>
      </c>
      <c r="C19" s="1157" t="s">
        <v>75</v>
      </c>
      <c r="D19" s="1157" t="s">
        <v>238</v>
      </c>
      <c r="E19" s="1165" t="s">
        <v>267</v>
      </c>
      <c r="F19" s="1173"/>
      <c r="G19" s="1173"/>
      <c r="H19" s="1173" t="s">
        <v>361</v>
      </c>
      <c r="I19" s="1165" t="s">
        <v>362</v>
      </c>
      <c r="J19" s="1165" t="s">
        <v>269</v>
      </c>
      <c r="K19" s="1166" t="s">
        <v>77</v>
      </c>
      <c r="L19" s="1173">
        <v>9</v>
      </c>
      <c r="M19" s="1174" t="s">
        <v>363</v>
      </c>
      <c r="N19" s="1174" t="s">
        <v>3261</v>
      </c>
      <c r="O19" s="1157" t="s">
        <v>245</v>
      </c>
      <c r="P19" s="1160" t="str">
        <f t="shared" si="20"/>
        <v>BID AGA-9-a</v>
      </c>
      <c r="Q19" s="1174" t="s">
        <v>3262</v>
      </c>
      <c r="R19" s="1173" t="s">
        <v>364</v>
      </c>
      <c r="S19" s="1110" t="s">
        <v>3263</v>
      </c>
      <c r="T19" s="1110" t="s">
        <v>365</v>
      </c>
      <c r="U19" s="1110">
        <v>6</v>
      </c>
      <c r="V19" s="1110" t="s">
        <v>366</v>
      </c>
      <c r="W19" s="1170" t="s">
        <v>327</v>
      </c>
      <c r="X19" s="1175" t="s">
        <v>367</v>
      </c>
      <c r="Y19" s="1171" t="s">
        <v>307</v>
      </c>
      <c r="Z19" s="1165" t="s">
        <v>255</v>
      </c>
      <c r="AA19" s="1174" t="s">
        <v>368</v>
      </c>
      <c r="AB19" s="1172" t="s">
        <v>3267</v>
      </c>
      <c r="AC19" s="261" t="s">
        <v>369</v>
      </c>
      <c r="AD19" s="358" t="str">
        <f t="shared" si="21"/>
        <v>Wajib Isi</v>
      </c>
      <c r="AE19" s="1107">
        <f>'Justifikasi Risk Assessment'!D189</f>
        <v>101004041100.58066</v>
      </c>
      <c r="AF19" s="268">
        <v>1</v>
      </c>
      <c r="AG19" s="1108">
        <f>'Justifikasi Risk Assessment'!D191</f>
        <v>0</v>
      </c>
      <c r="AH19" s="268">
        <v>1</v>
      </c>
      <c r="AI19" s="265">
        <f t="shared" si="12"/>
        <v>0</v>
      </c>
      <c r="AJ19" s="1070">
        <f>INDEX(Source!$E$33:$I$37,MATCH(AH19,Source!$D$33:$D$37,0),MATCH(AF19,Source!$E$38:$I$38,0))</f>
        <v>1</v>
      </c>
      <c r="AK19" s="1183" t="str">
        <f>LOOKUP(MATCH(AJ19,'Perhitungan Heatmap'!$D$9:$AB$9),'Perhitungan Heatmap'!$D$9:$AB$9,'Perhitungan Heatmap'!$D$10:$AB$10)</f>
        <v>Low</v>
      </c>
      <c r="AL19" s="268"/>
      <c r="AM19" s="268"/>
      <c r="AN19" s="268"/>
      <c r="AO19" s="1182"/>
      <c r="AP19" s="1182"/>
      <c r="AQ19" s="1352"/>
      <c r="AR19" s="2063">
        <f>'Justifikasi Risk Assessment'!D189</f>
        <v>101004041100.58066</v>
      </c>
      <c r="AS19" s="1102">
        <v>1</v>
      </c>
      <c r="AT19" s="1102">
        <v>1</v>
      </c>
      <c r="AU19" s="1102">
        <v>1</v>
      </c>
      <c r="AV19" s="1102">
        <v>1</v>
      </c>
      <c r="AW19" s="1184">
        <f>AG19</f>
        <v>0</v>
      </c>
      <c r="AX19" s="1184">
        <f>AW19</f>
        <v>0</v>
      </c>
      <c r="AY19" s="1184">
        <f>AG19</f>
        <v>0</v>
      </c>
      <c r="AZ19" s="1184">
        <f>AY19</f>
        <v>0</v>
      </c>
      <c r="BA19" s="1102">
        <v>1</v>
      </c>
      <c r="BB19" s="1102">
        <v>1</v>
      </c>
      <c r="BC19" s="1102">
        <v>1</v>
      </c>
      <c r="BD19" s="1102">
        <v>1</v>
      </c>
      <c r="BE19" s="1182">
        <f>AO19*AW19</f>
        <v>0</v>
      </c>
      <c r="BF19" s="1182">
        <f t="shared" ref="BF19" si="29">AP19*AX19</f>
        <v>0</v>
      </c>
      <c r="BG19" s="1182">
        <f t="shared" ref="BG19" si="30">AQ19*AY19</f>
        <v>0</v>
      </c>
      <c r="BH19" s="1182">
        <f t="shared" ref="BH19" si="31">AR19*AZ19</f>
        <v>0</v>
      </c>
      <c r="BI19" s="1071">
        <f>INDEX(Source!$E$33:$I$37,MATCH(BA19,Source!$D$33:$D$37,0),MATCH(AS19,Source!$E$38:$I$38,0))</f>
        <v>1</v>
      </c>
      <c r="BJ19" s="1071">
        <f>INDEX(Source!$E$33:$I$37,MATCH(BB19,Source!$D$33:$D$37,0),MATCH(AT19,Source!$E$38:$I$38,0))</f>
        <v>1</v>
      </c>
      <c r="BK19" s="1071">
        <f>INDEX(Source!$E$33:$I$37,MATCH(BC19,Source!$D$33:$D$37,0),MATCH(AU19,Source!$E$38:$I$38,0))</f>
        <v>1</v>
      </c>
      <c r="BL19" s="1071">
        <f>INDEX(Source!$E$33:$I$37,MATCH(BD19,Source!$D$33:$D$37,0),MATCH(AV19,Source!$E$38:$I$38,0))</f>
        <v>1</v>
      </c>
      <c r="BM19" s="1181" t="str">
        <f>LOOKUP(MATCH(BI19,'Perhitungan Heatmap'!$D$9:$AB$9),'Perhitungan Heatmap'!$D$9:$AB$9,'Perhitungan Heatmap'!$D$10:$AB$10)</f>
        <v>Low</v>
      </c>
      <c r="BN19" s="1181" t="str">
        <f>LOOKUP(MATCH(BJ19,'Perhitungan Heatmap'!$D$9:$AB$9),'Perhitungan Heatmap'!$D$9:$AB$9,'Perhitungan Heatmap'!$D$10:$AB$10)</f>
        <v>Low</v>
      </c>
      <c r="BO19" s="1181" t="str">
        <f>LOOKUP(MATCH(BK19,'Perhitungan Heatmap'!$D$9:$AB$9),'Perhitungan Heatmap'!$D$9:$AB$9,'Perhitungan Heatmap'!$D$10:$AB$10)</f>
        <v>Low</v>
      </c>
      <c r="BP19" s="1181" t="str">
        <f>LOOKUP(MATCH(BL19,'Perhitungan Heatmap'!$D$9:$AB$9),'Perhitungan Heatmap'!$D$9:$AB$9,'Perhitungan Heatmap'!$D$10:$AB$10)</f>
        <v>Low</v>
      </c>
      <c r="BQ19" s="268"/>
      <c r="BR19" s="268"/>
      <c r="BS19" s="268"/>
      <c r="BT19" s="268"/>
      <c r="BU19" s="268"/>
      <c r="BV19" s="268"/>
      <c r="BW19" s="268"/>
      <c r="BX19" s="268"/>
      <c r="BY19" s="268"/>
      <c r="BZ19" s="267"/>
      <c r="CA19" s="268"/>
      <c r="CB19" s="1106" t="s">
        <v>295</v>
      </c>
      <c r="CC19" s="1103" t="s">
        <v>260</v>
      </c>
      <c r="CD19" s="261" t="s">
        <v>3275</v>
      </c>
      <c r="CE19" s="261" t="s">
        <v>3276</v>
      </c>
      <c r="CF19" s="2074">
        <v>5883771685</v>
      </c>
      <c r="CG19" s="1104"/>
      <c r="CH19" s="268"/>
      <c r="CI19" s="1102"/>
      <c r="CJ19" s="268" t="s">
        <v>283</v>
      </c>
      <c r="CK19" s="1157">
        <v>1</v>
      </c>
      <c r="CL19" s="1157">
        <v>1</v>
      </c>
      <c r="CM19" s="1157">
        <v>1</v>
      </c>
      <c r="CN19" s="1157">
        <v>1</v>
      </c>
      <c r="CO19" s="1157">
        <v>1</v>
      </c>
      <c r="CP19" s="1157">
        <v>1</v>
      </c>
      <c r="CQ19" s="1157">
        <v>1</v>
      </c>
      <c r="CR19" s="1157">
        <v>1</v>
      </c>
      <c r="CS19" s="1157">
        <v>1</v>
      </c>
      <c r="CT19" s="1157">
        <v>1</v>
      </c>
      <c r="CU19" s="1157">
        <v>1</v>
      </c>
      <c r="CV19" s="1157">
        <v>1</v>
      </c>
    </row>
    <row r="20" spans="1:100" s="271" customFormat="1" ht="69.95" customHeight="1">
      <c r="A20" s="257"/>
      <c r="B20" s="1173">
        <v>10</v>
      </c>
      <c r="C20" s="1157" t="s">
        <v>75</v>
      </c>
      <c r="D20" s="1157" t="s">
        <v>238</v>
      </c>
      <c r="E20" s="1165" t="s">
        <v>267</v>
      </c>
      <c r="F20" s="1173"/>
      <c r="G20" s="1173"/>
      <c r="H20" s="1173" t="s">
        <v>370</v>
      </c>
      <c r="I20" s="1165" t="s">
        <v>371</v>
      </c>
      <c r="J20" s="1165" t="s">
        <v>269</v>
      </c>
      <c r="K20" s="1166" t="s">
        <v>77</v>
      </c>
      <c r="L20" s="1173">
        <v>10</v>
      </c>
      <c r="M20" s="1174" t="s">
        <v>372</v>
      </c>
      <c r="N20" s="1174" t="s">
        <v>373</v>
      </c>
      <c r="O20" s="1157" t="s">
        <v>245</v>
      </c>
      <c r="P20" s="1160" t="str">
        <f t="shared" si="20"/>
        <v>BID AGA-10-a</v>
      </c>
      <c r="Q20" s="1174" t="s">
        <v>374</v>
      </c>
      <c r="R20" s="1173" t="s">
        <v>375</v>
      </c>
      <c r="S20" s="1110" t="s">
        <v>323</v>
      </c>
      <c r="T20" s="1110" t="s">
        <v>376</v>
      </c>
      <c r="U20" s="1178" t="s">
        <v>326</v>
      </c>
      <c r="V20" s="1110" t="s">
        <v>377</v>
      </c>
      <c r="W20" s="1170" t="s">
        <v>327</v>
      </c>
      <c r="X20" s="1175" t="s">
        <v>378</v>
      </c>
      <c r="Y20" s="1171" t="s">
        <v>307</v>
      </c>
      <c r="Z20" s="1165" t="s">
        <v>255</v>
      </c>
      <c r="AA20" s="1174" t="s">
        <v>368</v>
      </c>
      <c r="AB20" s="1172" t="s">
        <v>293</v>
      </c>
      <c r="AC20" s="261" t="s">
        <v>379</v>
      </c>
      <c r="AD20" s="358" t="str">
        <f t="shared" si="21"/>
        <v>Wajib Isi</v>
      </c>
      <c r="AE20" s="1107">
        <f>'Justifikasi Risk Assessment'!P201</f>
        <v>292739710352.09937</v>
      </c>
      <c r="AF20" s="268">
        <v>3</v>
      </c>
      <c r="AG20" s="1108">
        <f>'Justifikasi Risk Assessment'!D203</f>
        <v>0.9</v>
      </c>
      <c r="AH20" s="268">
        <v>5</v>
      </c>
      <c r="AI20" s="265">
        <f t="shared" si="12"/>
        <v>263465739316.88943</v>
      </c>
      <c r="AJ20" s="1070">
        <f>INDEX(Source!$E$33:$I$37,MATCH(AH20,Source!$D$33:$D$37,0),MATCH(AF20,Source!$E$38:$I$38,0))</f>
        <v>17</v>
      </c>
      <c r="AK20" s="1183" t="str">
        <f>LOOKUP(MATCH(AJ20,'Perhitungan Heatmap'!$D$9:$AB$9),'Perhitungan Heatmap'!$D$9:$AB$9,'Perhitungan Heatmap'!$D$10:$AB$10)</f>
        <v>Moderate To High</v>
      </c>
      <c r="AL20" s="268"/>
      <c r="AM20" s="268"/>
      <c r="AN20" s="268"/>
      <c r="AO20" s="1182">
        <f>'Justifikasi Risk Assessment'!Q203</f>
        <v>0</v>
      </c>
      <c r="AP20" s="1182">
        <f>'Justifikasi Risk Assessment'!R203</f>
        <v>0</v>
      </c>
      <c r="AQ20" s="1353">
        <f>'Justifikasi Risk Assessment'!S202</f>
        <v>292739710352.09937</v>
      </c>
      <c r="AR20" s="1353">
        <f>'Justifikasi Risk Assessment'!T202</f>
        <v>244028317091.24741</v>
      </c>
      <c r="AS20" s="1102"/>
      <c r="AT20" s="1102"/>
      <c r="AU20" s="1102">
        <v>3</v>
      </c>
      <c r="AV20" s="1102">
        <v>3</v>
      </c>
      <c r="AW20" s="1182"/>
      <c r="AX20" s="1182"/>
      <c r="AY20" s="1184">
        <f>AG20</f>
        <v>0.9</v>
      </c>
      <c r="AZ20" s="1184">
        <f>AY20</f>
        <v>0.9</v>
      </c>
      <c r="BA20" s="1102"/>
      <c r="BB20" s="1102"/>
      <c r="BC20" s="1102">
        <v>5</v>
      </c>
      <c r="BD20" s="1102">
        <v>5</v>
      </c>
      <c r="BE20" s="1182">
        <f>AO20*AW20</f>
        <v>0</v>
      </c>
      <c r="BF20" s="1182">
        <f t="shared" ref="BF20" si="32">AP20*AX20</f>
        <v>0</v>
      </c>
      <c r="BG20" s="1182">
        <f t="shared" ref="BG20" si="33">AQ20*AY20</f>
        <v>263465739316.88943</v>
      </c>
      <c r="BH20" s="1182">
        <f t="shared" ref="BH20" si="34">AR20*AZ20</f>
        <v>219625485382.12268</v>
      </c>
      <c r="BI20" s="1071" t="e">
        <f>INDEX(Source!$E$33:$I$37,MATCH(BA20,Source!$D$33:$D$37,0),MATCH(AS20,Source!$E$38:$I$38,0))</f>
        <v>#N/A</v>
      </c>
      <c r="BJ20" s="1071" t="e">
        <f>INDEX(Source!$E$33:$I$37,MATCH(BB20,Source!$D$33:$D$37,0),MATCH(AT20,Source!$E$38:$I$38,0))</f>
        <v>#N/A</v>
      </c>
      <c r="BK20" s="1071">
        <f>INDEX(Source!$E$33:$I$37,MATCH(BC20,Source!$D$33:$D$37,0),MATCH(AU20,Source!$E$38:$I$38,0))</f>
        <v>17</v>
      </c>
      <c r="BL20" s="1071">
        <f>INDEX(Source!$E$33:$I$37,MATCH(BD20,Source!$D$33:$D$37,0),MATCH(AV20,Source!$E$38:$I$38,0))</f>
        <v>17</v>
      </c>
      <c r="BM20" s="1181" t="e">
        <f>LOOKUP(MATCH(BI20,'Perhitungan Heatmap'!$D$9:$AB$9),'Perhitungan Heatmap'!$D$9:$AB$9,'Perhitungan Heatmap'!$D$10:$AB$10)</f>
        <v>#N/A</v>
      </c>
      <c r="BN20" s="1181" t="e">
        <f>LOOKUP(MATCH(BJ20,'Perhitungan Heatmap'!$D$9:$AB$9),'Perhitungan Heatmap'!$D$9:$AB$9,'Perhitungan Heatmap'!$D$10:$AB$10)</f>
        <v>#N/A</v>
      </c>
      <c r="BO20" s="1181" t="str">
        <f>LOOKUP(MATCH(BK20,'Perhitungan Heatmap'!$D$9:$AB$9),'Perhitungan Heatmap'!$D$9:$AB$9,'Perhitungan Heatmap'!$D$10:$AB$10)</f>
        <v>Moderate To High</v>
      </c>
      <c r="BP20" s="1181" t="str">
        <f>LOOKUP(MATCH(BL20,'Perhitungan Heatmap'!$D$9:$AB$9),'Perhitungan Heatmap'!$D$9:$AB$9,'Perhitungan Heatmap'!$D$10:$AB$10)</f>
        <v>Moderate To High</v>
      </c>
      <c r="BQ20" s="268"/>
      <c r="BR20" s="268"/>
      <c r="BS20" s="268"/>
      <c r="BT20" s="268"/>
      <c r="BU20" s="268"/>
      <c r="BV20" s="268"/>
      <c r="BW20" s="268"/>
      <c r="BX20" s="268"/>
      <c r="BY20" s="268"/>
      <c r="BZ20" s="267"/>
      <c r="CA20" s="268"/>
      <c r="CB20" s="1106" t="s">
        <v>259</v>
      </c>
      <c r="CC20" s="1103" t="s">
        <v>260</v>
      </c>
      <c r="CD20" s="261" t="s">
        <v>3268</v>
      </c>
      <c r="CE20" s="261" t="s">
        <v>380</v>
      </c>
      <c r="CF20" s="2074">
        <v>1716000000</v>
      </c>
      <c r="CG20" s="1104"/>
      <c r="CH20" s="268"/>
      <c r="CI20" s="1102"/>
      <c r="CJ20" s="1196" t="s">
        <v>283</v>
      </c>
      <c r="CK20" s="1195"/>
      <c r="CL20" s="1195"/>
      <c r="CM20" s="1195"/>
      <c r="CN20" s="1195"/>
      <c r="CO20" s="1195"/>
      <c r="CP20" s="1195"/>
      <c r="CQ20" s="1195">
        <v>1</v>
      </c>
      <c r="CR20" s="1195">
        <v>1</v>
      </c>
      <c r="CS20" s="1195">
        <v>1</v>
      </c>
      <c r="CT20" s="1195">
        <v>1</v>
      </c>
      <c r="CU20" s="1195">
        <v>1</v>
      </c>
      <c r="CV20" s="1195">
        <v>1</v>
      </c>
    </row>
    <row r="21" spans="1:100" s="271" customFormat="1" ht="69.95" customHeight="1">
      <c r="A21" s="257"/>
      <c r="B21" s="1173">
        <v>11</v>
      </c>
      <c r="C21" s="1157" t="s">
        <v>75</v>
      </c>
      <c r="D21" s="1157" t="s">
        <v>238</v>
      </c>
      <c r="E21" s="1165" t="s">
        <v>267</v>
      </c>
      <c r="F21" s="1173"/>
      <c r="G21" s="1173"/>
      <c r="H21" s="1173" t="s">
        <v>381</v>
      </c>
      <c r="I21" s="1165" t="s">
        <v>371</v>
      </c>
      <c r="J21" s="1165" t="s">
        <v>269</v>
      </c>
      <c r="K21" s="1166" t="s">
        <v>77</v>
      </c>
      <c r="L21" s="1173">
        <v>11</v>
      </c>
      <c r="M21" s="1174" t="s">
        <v>382</v>
      </c>
      <c r="N21" s="1174" t="s">
        <v>3269</v>
      </c>
      <c r="O21" s="1157" t="s">
        <v>245</v>
      </c>
      <c r="P21" s="1160" t="str">
        <f t="shared" si="20"/>
        <v>BID AGA-11-a</v>
      </c>
      <c r="Q21" s="1174" t="s">
        <v>3270</v>
      </c>
      <c r="R21" s="1173" t="s">
        <v>3271</v>
      </c>
      <c r="S21" s="1110" t="s">
        <v>202</v>
      </c>
      <c r="T21" s="1169" t="s">
        <v>289</v>
      </c>
      <c r="U21" s="1169">
        <v>1</v>
      </c>
      <c r="V21" s="1169" t="s">
        <v>290</v>
      </c>
      <c r="W21" s="1170" t="s">
        <v>252</v>
      </c>
      <c r="X21" s="1167" t="s">
        <v>291</v>
      </c>
      <c r="Y21" s="1171" t="s">
        <v>254</v>
      </c>
      <c r="Z21" s="1165" t="s">
        <v>255</v>
      </c>
      <c r="AA21" s="1167" t="s">
        <v>383</v>
      </c>
      <c r="AB21" s="1172" t="s">
        <v>279</v>
      </c>
      <c r="AC21" s="261" t="s">
        <v>384</v>
      </c>
      <c r="AD21" s="358" t="str">
        <f t="shared" ref="AD21" si="35">IF(Z21="KUANTITATIF","Wajib Isi","Tidak Wajib")</f>
        <v>Wajib Isi</v>
      </c>
      <c r="AE21" s="1107">
        <f>'Justifikasi Risk Assessment'!F214</f>
        <v>0</v>
      </c>
      <c r="AF21" s="268">
        <v>1</v>
      </c>
      <c r="AG21" s="1108">
        <f>'Justifikasi Risk Assessment'!G214</f>
        <v>0</v>
      </c>
      <c r="AH21" s="268">
        <v>1</v>
      </c>
      <c r="AI21" s="265">
        <f t="shared" ref="AI21" si="36">IF(Z21="kuantitatif",(AE21*AG21),(AF21*AH21*1%*$AI$3))</f>
        <v>0</v>
      </c>
      <c r="AJ21" s="1070">
        <f>INDEX(Source!$E$33:$I$37,MATCH(AH21,Source!$D$33:$D$37,0),MATCH(AF21,Source!$E$38:$I$38,0))</f>
        <v>1</v>
      </c>
      <c r="AK21" s="1183" t="str">
        <f>LOOKUP(MATCH(AJ21,'Perhitungan Heatmap'!$D$9:$AB$9),'Perhitungan Heatmap'!$D$9:$AB$9,'Perhitungan Heatmap'!$D$10:$AB$10)</f>
        <v>Low</v>
      </c>
      <c r="AL21" s="268"/>
      <c r="AM21" s="268"/>
      <c r="AN21" s="268"/>
      <c r="AO21" s="1187">
        <f>AE21</f>
        <v>0</v>
      </c>
      <c r="AP21" s="1187">
        <f>AO21*75%</f>
        <v>0</v>
      </c>
      <c r="AQ21" s="1187">
        <f>AO21*50%</f>
        <v>0</v>
      </c>
      <c r="AR21" s="1187">
        <f>AO21*25%</f>
        <v>0</v>
      </c>
      <c r="AS21" s="1102">
        <v>1</v>
      </c>
      <c r="AT21" s="1102">
        <v>1</v>
      </c>
      <c r="AU21" s="1102">
        <v>1</v>
      </c>
      <c r="AV21" s="1102">
        <v>1</v>
      </c>
      <c r="AW21" s="1184">
        <f>AG21</f>
        <v>0</v>
      </c>
      <c r="AX21" s="1184">
        <f t="shared" ref="AX21:AZ21" si="37">AW21*75%</f>
        <v>0</v>
      </c>
      <c r="AY21" s="1184">
        <f t="shared" si="37"/>
        <v>0</v>
      </c>
      <c r="AZ21" s="1184">
        <f t="shared" si="37"/>
        <v>0</v>
      </c>
      <c r="BA21" s="1102">
        <v>2</v>
      </c>
      <c r="BB21" s="1102">
        <v>2</v>
      </c>
      <c r="BC21" s="1102">
        <v>2</v>
      </c>
      <c r="BD21" s="1102">
        <v>1</v>
      </c>
      <c r="BE21" s="1182">
        <f>AO21*AW21</f>
        <v>0</v>
      </c>
      <c r="BF21" s="1182">
        <f t="shared" ref="BF21" si="38">AP21*AX21</f>
        <v>0</v>
      </c>
      <c r="BG21" s="1182">
        <f t="shared" ref="BG21" si="39">AQ21*AY21</f>
        <v>0</v>
      </c>
      <c r="BH21" s="1182">
        <f t="shared" ref="BH21" si="40">AR21*AZ21</f>
        <v>0</v>
      </c>
      <c r="BI21" s="1071">
        <v>1</v>
      </c>
      <c r="BJ21" s="1071">
        <v>1</v>
      </c>
      <c r="BK21" s="1071">
        <v>1</v>
      </c>
      <c r="BL21" s="1071">
        <f>INDEX(Source!$E$33:$I$37,MATCH(BD21,Source!$D$33:$D$37,0),MATCH(AV21,Source!$E$38:$I$38,0))</f>
        <v>1</v>
      </c>
      <c r="BM21" s="1181" t="str">
        <f>LOOKUP(MATCH(BI21,'Perhitungan Heatmap'!$D$9:$AB$9),'Perhitungan Heatmap'!$D$9:$AB$9,'Perhitungan Heatmap'!$D$10:$AB$10)</f>
        <v>Low</v>
      </c>
      <c r="BN21" s="1181" t="str">
        <f>LOOKUP(MATCH(BJ21,'Perhitungan Heatmap'!$D$9:$AB$9),'Perhitungan Heatmap'!$D$9:$AB$9,'Perhitungan Heatmap'!$D$10:$AB$10)</f>
        <v>Low</v>
      </c>
      <c r="BO21" s="1181" t="str">
        <f>LOOKUP(MATCH(BK21,'Perhitungan Heatmap'!$D$9:$AB$9),'Perhitungan Heatmap'!$D$9:$AB$9,'Perhitungan Heatmap'!$D$10:$AB$10)</f>
        <v>Low</v>
      </c>
      <c r="BP21" s="1181" t="str">
        <f>LOOKUP(MATCH(BL21,'Perhitungan Heatmap'!$D$9:$AB$9),'Perhitungan Heatmap'!$D$9:$AB$9,'Perhitungan Heatmap'!$D$10:$AB$10)</f>
        <v>Low</v>
      </c>
      <c r="BQ21" s="268"/>
      <c r="BR21" s="268"/>
      <c r="BS21" s="268"/>
      <c r="BT21" s="268"/>
      <c r="BU21" s="268"/>
      <c r="BV21" s="268"/>
      <c r="BW21" s="268"/>
      <c r="BX21" s="268"/>
      <c r="BY21" s="268"/>
      <c r="BZ21" s="267"/>
      <c r="CA21" s="268"/>
      <c r="CB21" s="1106" t="s">
        <v>295</v>
      </c>
      <c r="CC21" s="1103" t="s">
        <v>260</v>
      </c>
      <c r="CD21" s="261" t="s">
        <v>385</v>
      </c>
      <c r="CE21" s="261" t="s">
        <v>297</v>
      </c>
      <c r="CF21" s="2073"/>
      <c r="CG21" s="1102"/>
      <c r="CH21" s="268"/>
      <c r="CI21" s="1102"/>
      <c r="CJ21" s="268" t="s">
        <v>283</v>
      </c>
      <c r="CK21" s="1157">
        <v>1</v>
      </c>
      <c r="CL21" s="1157">
        <v>1</v>
      </c>
      <c r="CM21" s="1157">
        <v>1</v>
      </c>
      <c r="CN21" s="1157">
        <v>1</v>
      </c>
      <c r="CO21" s="1157">
        <v>1</v>
      </c>
      <c r="CP21" s="1157">
        <v>1</v>
      </c>
      <c r="CQ21" s="1157">
        <v>1</v>
      </c>
      <c r="CR21" s="1157">
        <v>1</v>
      </c>
      <c r="CS21" s="1157">
        <v>1</v>
      </c>
      <c r="CT21" s="1157">
        <v>1</v>
      </c>
      <c r="CU21" s="1157">
        <v>1</v>
      </c>
      <c r="CV21" s="1157">
        <v>1</v>
      </c>
    </row>
    <row r="22" spans="1:100" s="271" customFormat="1" ht="69.95" customHeight="1">
      <c r="A22" s="257"/>
      <c r="B22" s="1173">
        <v>12</v>
      </c>
      <c r="C22" s="1157" t="s">
        <v>75</v>
      </c>
      <c r="D22" s="1157" t="s">
        <v>238</v>
      </c>
      <c r="E22" s="1165" t="s">
        <v>267</v>
      </c>
      <c r="F22" s="1173"/>
      <c r="G22" s="1173"/>
      <c r="H22" s="1173" t="s">
        <v>386</v>
      </c>
      <c r="I22" s="1400" t="s">
        <v>387</v>
      </c>
      <c r="J22" s="1400" t="s">
        <v>331</v>
      </c>
      <c r="K22" s="1401" t="s">
        <v>77</v>
      </c>
      <c r="L22" s="1402">
        <v>12</v>
      </c>
      <c r="M22" s="1371" t="s">
        <v>388</v>
      </c>
      <c r="N22" s="1174" t="s">
        <v>389</v>
      </c>
      <c r="O22" s="1157" t="s">
        <v>245</v>
      </c>
      <c r="P22" s="1160" t="str">
        <f t="shared" ref="P22" si="41">CONCATENATE(E22,"-",L22,"-",O22)</f>
        <v>BID AGA-12-a</v>
      </c>
      <c r="Q22" s="1174" t="s">
        <v>390</v>
      </c>
      <c r="R22" s="1173" t="s">
        <v>391</v>
      </c>
      <c r="S22" s="1110" t="s">
        <v>202</v>
      </c>
      <c r="T22" s="1169">
        <v>1</v>
      </c>
      <c r="U22" s="1169">
        <v>0.99</v>
      </c>
      <c r="V22" s="1169" t="s">
        <v>345</v>
      </c>
      <c r="W22" s="1170" t="s">
        <v>392</v>
      </c>
      <c r="X22" s="1167" t="s">
        <v>393</v>
      </c>
      <c r="Y22" s="1171" t="s">
        <v>254</v>
      </c>
      <c r="Z22" s="1165" t="s">
        <v>316</v>
      </c>
      <c r="AA22" s="1167" t="s">
        <v>394</v>
      </c>
      <c r="AB22" s="1172" t="s">
        <v>395</v>
      </c>
      <c r="AC22" s="261" t="s">
        <v>396</v>
      </c>
      <c r="AD22" s="358" t="str">
        <f t="shared" ref="AD22" si="42">IF(Z22="KUANTITATIF","Wajib Isi","Tidak Wajib")</f>
        <v>Tidak Wajib</v>
      </c>
      <c r="AE22" s="1107">
        <f>'Justifikasi Risk Assessment'!F215</f>
        <v>0</v>
      </c>
      <c r="AF22" s="268">
        <v>1</v>
      </c>
      <c r="AG22" s="1108">
        <f>'Justifikasi Risk Assessment'!D233</f>
        <v>0</v>
      </c>
      <c r="AH22" s="268">
        <v>1</v>
      </c>
      <c r="AI22" s="265">
        <f t="shared" ref="AI22" si="43">IF(Z22="kuantitatif",(AE22*AG22),(AF22*AH22*1%*$AI$3))</f>
        <v>6100000000</v>
      </c>
      <c r="AJ22" s="1070">
        <f>INDEX(Source!$E$33:$I$37,MATCH(AH22,Source!$D$33:$D$37,0),MATCH(AF22,Source!$E$38:$I$38,0))</f>
        <v>1</v>
      </c>
      <c r="AK22" s="1183" t="str">
        <f>LOOKUP(MATCH(AJ22,'Perhitungan Heatmap'!$D$9:$AB$9),'Perhitungan Heatmap'!$D$9:$AB$9,'Perhitungan Heatmap'!$D$10:$AB$10)</f>
        <v>Low</v>
      </c>
      <c r="AL22" s="268"/>
      <c r="AM22" s="268"/>
      <c r="AN22" s="268"/>
      <c r="AO22" s="1187">
        <f>AE22</f>
        <v>0</v>
      </c>
      <c r="AP22" s="1187">
        <f>AO22*75%</f>
        <v>0</v>
      </c>
      <c r="AQ22" s="1187">
        <f>AO22*50%</f>
        <v>0</v>
      </c>
      <c r="AR22" s="1187">
        <f>AO22*25%</f>
        <v>0</v>
      </c>
      <c r="AS22" s="1102">
        <v>1</v>
      </c>
      <c r="AT22" s="1102">
        <v>1</v>
      </c>
      <c r="AU22" s="1102">
        <v>1</v>
      </c>
      <c r="AV22" s="1102">
        <v>1</v>
      </c>
      <c r="AW22" s="1184">
        <f>AG22</f>
        <v>0</v>
      </c>
      <c r="AX22" s="1184">
        <f t="shared" ref="AX22" si="44">AW22*75%</f>
        <v>0</v>
      </c>
      <c r="AY22" s="1184">
        <f t="shared" ref="AY22" si="45">AX22*75%</f>
        <v>0</v>
      </c>
      <c r="AZ22" s="1184">
        <f t="shared" ref="AZ22" si="46">AY22*75%</f>
        <v>0</v>
      </c>
      <c r="BA22" s="1102">
        <v>2</v>
      </c>
      <c r="BB22" s="1102">
        <v>2</v>
      </c>
      <c r="BC22" s="1102">
        <v>2</v>
      </c>
      <c r="BD22" s="1102">
        <v>1</v>
      </c>
      <c r="BE22" s="1182">
        <f>AO22*AW22</f>
        <v>0</v>
      </c>
      <c r="BF22" s="1182">
        <f t="shared" ref="BF22" si="47">AP22*AX22</f>
        <v>0</v>
      </c>
      <c r="BG22" s="1182">
        <f t="shared" ref="BG22" si="48">AQ22*AY22</f>
        <v>0</v>
      </c>
      <c r="BH22" s="1182">
        <f t="shared" ref="BH22" si="49">AR22*AZ22</f>
        <v>0</v>
      </c>
      <c r="BI22" s="1071">
        <v>1</v>
      </c>
      <c r="BJ22" s="1071">
        <v>1</v>
      </c>
      <c r="BK22" s="1071">
        <v>1</v>
      </c>
      <c r="BL22" s="1071">
        <f>INDEX(Source!$E$33:$I$37,MATCH(BD22,Source!$D$33:$D$37,0),MATCH(AV22,Source!$E$38:$I$38,0))</f>
        <v>1</v>
      </c>
      <c r="BM22" s="1181" t="str">
        <f>LOOKUP(MATCH(BI22,'Perhitungan Heatmap'!$D$9:$AB$9),'Perhitungan Heatmap'!$D$9:$AB$9,'Perhitungan Heatmap'!$D$10:$AB$10)</f>
        <v>Low</v>
      </c>
      <c r="BN22" s="1181" t="str">
        <f>LOOKUP(MATCH(BJ22,'Perhitungan Heatmap'!$D$9:$AB$9),'Perhitungan Heatmap'!$D$9:$AB$9,'Perhitungan Heatmap'!$D$10:$AB$10)</f>
        <v>Low</v>
      </c>
      <c r="BO22" s="1181" t="str">
        <f>LOOKUP(MATCH(BK22,'Perhitungan Heatmap'!$D$9:$AB$9),'Perhitungan Heatmap'!$D$9:$AB$9,'Perhitungan Heatmap'!$D$10:$AB$10)</f>
        <v>Low</v>
      </c>
      <c r="BP22" s="1181" t="str">
        <f>LOOKUP(MATCH(BL22,'Perhitungan Heatmap'!$D$9:$AB$9),'Perhitungan Heatmap'!$D$9:$AB$9,'Perhitungan Heatmap'!$D$10:$AB$10)</f>
        <v>Low</v>
      </c>
      <c r="BQ22" s="268"/>
      <c r="BR22" s="268"/>
      <c r="BS22" s="268"/>
      <c r="BT22" s="268"/>
      <c r="BU22" s="268"/>
      <c r="BV22" s="268"/>
      <c r="BW22" s="268"/>
      <c r="BX22" s="268"/>
      <c r="BY22" s="268"/>
      <c r="BZ22" s="267"/>
      <c r="CA22" s="268"/>
      <c r="CB22" s="1106" t="s">
        <v>295</v>
      </c>
      <c r="CC22" s="1103" t="s">
        <v>260</v>
      </c>
      <c r="CD22" s="261" t="s">
        <v>397</v>
      </c>
      <c r="CE22" s="261" t="s">
        <v>398</v>
      </c>
      <c r="CF22" s="2073"/>
      <c r="CG22" s="1102"/>
      <c r="CH22" s="268"/>
      <c r="CI22" s="1102"/>
      <c r="CJ22" s="268" t="s">
        <v>283</v>
      </c>
      <c r="CK22" s="1157">
        <v>1</v>
      </c>
      <c r="CL22" s="1157">
        <v>1</v>
      </c>
      <c r="CM22" s="1157">
        <v>1</v>
      </c>
      <c r="CN22" s="1157">
        <v>1</v>
      </c>
      <c r="CO22" s="1157">
        <v>1</v>
      </c>
      <c r="CP22" s="1157">
        <v>1</v>
      </c>
      <c r="CQ22" s="1157">
        <v>1</v>
      </c>
      <c r="CR22" s="1157">
        <v>1</v>
      </c>
      <c r="CS22" s="1157">
        <v>1</v>
      </c>
      <c r="CT22" s="1157">
        <v>1</v>
      </c>
      <c r="CU22" s="1157">
        <v>1</v>
      </c>
      <c r="CV22" s="1157">
        <v>1</v>
      </c>
    </row>
    <row r="23" spans="1:100" s="271" customFormat="1" ht="69.95" customHeight="1">
      <c r="A23" s="257"/>
      <c r="B23" s="1173">
        <v>13</v>
      </c>
      <c r="C23" s="1157" t="s">
        <v>75</v>
      </c>
      <c r="D23" s="1157" t="s">
        <v>238</v>
      </c>
      <c r="E23" s="1165" t="s">
        <v>267</v>
      </c>
      <c r="F23" s="1173"/>
      <c r="G23" s="1173"/>
      <c r="H23" s="1173" t="s">
        <v>399</v>
      </c>
      <c r="I23" s="1400" t="s">
        <v>400</v>
      </c>
      <c r="J23" s="1400" t="s">
        <v>331</v>
      </c>
      <c r="K23" s="1401" t="s">
        <v>401</v>
      </c>
      <c r="L23" s="1402">
        <v>13</v>
      </c>
      <c r="M23" s="1371" t="s">
        <v>402</v>
      </c>
      <c r="N23" s="1174" t="s">
        <v>403</v>
      </c>
      <c r="O23" s="1157" t="s">
        <v>245</v>
      </c>
      <c r="P23" s="1160" t="str">
        <f t="shared" ref="P23" si="50">CONCATENATE(E23,"-",L23,"-",O23)</f>
        <v>BID AGA-13-a</v>
      </c>
      <c r="Q23" s="1174" t="s">
        <v>404</v>
      </c>
      <c r="R23" s="1173" t="s">
        <v>405</v>
      </c>
      <c r="S23" s="1110" t="s">
        <v>202</v>
      </c>
      <c r="T23" s="1169">
        <v>1</v>
      </c>
      <c r="U23" s="1169">
        <v>0.99</v>
      </c>
      <c r="V23" s="1169" t="s">
        <v>345</v>
      </c>
      <c r="W23" s="1170" t="s">
        <v>346</v>
      </c>
      <c r="X23" s="1167" t="s">
        <v>406</v>
      </c>
      <c r="Y23" s="1171" t="s">
        <v>254</v>
      </c>
      <c r="Z23" s="1165" t="s">
        <v>316</v>
      </c>
      <c r="AA23" s="1167" t="s">
        <v>407</v>
      </c>
      <c r="AB23" s="1172" t="s">
        <v>279</v>
      </c>
      <c r="AC23" s="261" t="s">
        <v>408</v>
      </c>
      <c r="AD23" s="358" t="str">
        <f t="shared" ref="AD23" si="51">IF(Z23="KUANTITATIF","Wajib Isi","Tidak Wajib")</f>
        <v>Tidak Wajib</v>
      </c>
      <c r="AE23" s="1107">
        <f>'Justifikasi Risk Assessment'!F216</f>
        <v>0</v>
      </c>
      <c r="AF23" s="268">
        <v>1</v>
      </c>
      <c r="AG23" s="1108">
        <f>'Justifikasi Risk Assessment'!D246</f>
        <v>0</v>
      </c>
      <c r="AH23" s="268">
        <v>1</v>
      </c>
      <c r="AI23" s="265">
        <f t="shared" ref="AI23" si="52">IF(Z23="kuantitatif",(AE23*AG23),(AF23*AH23*1%*$AI$3))</f>
        <v>6100000000</v>
      </c>
      <c r="AJ23" s="1070">
        <f>INDEX(Source!$E$33:$I$37,MATCH(AH23,Source!$D$33:$D$37,0),MATCH(AF23,Source!$E$38:$I$38,0))</f>
        <v>1</v>
      </c>
      <c r="AK23" s="1183" t="str">
        <f>LOOKUP(MATCH(AJ23,'Perhitungan Heatmap'!$D$9:$AB$9),'Perhitungan Heatmap'!$D$9:$AB$9,'Perhitungan Heatmap'!$D$10:$AB$10)</f>
        <v>Low</v>
      </c>
      <c r="AL23" s="268"/>
      <c r="AM23" s="268"/>
      <c r="AN23" s="268"/>
      <c r="AO23" s="1187">
        <f>AE23</f>
        <v>0</v>
      </c>
      <c r="AP23" s="1187">
        <f>AO23*75%</f>
        <v>0</v>
      </c>
      <c r="AQ23" s="1187">
        <f>AO23*50%</f>
        <v>0</v>
      </c>
      <c r="AR23" s="1187">
        <f>AO23*25%</f>
        <v>0</v>
      </c>
      <c r="AS23" s="1102">
        <v>1</v>
      </c>
      <c r="AT23" s="1102">
        <v>1</v>
      </c>
      <c r="AU23" s="1102">
        <v>1</v>
      </c>
      <c r="AV23" s="1102">
        <v>1</v>
      </c>
      <c r="AW23" s="1184">
        <f>AG23</f>
        <v>0</v>
      </c>
      <c r="AX23" s="1184">
        <f t="shared" ref="AX23" si="53">AW23*75%</f>
        <v>0</v>
      </c>
      <c r="AY23" s="1184">
        <f t="shared" ref="AY23" si="54">AX23*75%</f>
        <v>0</v>
      </c>
      <c r="AZ23" s="1184">
        <f t="shared" ref="AZ23" si="55">AY23*75%</f>
        <v>0</v>
      </c>
      <c r="BA23" s="1102">
        <v>2</v>
      </c>
      <c r="BB23" s="1102">
        <v>2</v>
      </c>
      <c r="BC23" s="1102">
        <v>2</v>
      </c>
      <c r="BD23" s="1102">
        <v>1</v>
      </c>
      <c r="BE23" s="1182">
        <f>AO23*AW23</f>
        <v>0</v>
      </c>
      <c r="BF23" s="1182">
        <f t="shared" ref="BF23" si="56">AP23*AX23</f>
        <v>0</v>
      </c>
      <c r="BG23" s="1182">
        <f t="shared" ref="BG23" si="57">AQ23*AY23</f>
        <v>0</v>
      </c>
      <c r="BH23" s="1182">
        <f t="shared" ref="BH23" si="58">AR23*AZ23</f>
        <v>0</v>
      </c>
      <c r="BI23" s="1071">
        <v>1</v>
      </c>
      <c r="BJ23" s="1071">
        <v>1</v>
      </c>
      <c r="BK23" s="1071">
        <v>1</v>
      </c>
      <c r="BL23" s="1071">
        <f>INDEX(Source!$E$33:$I$37,MATCH(BD23,Source!$D$33:$D$37,0),MATCH(AV23,Source!$E$38:$I$38,0))</f>
        <v>1</v>
      </c>
      <c r="BM23" s="1181" t="str">
        <f>LOOKUP(MATCH(BI23,'Perhitungan Heatmap'!$D$9:$AB$9),'Perhitungan Heatmap'!$D$9:$AB$9,'Perhitungan Heatmap'!$D$10:$AB$10)</f>
        <v>Low</v>
      </c>
      <c r="BN23" s="1181" t="str">
        <f>LOOKUP(MATCH(BJ23,'Perhitungan Heatmap'!$D$9:$AB$9),'Perhitungan Heatmap'!$D$9:$AB$9,'Perhitungan Heatmap'!$D$10:$AB$10)</f>
        <v>Low</v>
      </c>
      <c r="BO23" s="1181" t="str">
        <f>LOOKUP(MATCH(BK23,'Perhitungan Heatmap'!$D$9:$AB$9),'Perhitungan Heatmap'!$D$9:$AB$9,'Perhitungan Heatmap'!$D$10:$AB$10)</f>
        <v>Low</v>
      </c>
      <c r="BP23" s="1181" t="str">
        <f>LOOKUP(MATCH(BL23,'Perhitungan Heatmap'!$D$9:$AB$9),'Perhitungan Heatmap'!$D$9:$AB$9,'Perhitungan Heatmap'!$D$10:$AB$10)</f>
        <v>Low</v>
      </c>
      <c r="BQ23" s="268"/>
      <c r="BR23" s="268"/>
      <c r="BS23" s="268"/>
      <c r="BT23" s="268"/>
      <c r="BU23" s="268"/>
      <c r="BV23" s="268"/>
      <c r="BW23" s="268"/>
      <c r="BX23" s="268"/>
      <c r="BY23" s="268"/>
      <c r="BZ23" s="267"/>
      <c r="CA23" s="268"/>
      <c r="CB23" s="1106" t="s">
        <v>295</v>
      </c>
      <c r="CC23" s="1103" t="s">
        <v>260</v>
      </c>
      <c r="CD23" s="261" t="s">
        <v>409</v>
      </c>
      <c r="CE23" s="261" t="s">
        <v>410</v>
      </c>
      <c r="CF23" s="2073"/>
      <c r="CG23" s="1102"/>
      <c r="CH23" s="268"/>
      <c r="CI23" s="1102" t="s">
        <v>350</v>
      </c>
      <c r="CJ23" s="268" t="s">
        <v>283</v>
      </c>
      <c r="CK23" s="1157">
        <v>1</v>
      </c>
      <c r="CL23" s="1157">
        <v>1</v>
      </c>
      <c r="CM23" s="1157">
        <v>1</v>
      </c>
      <c r="CN23" s="1157">
        <v>1</v>
      </c>
      <c r="CO23" s="1157">
        <v>1</v>
      </c>
      <c r="CP23" s="1157">
        <v>1</v>
      </c>
      <c r="CQ23" s="1157">
        <v>1</v>
      </c>
      <c r="CR23" s="1157">
        <v>1</v>
      </c>
      <c r="CS23" s="1157">
        <v>1</v>
      </c>
      <c r="CT23" s="1157">
        <v>1</v>
      </c>
      <c r="CU23" s="1157">
        <v>1</v>
      </c>
      <c r="CV23" s="1157">
        <v>1</v>
      </c>
    </row>
    <row r="24" spans="1:100" s="277" customFormat="1" ht="11.65">
      <c r="A24" s="276"/>
      <c r="B24" s="273"/>
      <c r="C24" s="273"/>
      <c r="D24" s="273"/>
      <c r="E24" s="273"/>
      <c r="F24" s="273"/>
      <c r="G24" s="273"/>
      <c r="H24" s="273"/>
      <c r="I24" s="273"/>
      <c r="J24" s="273"/>
      <c r="K24" s="273"/>
      <c r="L24" s="273"/>
      <c r="M24" s="273"/>
      <c r="N24" s="273"/>
      <c r="O24" s="273"/>
      <c r="P24" s="273"/>
      <c r="Q24" s="274"/>
      <c r="R24" s="273"/>
      <c r="S24" s="273"/>
      <c r="T24" s="273"/>
      <c r="U24" s="273"/>
      <c r="V24" s="273"/>
      <c r="W24" s="274"/>
      <c r="X24" s="274"/>
      <c r="Y24" s="273"/>
      <c r="Z24" s="273"/>
      <c r="AA24" s="273"/>
      <c r="AB24" s="275"/>
      <c r="AD24" s="357"/>
      <c r="AE24" s="357"/>
      <c r="AF24" s="363"/>
      <c r="AG24" s="363"/>
      <c r="AH24" s="363"/>
      <c r="CF24" s="2076">
        <f>SUM(CF12:CF23)</f>
        <v>10649771685</v>
      </c>
    </row>
    <row r="25" spans="1:100" s="277" customFormat="1" ht="11.65">
      <c r="A25" s="276"/>
      <c r="B25" s="273"/>
      <c r="C25" s="273"/>
      <c r="D25" s="273"/>
      <c r="E25" s="273"/>
      <c r="F25" s="273"/>
      <c r="G25" s="273"/>
      <c r="H25" s="273"/>
      <c r="I25" s="273"/>
      <c r="J25" s="273"/>
      <c r="K25" s="273"/>
      <c r="L25" s="273"/>
      <c r="M25" s="273"/>
      <c r="N25" s="273"/>
      <c r="O25" s="273"/>
      <c r="P25" s="273"/>
      <c r="Q25" s="274"/>
      <c r="R25" s="273"/>
      <c r="S25" s="273"/>
      <c r="T25" s="273"/>
      <c r="U25" s="273"/>
      <c r="V25" s="273"/>
      <c r="W25" s="274"/>
      <c r="X25" s="274"/>
      <c r="Y25" s="273"/>
      <c r="Z25" s="273"/>
      <c r="AA25" s="273"/>
      <c r="AB25" s="275"/>
      <c r="AD25" s="357"/>
      <c r="AE25" s="357"/>
      <c r="AF25" s="363"/>
      <c r="AG25" s="363"/>
      <c r="AH25" s="363"/>
      <c r="CF25" s="2076">
        <f>CF24-CF27</f>
        <v>0</v>
      </c>
    </row>
    <row r="26" spans="1:100" s="277" customFormat="1" ht="11.65">
      <c r="A26" s="276"/>
      <c r="B26" s="273"/>
      <c r="C26" s="273"/>
      <c r="D26" s="273"/>
      <c r="E26" s="273"/>
      <c r="F26" s="273"/>
      <c r="G26" s="273"/>
      <c r="H26" s="273"/>
      <c r="I26" s="273"/>
      <c r="J26" s="273"/>
      <c r="K26" s="273"/>
      <c r="L26" s="273"/>
      <c r="M26" s="273"/>
      <c r="N26" s="273"/>
      <c r="O26" s="273"/>
      <c r="P26" s="273"/>
      <c r="Q26" s="274"/>
      <c r="R26" s="273"/>
      <c r="S26" s="273"/>
      <c r="T26" s="273"/>
      <c r="U26" s="273"/>
      <c r="V26" s="273"/>
      <c r="W26" s="274"/>
      <c r="X26" s="274"/>
      <c r="Y26" s="273"/>
      <c r="Z26" s="273"/>
      <c r="AA26" s="273"/>
      <c r="AB26" s="275"/>
      <c r="AD26" s="357"/>
      <c r="AE26" s="357"/>
      <c r="AF26" s="363"/>
      <c r="AG26" s="363"/>
      <c r="AH26" s="363"/>
      <c r="CF26" s="2076"/>
    </row>
    <row r="27" spans="1:100" s="277" customFormat="1" ht="11.65">
      <c r="A27" s="276"/>
      <c r="B27" s="273"/>
      <c r="C27" s="273"/>
      <c r="D27" s="273"/>
      <c r="E27" s="273"/>
      <c r="F27" s="273"/>
      <c r="G27" s="273"/>
      <c r="H27" s="273"/>
      <c r="I27" s="273"/>
      <c r="J27" s="273"/>
      <c r="K27" s="273"/>
      <c r="L27" s="273"/>
      <c r="M27" s="273"/>
      <c r="N27" s="273"/>
      <c r="O27" s="273"/>
      <c r="P27" s="273"/>
      <c r="Q27" s="274"/>
      <c r="R27" s="273"/>
      <c r="S27" s="273"/>
      <c r="T27" s="273"/>
      <c r="U27" s="273"/>
      <c r="V27" s="273"/>
      <c r="W27" s="274"/>
      <c r="X27" s="274"/>
      <c r="Y27" s="273"/>
      <c r="Z27" s="273"/>
      <c r="AA27" s="273"/>
      <c r="AB27" s="275"/>
      <c r="AD27" s="357"/>
      <c r="AE27" s="357"/>
      <c r="AF27" s="363"/>
      <c r="AG27" s="363"/>
      <c r="AH27" s="363"/>
      <c r="CF27" s="2076">
        <f>SUM(CF28:CF30)</f>
        <v>10649771685</v>
      </c>
    </row>
    <row r="28" spans="1:100" s="277" customFormat="1" ht="11.65">
      <c r="A28" s="276"/>
      <c r="B28" s="273"/>
      <c r="C28" s="273"/>
      <c r="D28" s="273"/>
      <c r="E28" s="273"/>
      <c r="F28" s="273"/>
      <c r="G28" s="273"/>
      <c r="H28" s="273"/>
      <c r="I28" s="273"/>
      <c r="J28" s="273"/>
      <c r="K28" s="273"/>
      <c r="L28" s="273"/>
      <c r="M28" s="273"/>
      <c r="N28" s="273"/>
      <c r="O28" s="273"/>
      <c r="P28" s="273"/>
      <c r="Q28" s="274"/>
      <c r="R28" s="273"/>
      <c r="S28" s="273"/>
      <c r="T28" s="273"/>
      <c r="U28" s="273"/>
      <c r="V28" s="273"/>
      <c r="W28" s="274"/>
      <c r="X28" s="274"/>
      <c r="Y28" s="273"/>
      <c r="Z28" s="273"/>
      <c r="AA28" s="273"/>
      <c r="AB28" s="275"/>
      <c r="AD28" s="357"/>
      <c r="AE28" s="357"/>
      <c r="AF28" s="363"/>
      <c r="AG28" s="363"/>
      <c r="AH28" s="363"/>
      <c r="CF28" s="2076">
        <v>8933771685</v>
      </c>
    </row>
    <row r="29" spans="1:100" s="277" customFormat="1" ht="11.65">
      <c r="A29" s="276"/>
      <c r="B29" s="273"/>
      <c r="C29" s="273"/>
      <c r="D29" s="273"/>
      <c r="E29" s="273"/>
      <c r="F29" s="273"/>
      <c r="G29" s="273"/>
      <c r="H29" s="273"/>
      <c r="I29" s="273"/>
      <c r="J29" s="273"/>
      <c r="K29" s="273"/>
      <c r="L29" s="273"/>
      <c r="M29" s="273"/>
      <c r="N29" s="273"/>
      <c r="O29" s="273"/>
      <c r="P29" s="273"/>
      <c r="Q29" s="274"/>
      <c r="R29" s="273"/>
      <c r="S29" s="273"/>
      <c r="T29" s="273"/>
      <c r="U29" s="273"/>
      <c r="V29" s="273"/>
      <c r="W29" s="274"/>
      <c r="X29" s="274"/>
      <c r="Y29" s="273"/>
      <c r="Z29" s="273"/>
      <c r="AA29" s="273"/>
      <c r="AB29" s="275"/>
      <c r="AD29" s="357"/>
      <c r="AE29" s="357"/>
      <c r="AF29" s="363"/>
      <c r="AG29" s="363"/>
      <c r="AH29" s="363"/>
      <c r="CF29" s="2076">
        <v>1716000000</v>
      </c>
    </row>
    <row r="30" spans="1:100" s="277" customFormat="1" ht="11.65">
      <c r="A30" s="276"/>
      <c r="B30" s="273"/>
      <c r="C30" s="273"/>
      <c r="D30" s="273"/>
      <c r="E30" s="273"/>
      <c r="F30" s="273"/>
      <c r="G30" s="273"/>
      <c r="H30" s="273"/>
      <c r="I30" s="273"/>
      <c r="J30" s="273"/>
      <c r="K30" s="273"/>
      <c r="L30" s="273"/>
      <c r="M30" s="273"/>
      <c r="N30" s="273"/>
      <c r="O30" s="273"/>
      <c r="P30" s="273"/>
      <c r="Q30" s="274"/>
      <c r="R30" s="273"/>
      <c r="S30" s="273"/>
      <c r="T30" s="273"/>
      <c r="U30" s="273"/>
      <c r="V30" s="273"/>
      <c r="W30" s="274"/>
      <c r="X30" s="274"/>
      <c r="Y30" s="273"/>
      <c r="Z30" s="273"/>
      <c r="AA30" s="273"/>
      <c r="AB30" s="275"/>
      <c r="AD30" s="357"/>
      <c r="AE30" s="357"/>
      <c r="AF30" s="363"/>
      <c r="AG30" s="363"/>
      <c r="AH30" s="363"/>
    </row>
    <row r="31" spans="1:100" s="277" customFormat="1" ht="11.65">
      <c r="A31" s="276"/>
      <c r="B31" s="273"/>
      <c r="C31" s="273"/>
      <c r="D31" s="273"/>
      <c r="E31" s="273"/>
      <c r="F31" s="273"/>
      <c r="G31" s="273"/>
      <c r="H31" s="273"/>
      <c r="I31" s="273"/>
      <c r="J31" s="273"/>
      <c r="K31" s="273"/>
      <c r="L31" s="273"/>
      <c r="M31" s="273"/>
      <c r="N31" s="273"/>
      <c r="O31" s="273"/>
      <c r="P31" s="273"/>
      <c r="Q31" s="274"/>
      <c r="R31" s="273"/>
      <c r="S31" s="273"/>
      <c r="T31" s="273"/>
      <c r="U31" s="273"/>
      <c r="V31" s="273"/>
      <c r="W31" s="274"/>
      <c r="X31" s="274"/>
      <c r="Y31" s="273"/>
      <c r="Z31" s="273"/>
      <c r="AA31" s="273"/>
      <c r="AB31" s="275"/>
      <c r="AD31" s="357"/>
      <c r="AE31" s="357"/>
      <c r="AF31" s="363"/>
      <c r="AG31" s="363"/>
      <c r="AH31" s="363"/>
    </row>
    <row r="32" spans="1:100" s="277" customFormat="1" ht="11.65">
      <c r="A32" s="276"/>
      <c r="B32" s="273"/>
      <c r="C32" s="273"/>
      <c r="D32" s="273"/>
      <c r="E32" s="273"/>
      <c r="F32" s="273"/>
      <c r="G32" s="273"/>
      <c r="H32" s="273"/>
      <c r="I32" s="273"/>
      <c r="J32" s="273"/>
      <c r="K32" s="273"/>
      <c r="L32" s="273"/>
      <c r="M32" s="273"/>
      <c r="N32" s="273"/>
      <c r="O32" s="273"/>
      <c r="P32" s="273"/>
      <c r="Q32" s="274"/>
      <c r="R32" s="273"/>
      <c r="S32" s="273"/>
      <c r="T32" s="273"/>
      <c r="U32" s="273"/>
      <c r="V32" s="273"/>
      <c r="W32" s="274"/>
      <c r="X32" s="274"/>
      <c r="Y32" s="273"/>
      <c r="Z32" s="273"/>
      <c r="AA32" s="273"/>
      <c r="AB32" s="275"/>
      <c r="AD32" s="357"/>
      <c r="AE32" s="357"/>
      <c r="AF32" s="363"/>
      <c r="AG32" s="363"/>
      <c r="AH32" s="363"/>
    </row>
    <row r="33" spans="1:34" s="277" customFormat="1" ht="11.65">
      <c r="A33" s="276"/>
      <c r="B33" s="273"/>
      <c r="C33" s="273"/>
      <c r="D33" s="273"/>
      <c r="E33" s="273"/>
      <c r="F33" s="273"/>
      <c r="G33" s="273"/>
      <c r="H33" s="273"/>
      <c r="I33" s="273"/>
      <c r="J33" s="273"/>
      <c r="K33" s="273"/>
      <c r="L33" s="273"/>
      <c r="M33" s="273"/>
      <c r="N33" s="273"/>
      <c r="O33" s="273"/>
      <c r="P33" s="273"/>
      <c r="Q33" s="274"/>
      <c r="R33" s="273"/>
      <c r="S33" s="273"/>
      <c r="T33" s="273"/>
      <c r="U33" s="273"/>
      <c r="V33" s="273"/>
      <c r="W33" s="274"/>
      <c r="X33" s="274"/>
      <c r="Y33" s="273"/>
      <c r="Z33" s="273"/>
      <c r="AA33" s="273"/>
      <c r="AB33" s="275"/>
      <c r="AD33" s="357"/>
      <c r="AE33" s="357"/>
      <c r="AF33" s="363"/>
      <c r="AG33" s="363"/>
      <c r="AH33" s="363"/>
    </row>
    <row r="34" spans="1:34" s="277" customFormat="1" ht="11.65">
      <c r="A34" s="276"/>
      <c r="B34" s="273"/>
      <c r="C34" s="273"/>
      <c r="D34" s="273"/>
      <c r="E34" s="273"/>
      <c r="F34" s="273"/>
      <c r="G34" s="273"/>
      <c r="H34" s="273"/>
      <c r="I34" s="273"/>
      <c r="J34" s="273"/>
      <c r="K34" s="273"/>
      <c r="L34" s="273"/>
      <c r="M34" s="273"/>
      <c r="N34" s="273"/>
      <c r="O34" s="273"/>
      <c r="P34" s="273"/>
      <c r="Q34" s="274"/>
      <c r="R34" s="273"/>
      <c r="S34" s="273"/>
      <c r="T34" s="273"/>
      <c r="U34" s="273"/>
      <c r="V34" s="273"/>
      <c r="W34" s="274"/>
      <c r="X34" s="274"/>
      <c r="Y34" s="273"/>
      <c r="Z34" s="273"/>
      <c r="AA34" s="273"/>
      <c r="AB34" s="275"/>
      <c r="AD34" s="357"/>
      <c r="AE34" s="357"/>
      <c r="AF34" s="363"/>
      <c r="AG34" s="363"/>
      <c r="AH34" s="363"/>
    </row>
    <row r="35" spans="1:34" s="277" customFormat="1" ht="11.65">
      <c r="A35" s="276"/>
      <c r="B35" s="273"/>
      <c r="C35" s="273"/>
      <c r="D35" s="273"/>
      <c r="E35" s="273"/>
      <c r="F35" s="273"/>
      <c r="G35" s="273"/>
      <c r="H35" s="273"/>
      <c r="I35" s="273"/>
      <c r="J35" s="273"/>
      <c r="K35" s="273"/>
      <c r="L35" s="273"/>
      <c r="M35" s="273"/>
      <c r="N35" s="273"/>
      <c r="O35" s="273"/>
      <c r="P35" s="273"/>
      <c r="Q35" s="274"/>
      <c r="R35" s="273"/>
      <c r="S35" s="273"/>
      <c r="T35" s="273"/>
      <c r="U35" s="273"/>
      <c r="V35" s="273"/>
      <c r="W35" s="274"/>
      <c r="X35" s="274"/>
      <c r="Y35" s="273"/>
      <c r="Z35" s="273"/>
      <c r="AA35" s="273"/>
      <c r="AB35" s="275"/>
      <c r="AD35" s="357"/>
      <c r="AE35" s="357"/>
      <c r="AF35" s="363"/>
      <c r="AG35" s="363"/>
      <c r="AH35" s="363"/>
    </row>
    <row r="36" spans="1:34" s="277" customFormat="1" ht="11.65">
      <c r="A36" s="276"/>
      <c r="B36" s="273"/>
      <c r="C36" s="273"/>
      <c r="D36" s="273"/>
      <c r="E36" s="273"/>
      <c r="F36" s="273"/>
      <c r="G36" s="273"/>
      <c r="H36" s="273"/>
      <c r="I36" s="273"/>
      <c r="J36" s="273"/>
      <c r="K36" s="273"/>
      <c r="L36" s="273"/>
      <c r="M36" s="273"/>
      <c r="N36" s="273"/>
      <c r="O36" s="273"/>
      <c r="P36" s="273"/>
      <c r="Q36" s="274"/>
      <c r="R36" s="273"/>
      <c r="S36" s="273"/>
      <c r="T36" s="273"/>
      <c r="U36" s="273"/>
      <c r="V36" s="273"/>
      <c r="W36" s="274"/>
      <c r="X36" s="274"/>
      <c r="Y36" s="273"/>
      <c r="Z36" s="273"/>
      <c r="AA36" s="273"/>
      <c r="AB36" s="275"/>
      <c r="AD36" s="357"/>
      <c r="AE36" s="357"/>
      <c r="AF36" s="363"/>
      <c r="AG36" s="363"/>
      <c r="AH36" s="363"/>
    </row>
    <row r="37" spans="1:34" s="277" customFormat="1" ht="11.65">
      <c r="A37" s="276"/>
      <c r="B37" s="273"/>
      <c r="C37" s="273"/>
      <c r="D37" s="273"/>
      <c r="E37" s="273"/>
      <c r="F37" s="273"/>
      <c r="G37" s="273"/>
      <c r="H37" s="273"/>
      <c r="I37" s="273"/>
      <c r="J37" s="273"/>
      <c r="K37" s="273"/>
      <c r="L37" s="273"/>
      <c r="M37" s="273"/>
      <c r="N37" s="273"/>
      <c r="O37" s="273"/>
      <c r="P37" s="273"/>
      <c r="Q37" s="274"/>
      <c r="R37" s="273"/>
      <c r="S37" s="273"/>
      <c r="T37" s="273"/>
      <c r="U37" s="273"/>
      <c r="V37" s="273"/>
      <c r="W37" s="274"/>
      <c r="X37" s="274"/>
      <c r="Y37" s="273"/>
      <c r="Z37" s="273"/>
      <c r="AA37" s="273"/>
      <c r="AB37" s="275"/>
      <c r="AD37" s="357"/>
      <c r="AE37" s="357"/>
      <c r="AF37" s="363"/>
      <c r="AG37" s="363"/>
      <c r="AH37" s="363"/>
    </row>
    <row r="38" spans="1:34" s="277" customFormat="1" ht="11.65">
      <c r="A38" s="276"/>
      <c r="B38" s="273"/>
      <c r="C38" s="273"/>
      <c r="D38" s="273"/>
      <c r="E38" s="273"/>
      <c r="F38" s="273"/>
      <c r="G38" s="273"/>
      <c r="H38" s="273"/>
      <c r="I38" s="273"/>
      <c r="J38" s="273"/>
      <c r="K38" s="273"/>
      <c r="L38" s="273"/>
      <c r="M38" s="273"/>
      <c r="N38" s="273"/>
      <c r="O38" s="273"/>
      <c r="P38" s="273"/>
      <c r="Q38" s="274"/>
      <c r="R38" s="273"/>
      <c r="S38" s="273"/>
      <c r="T38" s="273"/>
      <c r="U38" s="273"/>
      <c r="V38" s="273"/>
      <c r="W38" s="274"/>
      <c r="X38" s="274"/>
      <c r="Y38" s="273"/>
      <c r="Z38" s="273"/>
      <c r="AA38" s="273"/>
      <c r="AB38" s="275"/>
      <c r="AD38" s="357"/>
      <c r="AE38" s="357"/>
      <c r="AF38" s="363"/>
      <c r="AG38" s="363"/>
      <c r="AH38" s="363"/>
    </row>
    <row r="39" spans="1:34" s="277" customFormat="1" ht="11.65">
      <c r="A39" s="276"/>
      <c r="B39" s="273"/>
      <c r="C39" s="273"/>
      <c r="D39" s="273"/>
      <c r="E39" s="273"/>
      <c r="F39" s="273"/>
      <c r="G39" s="273"/>
      <c r="H39" s="273"/>
      <c r="I39" s="273"/>
      <c r="J39" s="273"/>
      <c r="K39" s="273"/>
      <c r="L39" s="273"/>
      <c r="M39" s="273"/>
      <c r="N39" s="273"/>
      <c r="O39" s="273"/>
      <c r="P39" s="273"/>
      <c r="Q39" s="274"/>
      <c r="R39" s="273"/>
      <c r="S39" s="273"/>
      <c r="T39" s="273"/>
      <c r="U39" s="273"/>
      <c r="V39" s="273"/>
      <c r="W39" s="274"/>
      <c r="X39" s="274"/>
      <c r="Y39" s="273"/>
      <c r="Z39" s="273"/>
      <c r="AA39" s="273"/>
      <c r="AB39" s="275"/>
      <c r="AD39" s="357"/>
      <c r="AE39" s="357"/>
      <c r="AF39" s="363"/>
      <c r="AG39" s="363"/>
      <c r="AH39" s="363"/>
    </row>
    <row r="40" spans="1:34" s="277" customFormat="1" ht="11.65">
      <c r="A40" s="276"/>
      <c r="B40" s="273"/>
      <c r="C40" s="273"/>
      <c r="D40" s="273"/>
      <c r="E40" s="273"/>
      <c r="F40" s="273"/>
      <c r="G40" s="273"/>
      <c r="H40" s="273"/>
      <c r="I40" s="273"/>
      <c r="J40" s="273"/>
      <c r="K40" s="273"/>
      <c r="L40" s="273"/>
      <c r="M40" s="273"/>
      <c r="N40" s="273"/>
      <c r="O40" s="273"/>
      <c r="P40" s="273"/>
      <c r="Q40" s="274"/>
      <c r="R40" s="273"/>
      <c r="S40" s="273"/>
      <c r="T40" s="273"/>
      <c r="U40" s="273"/>
      <c r="V40" s="273"/>
      <c r="W40" s="274"/>
      <c r="X40" s="274"/>
      <c r="Y40" s="273"/>
      <c r="Z40" s="273"/>
      <c r="AA40" s="273"/>
      <c r="AB40" s="275"/>
      <c r="AD40" s="357"/>
      <c r="AE40" s="357"/>
      <c r="AF40" s="363"/>
      <c r="AG40" s="363"/>
      <c r="AH40" s="363"/>
    </row>
    <row r="41" spans="1:34" s="277" customFormat="1" ht="11.65">
      <c r="A41" s="276"/>
      <c r="B41" s="273"/>
      <c r="C41" s="273"/>
      <c r="D41" s="273"/>
      <c r="E41" s="273"/>
      <c r="F41" s="273"/>
      <c r="G41" s="273"/>
      <c r="H41" s="273"/>
      <c r="I41" s="273"/>
      <c r="J41" s="273"/>
      <c r="K41" s="273"/>
      <c r="L41" s="273"/>
      <c r="M41" s="273"/>
      <c r="N41" s="273"/>
      <c r="O41" s="273"/>
      <c r="P41" s="273"/>
      <c r="Q41" s="274"/>
      <c r="R41" s="273"/>
      <c r="S41" s="273"/>
      <c r="T41" s="273"/>
      <c r="U41" s="273"/>
      <c r="V41" s="273"/>
      <c r="W41" s="274"/>
      <c r="X41" s="274"/>
      <c r="Y41" s="273"/>
      <c r="Z41" s="273"/>
      <c r="AA41" s="273"/>
      <c r="AB41" s="275"/>
      <c r="AD41" s="357"/>
      <c r="AE41" s="357"/>
      <c r="AF41" s="363"/>
      <c r="AG41" s="363"/>
      <c r="AH41" s="363"/>
    </row>
    <row r="42" spans="1:34" s="277" customFormat="1" ht="11.65">
      <c r="A42" s="276"/>
      <c r="B42" s="273"/>
      <c r="C42" s="273"/>
      <c r="D42" s="273"/>
      <c r="E42" s="273"/>
      <c r="F42" s="273"/>
      <c r="G42" s="273"/>
      <c r="H42" s="273"/>
      <c r="I42" s="273"/>
      <c r="J42" s="273"/>
      <c r="K42" s="273"/>
      <c r="L42" s="273"/>
      <c r="M42" s="273"/>
      <c r="N42" s="273"/>
      <c r="O42" s="273"/>
      <c r="P42" s="273"/>
      <c r="Q42" s="274"/>
      <c r="R42" s="273"/>
      <c r="S42" s="273"/>
      <c r="T42" s="273"/>
      <c r="U42" s="273"/>
      <c r="V42" s="273"/>
      <c r="W42" s="274"/>
      <c r="X42" s="274"/>
      <c r="Y42" s="273"/>
      <c r="Z42" s="273"/>
      <c r="AA42" s="273"/>
      <c r="AB42" s="275"/>
      <c r="AD42" s="357"/>
      <c r="AE42" s="357"/>
      <c r="AF42" s="363"/>
      <c r="AG42" s="363"/>
      <c r="AH42" s="363"/>
    </row>
    <row r="43" spans="1:34" s="277" customFormat="1" ht="11.65">
      <c r="A43" s="276"/>
      <c r="B43" s="273"/>
      <c r="C43" s="273"/>
      <c r="D43" s="273"/>
      <c r="E43" s="273"/>
      <c r="F43" s="273"/>
      <c r="G43" s="273"/>
      <c r="H43" s="273"/>
      <c r="I43" s="273"/>
      <c r="J43" s="273"/>
      <c r="K43" s="273"/>
      <c r="L43" s="273"/>
      <c r="M43" s="273"/>
      <c r="N43" s="273"/>
      <c r="O43" s="273"/>
      <c r="P43" s="273"/>
      <c r="Q43" s="274"/>
      <c r="R43" s="273"/>
      <c r="S43" s="273"/>
      <c r="T43" s="273"/>
      <c r="U43" s="273"/>
      <c r="V43" s="273"/>
      <c r="W43" s="274"/>
      <c r="X43" s="274"/>
      <c r="Y43" s="273"/>
      <c r="Z43" s="273"/>
      <c r="AA43" s="273"/>
      <c r="AB43" s="275"/>
      <c r="AD43" s="357"/>
      <c r="AE43" s="357"/>
      <c r="AF43" s="363"/>
      <c r="AG43" s="363"/>
      <c r="AH43" s="363"/>
    </row>
    <row r="44" spans="1:34" s="277" customFormat="1" ht="13.5" customHeight="1">
      <c r="A44" s="276"/>
      <c r="B44" s="273"/>
      <c r="C44" s="273"/>
      <c r="D44" s="273"/>
      <c r="E44" s="273"/>
      <c r="F44" s="273"/>
      <c r="G44" s="273"/>
      <c r="H44" s="273"/>
      <c r="I44" s="273"/>
      <c r="J44" s="273"/>
      <c r="K44" s="273"/>
      <c r="L44" s="273"/>
      <c r="M44" s="273"/>
      <c r="N44" s="273"/>
      <c r="O44" s="273"/>
      <c r="P44" s="273"/>
      <c r="Q44" s="274"/>
      <c r="R44" s="273"/>
      <c r="S44" s="273"/>
      <c r="T44" s="273"/>
      <c r="U44" s="273"/>
      <c r="V44" s="273"/>
      <c r="W44" s="274"/>
      <c r="X44" s="274"/>
      <c r="Y44" s="273"/>
      <c r="Z44" s="273"/>
      <c r="AA44" s="273"/>
      <c r="AB44" s="275"/>
      <c r="AD44" s="357"/>
      <c r="AE44" s="357"/>
      <c r="AF44" s="363"/>
      <c r="AG44" s="363"/>
      <c r="AH44" s="363"/>
    </row>
    <row r="45" spans="1:34" s="277" customFormat="1" ht="13.5" customHeight="1">
      <c r="A45" s="276"/>
      <c r="B45" s="273"/>
      <c r="C45" s="273"/>
      <c r="D45" s="273"/>
      <c r="E45" s="273"/>
      <c r="F45" s="273"/>
      <c r="G45" s="273"/>
      <c r="H45" s="273"/>
      <c r="I45" s="273"/>
      <c r="J45" s="273"/>
      <c r="K45" s="273"/>
      <c r="L45" s="273"/>
      <c r="M45" s="273"/>
      <c r="N45" s="273"/>
      <c r="O45" s="273"/>
      <c r="P45" s="273"/>
      <c r="Q45" s="274"/>
      <c r="R45" s="273"/>
      <c r="S45" s="273"/>
      <c r="T45" s="273"/>
      <c r="U45" s="273"/>
      <c r="V45" s="273"/>
      <c r="W45" s="274"/>
      <c r="X45" s="274"/>
      <c r="Y45" s="273"/>
      <c r="Z45" s="273"/>
      <c r="AA45" s="273"/>
      <c r="AB45" s="275"/>
      <c r="AD45" s="357"/>
      <c r="AE45" s="357"/>
      <c r="AF45" s="363"/>
      <c r="AG45" s="363"/>
      <c r="AH45" s="363"/>
    </row>
    <row r="46" spans="1:34" s="277" customFormat="1" ht="13.5" customHeight="1">
      <c r="A46" s="276"/>
      <c r="B46" s="273"/>
      <c r="C46" s="273"/>
      <c r="D46" s="273"/>
      <c r="E46" s="273"/>
      <c r="F46" s="273"/>
      <c r="G46" s="273"/>
      <c r="H46" s="273"/>
      <c r="I46" s="273"/>
      <c r="J46" s="273"/>
      <c r="K46" s="273"/>
      <c r="L46" s="273"/>
      <c r="M46" s="273"/>
      <c r="N46" s="273"/>
      <c r="O46" s="273"/>
      <c r="P46" s="273"/>
      <c r="Q46" s="274"/>
      <c r="R46" s="273"/>
      <c r="S46" s="273"/>
      <c r="T46" s="273"/>
      <c r="U46" s="273"/>
      <c r="V46" s="273"/>
      <c r="W46" s="274"/>
      <c r="X46" s="274"/>
      <c r="Y46" s="273"/>
      <c r="Z46" s="273"/>
      <c r="AA46" s="273"/>
      <c r="AB46" s="275"/>
      <c r="AD46" s="357"/>
      <c r="AE46" s="357"/>
      <c r="AF46" s="363"/>
      <c r="AG46" s="363"/>
      <c r="AH46" s="363"/>
    </row>
    <row r="47" spans="1:34" s="277" customFormat="1" ht="13.5" customHeight="1">
      <c r="A47" s="276"/>
      <c r="B47" s="273"/>
      <c r="C47" s="273"/>
      <c r="D47" s="273"/>
      <c r="E47" s="273"/>
      <c r="F47" s="273"/>
      <c r="G47" s="273"/>
      <c r="H47" s="273"/>
      <c r="I47" s="273"/>
      <c r="J47" s="273"/>
      <c r="K47" s="273"/>
      <c r="L47" s="273"/>
      <c r="M47" s="273"/>
      <c r="N47" s="273"/>
      <c r="O47" s="273"/>
      <c r="P47" s="273"/>
      <c r="Q47" s="274"/>
      <c r="R47" s="273"/>
      <c r="S47" s="273"/>
      <c r="T47" s="273"/>
      <c r="U47" s="273"/>
      <c r="V47" s="273"/>
      <c r="W47" s="274"/>
      <c r="X47" s="274"/>
      <c r="Y47" s="273"/>
      <c r="Z47" s="273"/>
      <c r="AA47" s="273"/>
      <c r="AB47" s="275"/>
      <c r="AD47" s="357"/>
      <c r="AE47" s="357"/>
      <c r="AF47" s="363"/>
      <c r="AG47" s="363"/>
      <c r="AH47" s="363"/>
    </row>
    <row r="48" spans="1:34" s="277" customFormat="1" ht="13.5" customHeight="1">
      <c r="A48" s="276"/>
      <c r="B48" s="273"/>
      <c r="C48" s="273"/>
      <c r="D48" s="273"/>
      <c r="E48" s="273"/>
      <c r="F48" s="273"/>
      <c r="G48" s="273"/>
      <c r="H48" s="273"/>
      <c r="I48" s="273"/>
      <c r="J48" s="273"/>
      <c r="K48" s="273"/>
      <c r="L48" s="273"/>
      <c r="M48" s="273"/>
      <c r="N48" s="273"/>
      <c r="O48" s="273"/>
      <c r="P48" s="273"/>
      <c r="Q48" s="274"/>
      <c r="R48" s="273"/>
      <c r="S48" s="273"/>
      <c r="T48" s="273"/>
      <c r="U48" s="273"/>
      <c r="V48" s="273"/>
      <c r="W48" s="274"/>
      <c r="X48" s="274"/>
      <c r="Y48" s="273"/>
      <c r="Z48" s="273"/>
      <c r="AA48" s="273"/>
      <c r="AB48" s="275"/>
      <c r="AD48" s="357"/>
      <c r="AE48" s="357"/>
      <c r="AF48" s="363"/>
      <c r="AG48" s="363"/>
      <c r="AH48" s="363"/>
    </row>
    <row r="49" spans="1:34" s="277" customFormat="1" ht="13.5" customHeight="1">
      <c r="A49" s="276"/>
      <c r="B49" s="273"/>
      <c r="C49" s="273"/>
      <c r="D49" s="273"/>
      <c r="E49" s="273"/>
      <c r="F49" s="273"/>
      <c r="G49" s="273"/>
      <c r="H49" s="273"/>
      <c r="I49" s="273"/>
      <c r="J49" s="273"/>
      <c r="K49" s="273"/>
      <c r="L49" s="273"/>
      <c r="M49" s="273"/>
      <c r="N49" s="273"/>
      <c r="O49" s="273"/>
      <c r="P49" s="273"/>
      <c r="Q49" s="274"/>
      <c r="R49" s="273"/>
      <c r="S49" s="273"/>
      <c r="T49" s="273"/>
      <c r="U49" s="273"/>
      <c r="V49" s="273"/>
      <c r="W49" s="274"/>
      <c r="X49" s="274"/>
      <c r="Y49" s="273"/>
      <c r="Z49" s="273"/>
      <c r="AA49" s="273"/>
      <c r="AB49" s="275"/>
      <c r="AD49" s="357"/>
      <c r="AE49" s="357"/>
      <c r="AF49" s="363"/>
      <c r="AG49" s="363"/>
      <c r="AH49" s="363"/>
    </row>
    <row r="50" spans="1:34" s="277" customFormat="1" ht="13.5" customHeight="1">
      <c r="A50" s="276"/>
      <c r="B50" s="273"/>
      <c r="C50" s="273"/>
      <c r="D50" s="273"/>
      <c r="E50" s="273"/>
      <c r="F50" s="273"/>
      <c r="G50" s="273"/>
      <c r="H50" s="273"/>
      <c r="I50" s="273"/>
      <c r="J50" s="273"/>
      <c r="K50" s="273"/>
      <c r="L50" s="273"/>
      <c r="M50" s="273"/>
      <c r="N50" s="273"/>
      <c r="O50" s="273"/>
      <c r="P50" s="273"/>
      <c r="Q50" s="274"/>
      <c r="R50" s="273"/>
      <c r="S50" s="273"/>
      <c r="T50" s="273"/>
      <c r="U50" s="273"/>
      <c r="V50" s="273"/>
      <c r="W50" s="274"/>
      <c r="X50" s="274"/>
      <c r="Y50" s="273"/>
      <c r="Z50" s="273"/>
      <c r="AA50" s="273"/>
      <c r="AB50" s="275"/>
      <c r="AD50" s="357"/>
      <c r="AE50" s="357"/>
      <c r="AF50" s="363"/>
      <c r="AG50" s="363"/>
      <c r="AH50" s="363"/>
    </row>
    <row r="51" spans="1:34" s="277" customFormat="1" ht="13.5" customHeight="1">
      <c r="A51" s="276"/>
      <c r="B51" s="273"/>
      <c r="C51" s="273"/>
      <c r="D51" s="273"/>
      <c r="E51" s="273"/>
      <c r="F51" s="273"/>
      <c r="G51" s="273"/>
      <c r="H51" s="273"/>
      <c r="I51" s="273"/>
      <c r="J51" s="273"/>
      <c r="K51" s="273"/>
      <c r="L51" s="273"/>
      <c r="M51" s="273"/>
      <c r="N51" s="273"/>
      <c r="O51" s="273"/>
      <c r="P51" s="273"/>
      <c r="Q51" s="274"/>
      <c r="R51" s="273"/>
      <c r="S51" s="273"/>
      <c r="T51" s="273"/>
      <c r="U51" s="273"/>
      <c r="V51" s="273"/>
      <c r="W51" s="274"/>
      <c r="X51" s="274"/>
      <c r="Y51" s="273"/>
      <c r="Z51" s="273"/>
      <c r="AA51" s="273"/>
      <c r="AB51" s="275"/>
      <c r="AD51" s="357"/>
      <c r="AE51" s="357"/>
      <c r="AF51" s="363"/>
      <c r="AG51" s="363"/>
      <c r="AH51" s="363"/>
    </row>
    <row r="52" spans="1:34" s="277" customFormat="1" ht="13.5" customHeight="1">
      <c r="A52" s="276"/>
      <c r="B52" s="273"/>
      <c r="C52" s="273"/>
      <c r="D52" s="273"/>
      <c r="E52" s="273"/>
      <c r="F52" s="273"/>
      <c r="G52" s="273"/>
      <c r="H52" s="273"/>
      <c r="I52" s="273"/>
      <c r="J52" s="273"/>
      <c r="K52" s="273"/>
      <c r="L52" s="273"/>
      <c r="M52" s="273"/>
      <c r="N52" s="273"/>
      <c r="O52" s="273"/>
      <c r="P52" s="273"/>
      <c r="Q52" s="274"/>
      <c r="R52" s="273"/>
      <c r="S52" s="273"/>
      <c r="T52" s="273"/>
      <c r="U52" s="273"/>
      <c r="V52" s="273"/>
      <c r="W52" s="274"/>
      <c r="X52" s="274"/>
      <c r="Y52" s="273"/>
      <c r="Z52" s="273"/>
      <c r="AA52" s="273"/>
      <c r="AB52" s="275"/>
      <c r="AD52" s="357"/>
      <c r="AE52" s="357"/>
      <c r="AF52" s="363"/>
      <c r="AG52" s="363"/>
      <c r="AH52" s="363"/>
    </row>
    <row r="53" spans="1:34" s="277" customFormat="1" ht="13.5" customHeight="1">
      <c r="A53" s="276"/>
      <c r="B53" s="273"/>
      <c r="C53" s="273"/>
      <c r="D53" s="273"/>
      <c r="E53" s="273"/>
      <c r="F53" s="273"/>
      <c r="G53" s="273"/>
      <c r="H53" s="273"/>
      <c r="I53" s="273"/>
      <c r="J53" s="273"/>
      <c r="K53" s="273"/>
      <c r="L53" s="273"/>
      <c r="M53" s="273"/>
      <c r="N53" s="273"/>
      <c r="O53" s="273"/>
      <c r="P53" s="273"/>
      <c r="Q53" s="274"/>
      <c r="R53" s="273"/>
      <c r="S53" s="273"/>
      <c r="T53" s="273"/>
      <c r="U53" s="273"/>
      <c r="V53" s="273"/>
      <c r="W53" s="274"/>
      <c r="X53" s="274"/>
      <c r="Y53" s="273"/>
      <c r="Z53" s="273"/>
      <c r="AA53" s="273"/>
      <c r="AB53" s="275"/>
      <c r="AD53" s="357"/>
      <c r="AE53" s="357"/>
      <c r="AF53" s="363"/>
      <c r="AG53" s="363"/>
      <c r="AH53" s="363"/>
    </row>
    <row r="54" spans="1:34" s="277" customFormat="1" ht="13.5" customHeight="1">
      <c r="A54" s="276"/>
      <c r="B54" s="273"/>
      <c r="C54" s="273"/>
      <c r="D54" s="273"/>
      <c r="E54" s="273"/>
      <c r="F54" s="273"/>
      <c r="G54" s="273"/>
      <c r="H54" s="273"/>
      <c r="I54" s="273"/>
      <c r="J54" s="273"/>
      <c r="K54" s="273"/>
      <c r="L54" s="273"/>
      <c r="M54" s="273"/>
      <c r="N54" s="273"/>
      <c r="O54" s="273"/>
      <c r="P54" s="273"/>
      <c r="Q54" s="274"/>
      <c r="R54" s="273"/>
      <c r="S54" s="273"/>
      <c r="T54" s="273"/>
      <c r="U54" s="273"/>
      <c r="V54" s="273"/>
      <c r="W54" s="274"/>
      <c r="X54" s="274"/>
      <c r="Y54" s="273"/>
      <c r="Z54" s="273"/>
      <c r="AA54" s="273"/>
      <c r="AB54" s="275"/>
      <c r="AD54" s="357"/>
      <c r="AE54" s="357"/>
      <c r="AF54" s="363"/>
      <c r="AG54" s="363"/>
      <c r="AH54" s="363"/>
    </row>
    <row r="55" spans="1:34" s="277" customFormat="1" ht="13.5" customHeight="1">
      <c r="A55" s="276"/>
      <c r="B55" s="273"/>
      <c r="C55" s="273"/>
      <c r="D55" s="273"/>
      <c r="E55" s="273"/>
      <c r="F55" s="273"/>
      <c r="G55" s="273"/>
      <c r="H55" s="273"/>
      <c r="I55" s="273"/>
      <c r="J55" s="273"/>
      <c r="K55" s="273"/>
      <c r="L55" s="273"/>
      <c r="M55" s="273"/>
      <c r="N55" s="273"/>
      <c r="O55" s="273"/>
      <c r="P55" s="273"/>
      <c r="Q55" s="274"/>
      <c r="R55" s="273"/>
      <c r="S55" s="273"/>
      <c r="T55" s="273"/>
      <c r="U55" s="273"/>
      <c r="V55" s="273"/>
      <c r="W55" s="274"/>
      <c r="X55" s="274"/>
      <c r="Y55" s="273"/>
      <c r="Z55" s="273"/>
      <c r="AA55" s="273"/>
      <c r="AB55" s="275"/>
      <c r="AD55" s="357"/>
      <c r="AE55" s="357"/>
      <c r="AF55" s="363"/>
      <c r="AG55" s="363"/>
      <c r="AH55" s="363"/>
    </row>
    <row r="56" spans="1:34" s="277" customFormat="1" ht="13.5" customHeight="1">
      <c r="A56" s="276"/>
      <c r="B56" s="273"/>
      <c r="C56" s="273"/>
      <c r="D56" s="273"/>
      <c r="E56" s="273"/>
      <c r="F56" s="273"/>
      <c r="G56" s="273"/>
      <c r="H56" s="273"/>
      <c r="I56" s="273"/>
      <c r="J56" s="273"/>
      <c r="K56" s="273"/>
      <c r="L56" s="273"/>
      <c r="M56" s="273"/>
      <c r="N56" s="273"/>
      <c r="O56" s="273"/>
      <c r="P56" s="273"/>
      <c r="Q56" s="274"/>
      <c r="R56" s="273"/>
      <c r="S56" s="273"/>
      <c r="T56" s="273"/>
      <c r="U56" s="273"/>
      <c r="V56" s="273"/>
      <c r="W56" s="274"/>
      <c r="X56" s="274"/>
      <c r="Y56" s="273"/>
      <c r="Z56" s="273"/>
      <c r="AA56" s="273"/>
      <c r="AB56" s="275"/>
      <c r="AD56" s="357"/>
      <c r="AE56" s="357"/>
      <c r="AF56" s="363"/>
      <c r="AG56" s="363"/>
      <c r="AH56" s="363"/>
    </row>
    <row r="57" spans="1:34" s="277" customFormat="1" ht="13.5" customHeight="1">
      <c r="A57" s="276"/>
      <c r="B57" s="273"/>
      <c r="C57" s="273"/>
      <c r="D57" s="273"/>
      <c r="E57" s="273"/>
      <c r="F57" s="273"/>
      <c r="G57" s="273"/>
      <c r="H57" s="273"/>
      <c r="I57" s="273"/>
      <c r="J57" s="273"/>
      <c r="K57" s="273"/>
      <c r="L57" s="273"/>
      <c r="M57" s="273"/>
      <c r="N57" s="273"/>
      <c r="O57" s="273"/>
      <c r="P57" s="273"/>
      <c r="Q57" s="274"/>
      <c r="R57" s="273"/>
      <c r="S57" s="273"/>
      <c r="T57" s="273"/>
      <c r="U57" s="273"/>
      <c r="V57" s="273"/>
      <c r="W57" s="274"/>
      <c r="X57" s="274"/>
      <c r="Y57" s="273"/>
      <c r="Z57" s="273"/>
      <c r="AA57" s="273"/>
      <c r="AB57" s="275"/>
      <c r="AD57" s="357"/>
      <c r="AE57" s="357"/>
      <c r="AF57" s="363"/>
      <c r="AG57" s="363"/>
      <c r="AH57" s="363"/>
    </row>
    <row r="58" spans="1:34" s="277" customFormat="1" ht="13.5" customHeight="1">
      <c r="A58" s="276"/>
      <c r="B58" s="273"/>
      <c r="C58" s="273"/>
      <c r="D58" s="273"/>
      <c r="E58" s="273"/>
      <c r="F58" s="273"/>
      <c r="G58" s="273"/>
      <c r="H58" s="273"/>
      <c r="I58" s="273"/>
      <c r="J58" s="273"/>
      <c r="K58" s="273"/>
      <c r="L58" s="273"/>
      <c r="M58" s="273"/>
      <c r="N58" s="273"/>
      <c r="O58" s="273"/>
      <c r="P58" s="273"/>
      <c r="Q58" s="274"/>
      <c r="R58" s="273"/>
      <c r="S58" s="273"/>
      <c r="T58" s="273"/>
      <c r="U58" s="273"/>
      <c r="V58" s="273"/>
      <c r="W58" s="274"/>
      <c r="X58" s="274"/>
      <c r="Y58" s="273"/>
      <c r="Z58" s="273"/>
      <c r="AA58" s="273"/>
      <c r="AB58" s="275"/>
      <c r="AD58" s="357"/>
      <c r="AE58" s="357"/>
      <c r="AF58" s="363"/>
      <c r="AG58" s="363"/>
      <c r="AH58" s="363"/>
    </row>
    <row r="59" spans="1:34" s="277" customFormat="1" ht="13.5" customHeight="1">
      <c r="A59" s="276"/>
      <c r="B59" s="273"/>
      <c r="C59" s="273"/>
      <c r="D59" s="273"/>
      <c r="E59" s="273"/>
      <c r="F59" s="273"/>
      <c r="G59" s="273"/>
      <c r="H59" s="273"/>
      <c r="I59" s="273"/>
      <c r="J59" s="273"/>
      <c r="K59" s="273"/>
      <c r="L59" s="273"/>
      <c r="M59" s="273"/>
      <c r="N59" s="273"/>
      <c r="O59" s="273"/>
      <c r="P59" s="273"/>
      <c r="Q59" s="274"/>
      <c r="R59" s="273"/>
      <c r="S59" s="273"/>
      <c r="T59" s="273"/>
      <c r="U59" s="273"/>
      <c r="V59" s="273"/>
      <c r="W59" s="274"/>
      <c r="X59" s="274"/>
      <c r="Y59" s="273"/>
      <c r="Z59" s="273"/>
      <c r="AA59" s="273"/>
      <c r="AB59" s="275"/>
      <c r="AD59" s="357"/>
      <c r="AE59" s="357"/>
      <c r="AF59" s="363"/>
      <c r="AG59" s="363"/>
      <c r="AH59" s="363"/>
    </row>
    <row r="60" spans="1:34" s="277" customFormat="1" ht="13.5" customHeight="1">
      <c r="A60" s="276"/>
      <c r="B60" s="273"/>
      <c r="C60" s="273"/>
      <c r="D60" s="273"/>
      <c r="E60" s="273"/>
      <c r="F60" s="273"/>
      <c r="G60" s="273"/>
      <c r="H60" s="273"/>
      <c r="I60" s="273"/>
      <c r="J60" s="273"/>
      <c r="K60" s="273"/>
      <c r="L60" s="273"/>
      <c r="M60" s="273"/>
      <c r="N60" s="273"/>
      <c r="O60" s="273"/>
      <c r="P60" s="273"/>
      <c r="Q60" s="274"/>
      <c r="R60" s="273"/>
      <c r="S60" s="273"/>
      <c r="T60" s="273"/>
      <c r="U60" s="273"/>
      <c r="V60" s="273"/>
      <c r="W60" s="274"/>
      <c r="X60" s="274"/>
      <c r="Y60" s="273"/>
      <c r="Z60" s="273"/>
      <c r="AA60" s="273"/>
      <c r="AB60" s="275"/>
      <c r="AD60" s="357"/>
      <c r="AE60" s="357"/>
      <c r="AF60" s="363"/>
      <c r="AG60" s="363"/>
      <c r="AH60" s="363"/>
    </row>
    <row r="61" spans="1:34" s="277" customFormat="1" ht="13.5" customHeight="1">
      <c r="A61" s="276"/>
      <c r="B61" s="273"/>
      <c r="C61" s="273"/>
      <c r="D61" s="273"/>
      <c r="E61" s="273"/>
      <c r="F61" s="273"/>
      <c r="G61" s="273"/>
      <c r="H61" s="273"/>
      <c r="I61" s="273"/>
      <c r="J61" s="273"/>
      <c r="K61" s="273"/>
      <c r="L61" s="273"/>
      <c r="M61" s="273"/>
      <c r="N61" s="273"/>
      <c r="O61" s="273"/>
      <c r="P61" s="273"/>
      <c r="Q61" s="274"/>
      <c r="R61" s="273"/>
      <c r="S61" s="273"/>
      <c r="T61" s="273"/>
      <c r="U61" s="273"/>
      <c r="V61" s="273"/>
      <c r="W61" s="274"/>
      <c r="X61" s="274"/>
      <c r="Y61" s="273"/>
      <c r="Z61" s="273"/>
      <c r="AA61" s="273"/>
      <c r="AB61" s="275"/>
      <c r="AD61" s="357"/>
      <c r="AE61" s="357"/>
      <c r="AF61" s="363"/>
      <c r="AG61" s="363"/>
      <c r="AH61" s="363"/>
    </row>
    <row r="62" spans="1:34" s="277" customFormat="1" ht="13.5" customHeight="1">
      <c r="A62" s="276"/>
      <c r="B62" s="273"/>
      <c r="C62" s="273"/>
      <c r="D62" s="273"/>
      <c r="E62" s="273"/>
      <c r="F62" s="273"/>
      <c r="G62" s="273"/>
      <c r="H62" s="273"/>
      <c r="I62" s="273"/>
      <c r="J62" s="273"/>
      <c r="K62" s="273"/>
      <c r="L62" s="273"/>
      <c r="M62" s="273"/>
      <c r="N62" s="273"/>
      <c r="O62" s="273"/>
      <c r="P62" s="273"/>
      <c r="Q62" s="274"/>
      <c r="R62" s="273"/>
      <c r="S62" s="273"/>
      <c r="T62" s="273"/>
      <c r="U62" s="273"/>
      <c r="V62" s="273"/>
      <c r="W62" s="274"/>
      <c r="X62" s="274"/>
      <c r="Y62" s="273"/>
      <c r="Z62" s="273"/>
      <c r="AA62" s="273"/>
      <c r="AB62" s="275"/>
      <c r="AD62" s="357"/>
      <c r="AE62" s="357"/>
      <c r="AF62" s="363"/>
      <c r="AG62" s="363"/>
      <c r="AH62" s="363"/>
    </row>
    <row r="63" spans="1:34" s="277" customFormat="1" ht="13.5" customHeight="1">
      <c r="A63" s="276"/>
      <c r="B63" s="273"/>
      <c r="C63" s="273"/>
      <c r="D63" s="273"/>
      <c r="E63" s="273"/>
      <c r="F63" s="273"/>
      <c r="G63" s="273"/>
      <c r="H63" s="273"/>
      <c r="I63" s="273"/>
      <c r="J63" s="273"/>
      <c r="K63" s="273"/>
      <c r="L63" s="273"/>
      <c r="M63" s="273"/>
      <c r="N63" s="273"/>
      <c r="O63" s="273"/>
      <c r="P63" s="273"/>
      <c r="Q63" s="274"/>
      <c r="R63" s="273"/>
      <c r="S63" s="273"/>
      <c r="T63" s="273"/>
      <c r="U63" s="273"/>
      <c r="V63" s="273"/>
      <c r="W63" s="274"/>
      <c r="X63" s="274"/>
      <c r="Y63" s="273"/>
      <c r="Z63" s="273"/>
      <c r="AA63" s="273"/>
      <c r="AB63" s="275"/>
      <c r="AD63" s="357"/>
      <c r="AE63" s="357"/>
      <c r="AF63" s="363"/>
      <c r="AG63" s="363"/>
      <c r="AH63" s="363"/>
    </row>
    <row r="64" spans="1:34" s="277" customFormat="1" ht="13.5" customHeight="1">
      <c r="A64" s="276"/>
      <c r="B64" s="273"/>
      <c r="C64" s="273"/>
      <c r="D64" s="273"/>
      <c r="E64" s="273"/>
      <c r="F64" s="273"/>
      <c r="G64" s="273"/>
      <c r="H64" s="273"/>
      <c r="I64" s="273"/>
      <c r="J64" s="273"/>
      <c r="K64" s="273"/>
      <c r="L64" s="273"/>
      <c r="M64" s="273"/>
      <c r="N64" s="273"/>
      <c r="O64" s="273"/>
      <c r="P64" s="273"/>
      <c r="Q64" s="274"/>
      <c r="R64" s="273"/>
      <c r="S64" s="273"/>
      <c r="T64" s="273"/>
      <c r="U64" s="273"/>
      <c r="V64" s="273"/>
      <c r="W64" s="274"/>
      <c r="X64" s="274"/>
      <c r="Y64" s="273"/>
      <c r="Z64" s="273"/>
      <c r="AA64" s="273"/>
      <c r="AB64" s="275"/>
      <c r="AD64" s="357"/>
      <c r="AE64" s="357"/>
      <c r="AF64" s="363"/>
      <c r="AG64" s="363"/>
      <c r="AH64" s="363"/>
    </row>
    <row r="65" spans="1:34" s="277" customFormat="1" ht="13.5" customHeight="1">
      <c r="A65" s="276"/>
      <c r="B65" s="273"/>
      <c r="C65" s="273"/>
      <c r="D65" s="273"/>
      <c r="E65" s="273"/>
      <c r="F65" s="273"/>
      <c r="G65" s="273"/>
      <c r="H65" s="273"/>
      <c r="I65" s="273"/>
      <c r="J65" s="273"/>
      <c r="K65" s="273"/>
      <c r="L65" s="273"/>
      <c r="M65" s="273"/>
      <c r="N65" s="273"/>
      <c r="O65" s="273"/>
      <c r="P65" s="273"/>
      <c r="Q65" s="274"/>
      <c r="R65" s="273"/>
      <c r="S65" s="273"/>
      <c r="T65" s="273"/>
      <c r="U65" s="273"/>
      <c r="V65" s="273"/>
      <c r="W65" s="274"/>
      <c r="X65" s="274"/>
      <c r="Y65" s="273"/>
      <c r="Z65" s="273"/>
      <c r="AA65" s="273"/>
      <c r="AB65" s="275"/>
      <c r="AD65" s="357"/>
      <c r="AE65" s="357"/>
      <c r="AF65" s="363"/>
      <c r="AG65" s="363"/>
      <c r="AH65" s="363"/>
    </row>
    <row r="66" spans="1:34" s="277" customFormat="1" ht="13.5" customHeight="1">
      <c r="A66" s="276"/>
      <c r="B66" s="273"/>
      <c r="C66" s="273"/>
      <c r="D66" s="273"/>
      <c r="E66" s="273"/>
      <c r="F66" s="273"/>
      <c r="G66" s="273"/>
      <c r="H66" s="273"/>
      <c r="I66" s="273"/>
      <c r="J66" s="273"/>
      <c r="K66" s="273"/>
      <c r="L66" s="273"/>
      <c r="M66" s="273"/>
      <c r="N66" s="273"/>
      <c r="O66" s="273"/>
      <c r="P66" s="273"/>
      <c r="Q66" s="274"/>
      <c r="R66" s="273"/>
      <c r="S66" s="273"/>
      <c r="T66" s="273"/>
      <c r="U66" s="273"/>
      <c r="V66" s="273"/>
      <c r="W66" s="274"/>
      <c r="X66" s="274"/>
      <c r="Y66" s="273"/>
      <c r="Z66" s="273"/>
      <c r="AA66" s="273"/>
      <c r="AB66" s="275"/>
      <c r="AD66" s="357"/>
      <c r="AE66" s="357"/>
      <c r="AF66" s="363"/>
      <c r="AG66" s="363"/>
      <c r="AH66" s="363"/>
    </row>
    <row r="67" spans="1:34" s="277" customFormat="1" ht="13.5" customHeight="1">
      <c r="A67" s="276"/>
      <c r="B67" s="273"/>
      <c r="C67" s="273"/>
      <c r="D67" s="273"/>
      <c r="E67" s="273"/>
      <c r="F67" s="273"/>
      <c r="G67" s="273"/>
      <c r="H67" s="273"/>
      <c r="I67" s="273"/>
      <c r="J67" s="273"/>
      <c r="K67" s="273"/>
      <c r="L67" s="273"/>
      <c r="M67" s="273"/>
      <c r="N67" s="273"/>
      <c r="O67" s="273"/>
      <c r="P67" s="273"/>
      <c r="Q67" s="274"/>
      <c r="R67" s="273"/>
      <c r="S67" s="273"/>
      <c r="T67" s="273"/>
      <c r="U67" s="273"/>
      <c r="V67" s="273"/>
      <c r="W67" s="274"/>
      <c r="X67" s="274"/>
      <c r="Y67" s="273"/>
      <c r="Z67" s="273"/>
      <c r="AA67" s="273"/>
      <c r="AB67" s="275"/>
      <c r="AD67" s="357"/>
      <c r="AE67" s="357"/>
      <c r="AF67" s="363"/>
      <c r="AG67" s="363"/>
      <c r="AH67" s="363"/>
    </row>
    <row r="68" spans="1:34" s="277" customFormat="1" ht="13.5" customHeight="1">
      <c r="A68" s="276"/>
      <c r="B68" s="273"/>
      <c r="C68" s="273"/>
      <c r="D68" s="273"/>
      <c r="E68" s="273"/>
      <c r="F68" s="273"/>
      <c r="G68" s="273"/>
      <c r="H68" s="273"/>
      <c r="I68" s="273"/>
      <c r="J68" s="273"/>
      <c r="K68" s="273"/>
      <c r="L68" s="273"/>
      <c r="M68" s="273"/>
      <c r="N68" s="273"/>
      <c r="O68" s="273"/>
      <c r="P68" s="273"/>
      <c r="Q68" s="274"/>
      <c r="R68" s="273"/>
      <c r="S68" s="273"/>
      <c r="T68" s="273"/>
      <c r="U68" s="273"/>
      <c r="V68" s="273"/>
      <c r="W68" s="274"/>
      <c r="X68" s="274"/>
      <c r="Y68" s="273"/>
      <c r="Z68" s="273"/>
      <c r="AA68" s="273"/>
      <c r="AB68" s="275"/>
      <c r="AD68" s="357"/>
      <c r="AE68" s="357"/>
      <c r="AF68" s="363"/>
      <c r="AG68" s="363"/>
      <c r="AH68" s="363"/>
    </row>
    <row r="69" spans="1:34" s="277" customFormat="1" ht="13.5" customHeight="1">
      <c r="A69" s="276"/>
      <c r="B69" s="273"/>
      <c r="C69" s="273"/>
      <c r="D69" s="273"/>
      <c r="E69" s="273"/>
      <c r="F69" s="273"/>
      <c r="G69" s="273"/>
      <c r="H69" s="273"/>
      <c r="I69" s="273"/>
      <c r="J69" s="273"/>
      <c r="K69" s="273"/>
      <c r="L69" s="273"/>
      <c r="M69" s="273"/>
      <c r="N69" s="273"/>
      <c r="O69" s="273"/>
      <c r="P69" s="273"/>
      <c r="Q69" s="274"/>
      <c r="R69" s="273"/>
      <c r="S69" s="273"/>
      <c r="T69" s="273"/>
      <c r="U69" s="273"/>
      <c r="V69" s="273"/>
      <c r="W69" s="274"/>
      <c r="X69" s="274"/>
      <c r="Y69" s="273"/>
      <c r="Z69" s="273"/>
      <c r="AA69" s="273"/>
      <c r="AB69" s="275"/>
      <c r="AD69" s="357"/>
      <c r="AE69" s="357"/>
      <c r="AF69" s="363"/>
      <c r="AG69" s="363"/>
      <c r="AH69" s="363"/>
    </row>
    <row r="70" spans="1:34" s="277" customFormat="1" ht="13.5" customHeight="1">
      <c r="A70" s="276"/>
      <c r="B70" s="273"/>
      <c r="C70" s="273"/>
      <c r="D70" s="273"/>
      <c r="E70" s="273"/>
      <c r="F70" s="273"/>
      <c r="G70" s="273"/>
      <c r="H70" s="273"/>
      <c r="I70" s="273"/>
      <c r="J70" s="273"/>
      <c r="K70" s="273"/>
      <c r="L70" s="273"/>
      <c r="M70" s="273"/>
      <c r="N70" s="273"/>
      <c r="O70" s="273"/>
      <c r="P70" s="273"/>
      <c r="Q70" s="274"/>
      <c r="R70" s="273"/>
      <c r="S70" s="273"/>
      <c r="T70" s="273"/>
      <c r="U70" s="273"/>
      <c r="V70" s="273"/>
      <c r="W70" s="274"/>
      <c r="X70" s="274"/>
      <c r="Y70" s="273"/>
      <c r="Z70" s="273"/>
      <c r="AA70" s="273"/>
      <c r="AB70" s="275"/>
      <c r="AD70" s="357"/>
      <c r="AE70" s="357"/>
      <c r="AF70" s="363"/>
      <c r="AG70" s="363"/>
      <c r="AH70" s="363"/>
    </row>
    <row r="71" spans="1:34" s="277" customFormat="1" ht="13.5" customHeight="1">
      <c r="A71" s="276"/>
      <c r="B71" s="273"/>
      <c r="C71" s="273"/>
      <c r="D71" s="273"/>
      <c r="E71" s="273"/>
      <c r="F71" s="273"/>
      <c r="G71" s="273"/>
      <c r="H71" s="273"/>
      <c r="I71" s="273"/>
      <c r="J71" s="273"/>
      <c r="K71" s="273"/>
      <c r="L71" s="273"/>
      <c r="M71" s="273"/>
      <c r="N71" s="273"/>
      <c r="O71" s="273"/>
      <c r="P71" s="273"/>
      <c r="Q71" s="274"/>
      <c r="R71" s="273"/>
      <c r="S71" s="273"/>
      <c r="T71" s="273"/>
      <c r="U71" s="273"/>
      <c r="V71" s="273"/>
      <c r="W71" s="274"/>
      <c r="X71" s="274"/>
      <c r="Y71" s="273"/>
      <c r="Z71" s="273"/>
      <c r="AA71" s="273"/>
      <c r="AB71" s="275"/>
      <c r="AD71" s="357"/>
      <c r="AE71" s="357"/>
      <c r="AF71" s="363"/>
      <c r="AG71" s="363"/>
      <c r="AH71" s="363"/>
    </row>
    <row r="72" spans="1:34" s="277" customFormat="1" ht="13.5" customHeight="1">
      <c r="A72" s="276"/>
      <c r="B72" s="273"/>
      <c r="C72" s="273"/>
      <c r="D72" s="273"/>
      <c r="E72" s="273"/>
      <c r="F72" s="273"/>
      <c r="G72" s="273"/>
      <c r="H72" s="273"/>
      <c r="I72" s="273"/>
      <c r="J72" s="273"/>
      <c r="K72" s="273"/>
      <c r="L72" s="273"/>
      <c r="M72" s="273"/>
      <c r="N72" s="273"/>
      <c r="O72" s="273"/>
      <c r="P72" s="273"/>
      <c r="Q72" s="274"/>
      <c r="R72" s="273"/>
      <c r="S72" s="273"/>
      <c r="T72" s="273"/>
      <c r="U72" s="273"/>
      <c r="V72" s="273"/>
      <c r="W72" s="274"/>
      <c r="X72" s="274"/>
      <c r="Y72" s="273"/>
      <c r="Z72" s="273"/>
      <c r="AA72" s="273"/>
      <c r="AB72" s="275"/>
      <c r="AD72" s="357"/>
      <c r="AE72" s="357"/>
      <c r="AF72" s="363"/>
      <c r="AG72" s="363"/>
      <c r="AH72" s="363"/>
    </row>
    <row r="73" spans="1:34" s="277" customFormat="1" ht="13.5" customHeight="1">
      <c r="A73" s="273"/>
      <c r="B73" s="273"/>
      <c r="C73" s="273"/>
      <c r="D73" s="273"/>
      <c r="E73" s="273"/>
      <c r="F73" s="273"/>
      <c r="G73" s="273"/>
      <c r="H73" s="273"/>
      <c r="I73" s="273"/>
      <c r="J73" s="273"/>
      <c r="K73" s="273"/>
      <c r="L73" s="273"/>
      <c r="M73" s="273"/>
      <c r="N73" s="273"/>
      <c r="O73" s="273"/>
      <c r="P73" s="273"/>
      <c r="Q73" s="274"/>
      <c r="R73" s="273"/>
      <c r="S73" s="273"/>
      <c r="T73" s="273"/>
      <c r="U73" s="273"/>
      <c r="V73" s="273"/>
      <c r="W73" s="274"/>
      <c r="X73" s="274"/>
      <c r="Y73" s="273"/>
      <c r="Z73" s="273"/>
      <c r="AA73" s="273"/>
      <c r="AB73" s="275"/>
      <c r="AD73" s="357"/>
      <c r="AE73" s="357"/>
      <c r="AF73" s="363"/>
      <c r="AG73" s="363"/>
      <c r="AH73" s="363"/>
    </row>
    <row r="74" spans="1:34" s="277" customFormat="1" ht="13.5" customHeight="1">
      <c r="A74" s="273"/>
      <c r="B74" s="273"/>
      <c r="C74" s="273"/>
      <c r="D74" s="273"/>
      <c r="E74" s="273"/>
      <c r="F74" s="273"/>
      <c r="G74" s="273"/>
      <c r="H74" s="273"/>
      <c r="I74" s="273"/>
      <c r="J74" s="273"/>
      <c r="K74" s="273"/>
      <c r="L74" s="273"/>
      <c r="M74" s="273"/>
      <c r="N74" s="273"/>
      <c r="O74" s="273"/>
      <c r="P74" s="273"/>
      <c r="Q74" s="274"/>
      <c r="R74" s="273"/>
      <c r="S74" s="273"/>
      <c r="T74" s="273"/>
      <c r="U74" s="273"/>
      <c r="V74" s="273"/>
      <c r="W74" s="274"/>
      <c r="X74" s="274"/>
      <c r="Y74" s="273"/>
      <c r="Z74" s="273"/>
      <c r="AA74" s="273"/>
      <c r="AB74" s="275"/>
      <c r="AD74" s="357"/>
      <c r="AE74" s="357"/>
      <c r="AF74" s="363"/>
      <c r="AG74" s="363"/>
      <c r="AH74" s="363"/>
    </row>
    <row r="75" spans="1:34" s="277" customFormat="1" ht="13.5" customHeight="1">
      <c r="A75" s="273"/>
      <c r="B75" s="273"/>
      <c r="C75" s="273"/>
      <c r="D75" s="273"/>
      <c r="E75" s="273"/>
      <c r="F75" s="273"/>
      <c r="G75" s="273"/>
      <c r="H75" s="273"/>
      <c r="I75" s="273"/>
      <c r="J75" s="273"/>
      <c r="K75" s="273"/>
      <c r="L75" s="273"/>
      <c r="M75" s="273"/>
      <c r="N75" s="273"/>
      <c r="O75" s="273"/>
      <c r="P75" s="273"/>
      <c r="Q75" s="274"/>
      <c r="R75" s="273"/>
      <c r="S75" s="273"/>
      <c r="T75" s="273"/>
      <c r="U75" s="273"/>
      <c r="V75" s="273"/>
      <c r="W75" s="274"/>
      <c r="X75" s="274"/>
      <c r="Y75" s="273"/>
      <c r="Z75" s="273"/>
      <c r="AA75" s="273"/>
      <c r="AB75" s="275"/>
      <c r="AD75" s="357"/>
      <c r="AE75" s="357"/>
      <c r="AF75" s="363"/>
      <c r="AG75" s="363"/>
      <c r="AH75" s="363"/>
    </row>
    <row r="76" spans="1:34" s="277" customFormat="1" ht="13.5" customHeight="1">
      <c r="A76" s="273"/>
      <c r="B76" s="273"/>
      <c r="C76" s="273"/>
      <c r="D76" s="273"/>
      <c r="E76" s="273"/>
      <c r="F76" s="273"/>
      <c r="G76" s="273"/>
      <c r="H76" s="273"/>
      <c r="I76" s="273"/>
      <c r="J76" s="273"/>
      <c r="K76" s="273"/>
      <c r="L76" s="273"/>
      <c r="M76" s="273"/>
      <c r="N76" s="273"/>
      <c r="O76" s="273"/>
      <c r="P76" s="273"/>
      <c r="Q76" s="274"/>
      <c r="R76" s="273"/>
      <c r="S76" s="273"/>
      <c r="T76" s="273"/>
      <c r="U76" s="273"/>
      <c r="V76" s="273"/>
      <c r="W76" s="274"/>
      <c r="X76" s="274"/>
      <c r="Y76" s="273"/>
      <c r="Z76" s="273"/>
      <c r="AA76" s="273"/>
      <c r="AB76" s="275"/>
      <c r="AD76" s="357"/>
      <c r="AE76" s="357"/>
      <c r="AF76" s="363"/>
      <c r="AG76" s="363"/>
      <c r="AH76" s="363"/>
    </row>
    <row r="77" spans="1:34" s="277" customFormat="1" ht="13.5" customHeight="1">
      <c r="A77" s="273"/>
      <c r="B77" s="273"/>
      <c r="C77" s="273"/>
      <c r="D77" s="273"/>
      <c r="E77" s="273"/>
      <c r="F77" s="273"/>
      <c r="G77" s="273"/>
      <c r="H77" s="273"/>
      <c r="I77" s="273"/>
      <c r="J77" s="273"/>
      <c r="K77" s="273"/>
      <c r="L77" s="273"/>
      <c r="M77" s="273"/>
      <c r="N77" s="273"/>
      <c r="O77" s="273"/>
      <c r="P77" s="273"/>
      <c r="Q77" s="274"/>
      <c r="R77" s="273"/>
      <c r="S77" s="273"/>
      <c r="T77" s="273"/>
      <c r="U77" s="273"/>
      <c r="V77" s="273"/>
      <c r="W77" s="274"/>
      <c r="X77" s="274"/>
      <c r="Y77" s="273"/>
      <c r="Z77" s="273"/>
      <c r="AA77" s="273"/>
      <c r="AB77" s="275"/>
      <c r="AD77" s="357"/>
      <c r="AE77" s="357"/>
      <c r="AF77" s="363"/>
      <c r="AG77" s="363"/>
      <c r="AH77" s="363"/>
    </row>
    <row r="78" spans="1:34" s="277" customFormat="1" ht="13.5" customHeight="1">
      <c r="A78" s="273"/>
      <c r="B78" s="273"/>
      <c r="C78" s="273"/>
      <c r="D78" s="273"/>
      <c r="E78" s="273"/>
      <c r="F78" s="273"/>
      <c r="G78" s="273"/>
      <c r="H78" s="273"/>
      <c r="I78" s="273"/>
      <c r="J78" s="273"/>
      <c r="K78" s="273"/>
      <c r="L78" s="273"/>
      <c r="M78" s="273"/>
      <c r="N78" s="273"/>
      <c r="O78" s="273"/>
      <c r="P78" s="273"/>
      <c r="Q78" s="274"/>
      <c r="R78" s="273"/>
      <c r="S78" s="273"/>
      <c r="T78" s="273"/>
      <c r="U78" s="273"/>
      <c r="V78" s="273"/>
      <c r="W78" s="274"/>
      <c r="X78" s="274"/>
      <c r="Y78" s="273"/>
      <c r="Z78" s="273"/>
      <c r="AA78" s="273"/>
      <c r="AB78" s="275"/>
      <c r="AD78" s="357"/>
      <c r="AE78" s="357"/>
      <c r="AF78" s="363"/>
      <c r="AG78" s="363"/>
      <c r="AH78" s="363"/>
    </row>
    <row r="79" spans="1:34" s="277" customFormat="1" ht="13.5" customHeight="1">
      <c r="A79" s="273"/>
      <c r="B79" s="273"/>
      <c r="C79" s="273"/>
      <c r="D79" s="273"/>
      <c r="E79" s="273"/>
      <c r="F79" s="273"/>
      <c r="G79" s="273"/>
      <c r="H79" s="273"/>
      <c r="I79" s="273"/>
      <c r="J79" s="273"/>
      <c r="K79" s="273"/>
      <c r="L79" s="273"/>
      <c r="M79" s="273"/>
      <c r="N79" s="273"/>
      <c r="O79" s="273"/>
      <c r="P79" s="273"/>
      <c r="Q79" s="274"/>
      <c r="R79" s="273"/>
      <c r="S79" s="273"/>
      <c r="T79" s="273"/>
      <c r="U79" s="273"/>
      <c r="V79" s="273"/>
      <c r="W79" s="274"/>
      <c r="X79" s="274"/>
      <c r="Y79" s="273"/>
      <c r="Z79" s="273"/>
      <c r="AA79" s="273"/>
      <c r="AB79" s="275"/>
      <c r="AD79" s="357"/>
      <c r="AE79" s="357"/>
      <c r="AF79" s="363"/>
      <c r="AG79" s="363"/>
      <c r="AH79" s="363"/>
    </row>
    <row r="80" spans="1:34" s="277" customFormat="1" ht="13.5" customHeight="1">
      <c r="A80" s="273"/>
      <c r="B80" s="273"/>
      <c r="C80" s="273"/>
      <c r="D80" s="273"/>
      <c r="E80" s="273"/>
      <c r="F80" s="273"/>
      <c r="G80" s="273"/>
      <c r="H80" s="273"/>
      <c r="I80" s="273"/>
      <c r="J80" s="273"/>
      <c r="K80" s="273"/>
      <c r="L80" s="273"/>
      <c r="M80" s="273"/>
      <c r="N80" s="273"/>
      <c r="O80" s="273"/>
      <c r="P80" s="273"/>
      <c r="Q80" s="274"/>
      <c r="R80" s="273"/>
      <c r="S80" s="273"/>
      <c r="T80" s="273"/>
      <c r="U80" s="273"/>
      <c r="V80" s="273"/>
      <c r="W80" s="274"/>
      <c r="X80" s="274"/>
      <c r="Y80" s="273"/>
      <c r="Z80" s="273"/>
      <c r="AA80" s="273"/>
      <c r="AB80" s="275"/>
      <c r="AD80" s="357"/>
      <c r="AE80" s="357"/>
      <c r="AF80" s="363"/>
      <c r="AG80" s="363"/>
      <c r="AH80" s="363"/>
    </row>
    <row r="81" spans="1:34" s="277" customFormat="1" ht="13.5" customHeight="1">
      <c r="A81" s="273"/>
      <c r="B81" s="273"/>
      <c r="C81" s="273"/>
      <c r="D81" s="273"/>
      <c r="E81" s="273"/>
      <c r="F81" s="273"/>
      <c r="G81" s="273"/>
      <c r="H81" s="273"/>
      <c r="I81" s="273"/>
      <c r="J81" s="273"/>
      <c r="K81" s="273"/>
      <c r="L81" s="273"/>
      <c r="M81" s="273"/>
      <c r="N81" s="273"/>
      <c r="O81" s="273"/>
      <c r="P81" s="273"/>
      <c r="Q81" s="274"/>
      <c r="R81" s="273"/>
      <c r="S81" s="273"/>
      <c r="T81" s="273"/>
      <c r="U81" s="273"/>
      <c r="V81" s="273"/>
      <c r="W81" s="274"/>
      <c r="X81" s="274"/>
      <c r="Y81" s="273"/>
      <c r="Z81" s="273"/>
      <c r="AA81" s="273"/>
      <c r="AB81" s="275"/>
      <c r="AD81" s="357"/>
      <c r="AE81" s="357"/>
      <c r="AF81" s="363"/>
      <c r="AG81" s="363"/>
      <c r="AH81" s="363"/>
    </row>
    <row r="82" spans="1:34" s="277" customFormat="1" ht="13.5" customHeight="1">
      <c r="A82" s="273"/>
      <c r="B82" s="273"/>
      <c r="C82" s="273"/>
      <c r="D82" s="273"/>
      <c r="E82" s="273"/>
      <c r="F82" s="273"/>
      <c r="G82" s="273"/>
      <c r="H82" s="273"/>
      <c r="I82" s="273"/>
      <c r="J82" s="273"/>
      <c r="K82" s="273"/>
      <c r="L82" s="273"/>
      <c r="M82" s="273"/>
      <c r="N82" s="273"/>
      <c r="O82" s="273"/>
      <c r="P82" s="273"/>
      <c r="Q82" s="274"/>
      <c r="R82" s="273"/>
      <c r="S82" s="273"/>
      <c r="T82" s="273"/>
      <c r="U82" s="273"/>
      <c r="V82" s="273"/>
      <c r="W82" s="274"/>
      <c r="X82" s="274"/>
      <c r="Y82" s="273"/>
      <c r="Z82" s="273"/>
      <c r="AA82" s="273"/>
      <c r="AB82" s="275"/>
      <c r="AD82" s="357"/>
      <c r="AE82" s="357"/>
      <c r="AF82" s="363"/>
      <c r="AG82" s="363"/>
      <c r="AH82" s="363"/>
    </row>
    <row r="83" spans="1:34" s="277" customFormat="1" ht="13.5" customHeight="1">
      <c r="A83" s="273"/>
      <c r="B83" s="273"/>
      <c r="C83" s="273"/>
      <c r="D83" s="273"/>
      <c r="E83" s="273"/>
      <c r="F83" s="273"/>
      <c r="G83" s="273"/>
      <c r="H83" s="273"/>
      <c r="I83" s="273"/>
      <c r="J83" s="273"/>
      <c r="K83" s="273"/>
      <c r="L83" s="273"/>
      <c r="M83" s="273"/>
      <c r="N83" s="273"/>
      <c r="O83" s="273"/>
      <c r="P83" s="273"/>
      <c r="Q83" s="274"/>
      <c r="R83" s="273"/>
      <c r="S83" s="273"/>
      <c r="T83" s="273"/>
      <c r="U83" s="273"/>
      <c r="V83" s="273"/>
      <c r="W83" s="274"/>
      <c r="X83" s="274"/>
      <c r="Y83" s="273"/>
      <c r="Z83" s="273"/>
      <c r="AA83" s="273"/>
      <c r="AB83" s="275"/>
      <c r="AD83" s="357"/>
      <c r="AE83" s="357"/>
      <c r="AF83" s="363"/>
      <c r="AG83" s="363"/>
      <c r="AH83" s="363"/>
    </row>
    <row r="84" spans="1:34" s="277" customFormat="1" ht="13.5" customHeight="1">
      <c r="A84" s="273"/>
      <c r="B84" s="273"/>
      <c r="C84" s="273"/>
      <c r="D84" s="273"/>
      <c r="E84" s="273"/>
      <c r="F84" s="273"/>
      <c r="G84" s="273"/>
      <c r="H84" s="273"/>
      <c r="I84" s="273"/>
      <c r="J84" s="273"/>
      <c r="K84" s="273"/>
      <c r="L84" s="273"/>
      <c r="M84" s="273"/>
      <c r="N84" s="273"/>
      <c r="O84" s="273"/>
      <c r="P84" s="273"/>
      <c r="Q84" s="274"/>
      <c r="R84" s="273"/>
      <c r="S84" s="273"/>
      <c r="T84" s="273"/>
      <c r="U84" s="273"/>
      <c r="V84" s="273"/>
      <c r="W84" s="274"/>
      <c r="X84" s="274"/>
      <c r="Y84" s="273"/>
      <c r="Z84" s="273"/>
      <c r="AA84" s="273"/>
      <c r="AB84" s="275"/>
      <c r="AD84" s="357"/>
      <c r="AE84" s="357"/>
      <c r="AF84" s="363"/>
      <c r="AG84" s="363"/>
      <c r="AH84" s="363"/>
    </row>
    <row r="85" spans="1:34" s="277" customFormat="1" ht="13.5" customHeight="1">
      <c r="A85" s="273"/>
      <c r="B85" s="273"/>
      <c r="C85" s="273"/>
      <c r="D85" s="273"/>
      <c r="E85" s="273"/>
      <c r="F85" s="273"/>
      <c r="G85" s="273"/>
      <c r="H85" s="273"/>
      <c r="I85" s="273"/>
      <c r="J85" s="273"/>
      <c r="K85" s="273"/>
      <c r="L85" s="273"/>
      <c r="M85" s="273"/>
      <c r="N85" s="273"/>
      <c r="O85" s="273"/>
      <c r="P85" s="273"/>
      <c r="Q85" s="274"/>
      <c r="R85" s="273"/>
      <c r="S85" s="273"/>
      <c r="T85" s="273"/>
      <c r="U85" s="273"/>
      <c r="V85" s="273"/>
      <c r="W85" s="274"/>
      <c r="X85" s="274"/>
      <c r="Y85" s="273"/>
      <c r="Z85" s="273"/>
      <c r="AA85" s="273"/>
      <c r="AB85" s="275"/>
      <c r="AD85" s="357"/>
      <c r="AE85" s="357"/>
      <c r="AF85" s="363"/>
      <c r="AG85" s="363"/>
      <c r="AH85" s="363"/>
    </row>
    <row r="86" spans="1:34" s="277" customFormat="1" ht="13.5" customHeight="1">
      <c r="A86" s="273"/>
      <c r="B86" s="273"/>
      <c r="C86" s="273"/>
      <c r="D86" s="273"/>
      <c r="E86" s="273"/>
      <c r="F86" s="273"/>
      <c r="G86" s="273"/>
      <c r="H86" s="273"/>
      <c r="I86" s="273"/>
      <c r="J86" s="273"/>
      <c r="K86" s="273"/>
      <c r="L86" s="273"/>
      <c r="M86" s="273"/>
      <c r="N86" s="273"/>
      <c r="O86" s="273"/>
      <c r="P86" s="273"/>
      <c r="Q86" s="274"/>
      <c r="R86" s="273"/>
      <c r="S86" s="273"/>
      <c r="T86" s="273"/>
      <c r="U86" s="273"/>
      <c r="V86" s="273"/>
      <c r="W86" s="274"/>
      <c r="X86" s="274"/>
      <c r="Y86" s="273"/>
      <c r="Z86" s="273"/>
      <c r="AA86" s="273"/>
      <c r="AB86" s="275"/>
      <c r="AD86" s="357"/>
      <c r="AE86" s="357"/>
      <c r="AF86" s="363"/>
      <c r="AG86" s="363"/>
      <c r="AH86" s="363"/>
    </row>
    <row r="87" spans="1:34" s="277" customFormat="1" ht="13.5" customHeight="1">
      <c r="A87" s="273"/>
      <c r="B87" s="273"/>
      <c r="C87" s="273"/>
      <c r="D87" s="273"/>
      <c r="E87" s="273"/>
      <c r="F87" s="273"/>
      <c r="G87" s="273"/>
      <c r="H87" s="273"/>
      <c r="I87" s="273"/>
      <c r="J87" s="273"/>
      <c r="K87" s="273"/>
      <c r="L87" s="273"/>
      <c r="M87" s="273"/>
      <c r="N87" s="273"/>
      <c r="O87" s="273"/>
      <c r="P87" s="273"/>
      <c r="Q87" s="274"/>
      <c r="R87" s="273"/>
      <c r="S87" s="273"/>
      <c r="T87" s="273"/>
      <c r="U87" s="273"/>
      <c r="V87" s="273"/>
      <c r="W87" s="274"/>
      <c r="X87" s="274"/>
      <c r="Y87" s="273"/>
      <c r="Z87" s="273"/>
      <c r="AA87" s="273"/>
      <c r="AB87" s="275"/>
      <c r="AD87" s="357"/>
      <c r="AE87" s="357"/>
      <c r="AF87" s="363"/>
      <c r="AG87" s="363"/>
      <c r="AH87" s="363"/>
    </row>
    <row r="88" spans="1:34" s="277" customFormat="1" ht="13.5" customHeight="1">
      <c r="A88" s="273"/>
      <c r="B88" s="273"/>
      <c r="C88" s="273"/>
      <c r="D88" s="273"/>
      <c r="E88" s="273"/>
      <c r="F88" s="273"/>
      <c r="G88" s="273"/>
      <c r="H88" s="273"/>
      <c r="I88" s="273"/>
      <c r="J88" s="273"/>
      <c r="K88" s="273"/>
      <c r="L88" s="273"/>
      <c r="M88" s="273"/>
      <c r="N88" s="273"/>
      <c r="O88" s="273"/>
      <c r="P88" s="273"/>
      <c r="Q88" s="274"/>
      <c r="R88" s="273"/>
      <c r="S88" s="273"/>
      <c r="T88" s="273"/>
      <c r="U88" s="273"/>
      <c r="V88" s="273"/>
      <c r="W88" s="274"/>
      <c r="X88" s="274"/>
      <c r="Y88" s="273"/>
      <c r="Z88" s="273"/>
      <c r="AA88" s="273"/>
      <c r="AB88" s="275"/>
      <c r="AD88" s="357"/>
      <c r="AE88" s="357"/>
      <c r="AF88" s="363"/>
      <c r="AG88" s="363"/>
      <c r="AH88" s="363"/>
    </row>
    <row r="89" spans="1:34" s="277" customFormat="1" ht="13.5" customHeight="1">
      <c r="A89" s="273"/>
      <c r="B89" s="273"/>
      <c r="C89" s="273"/>
      <c r="D89" s="273"/>
      <c r="E89" s="273"/>
      <c r="F89" s="273"/>
      <c r="G89" s="273"/>
      <c r="H89" s="273"/>
      <c r="I89" s="273"/>
      <c r="J89" s="273"/>
      <c r="K89" s="273"/>
      <c r="L89" s="273"/>
      <c r="M89" s="273"/>
      <c r="N89" s="273"/>
      <c r="O89" s="273"/>
      <c r="P89" s="273"/>
      <c r="Q89" s="274"/>
      <c r="R89" s="273"/>
      <c r="S89" s="273"/>
      <c r="T89" s="273"/>
      <c r="U89" s="273"/>
      <c r="V89" s="273"/>
      <c r="W89" s="274"/>
      <c r="X89" s="274"/>
      <c r="Y89" s="273"/>
      <c r="Z89" s="273"/>
      <c r="AA89" s="273"/>
      <c r="AB89" s="275"/>
      <c r="AD89" s="357"/>
      <c r="AE89" s="357"/>
      <c r="AF89" s="363"/>
      <c r="AG89" s="363"/>
      <c r="AH89" s="363"/>
    </row>
    <row r="90" spans="1:34" ht="13.5" customHeight="1">
      <c r="A90" s="222"/>
      <c r="B90" s="222"/>
      <c r="C90" s="222"/>
      <c r="D90" s="222"/>
      <c r="E90" s="222"/>
      <c r="F90" s="222"/>
      <c r="G90" s="222"/>
      <c r="H90" s="222"/>
      <c r="I90" s="222"/>
      <c r="J90" s="222"/>
      <c r="K90" s="222"/>
      <c r="L90" s="222"/>
      <c r="M90" s="222"/>
      <c r="N90" s="222"/>
      <c r="O90" s="222"/>
      <c r="P90" s="222"/>
      <c r="Q90" s="223"/>
      <c r="R90" s="222"/>
      <c r="S90" s="222"/>
      <c r="T90" s="222"/>
      <c r="U90" s="222"/>
      <c r="V90" s="222"/>
      <c r="W90" s="223"/>
      <c r="X90" s="223"/>
      <c r="Y90" s="222"/>
      <c r="Z90" s="222"/>
      <c r="AA90" s="222"/>
      <c r="AB90" s="224"/>
    </row>
    <row r="91" spans="1:34" ht="13.5" customHeight="1">
      <c r="A91" s="222"/>
      <c r="B91" s="222"/>
      <c r="C91" s="222"/>
      <c r="D91" s="222"/>
      <c r="E91" s="222"/>
      <c r="F91" s="222"/>
      <c r="G91" s="222"/>
      <c r="H91" s="222"/>
      <c r="I91" s="222"/>
      <c r="J91" s="222"/>
      <c r="K91" s="222"/>
      <c r="L91" s="222"/>
      <c r="M91" s="222"/>
      <c r="N91" s="222"/>
      <c r="O91" s="222"/>
      <c r="P91" s="222"/>
      <c r="Q91" s="223"/>
      <c r="R91" s="222"/>
      <c r="S91" s="222"/>
      <c r="T91" s="222"/>
      <c r="U91" s="222"/>
      <c r="V91" s="222"/>
      <c r="W91" s="223"/>
      <c r="X91" s="223"/>
      <c r="Y91" s="222"/>
      <c r="Z91" s="222"/>
      <c r="AA91" s="222"/>
      <c r="AB91" s="224"/>
    </row>
    <row r="92" spans="1:34" ht="13.5" customHeight="1">
      <c r="A92" s="222"/>
      <c r="B92" s="222"/>
      <c r="C92" s="222"/>
      <c r="D92" s="222"/>
      <c r="E92" s="222"/>
      <c r="F92" s="222"/>
      <c r="G92" s="222"/>
      <c r="H92" s="222"/>
      <c r="I92" s="222"/>
      <c r="J92" s="222"/>
      <c r="K92" s="222"/>
      <c r="L92" s="222"/>
      <c r="M92" s="222"/>
      <c r="N92" s="222"/>
      <c r="O92" s="222"/>
      <c r="P92" s="222"/>
      <c r="Q92" s="223"/>
      <c r="R92" s="222"/>
      <c r="S92" s="222"/>
      <c r="T92" s="222"/>
      <c r="U92" s="222"/>
      <c r="V92" s="222"/>
      <c r="W92" s="223"/>
      <c r="X92" s="223"/>
      <c r="Y92" s="222"/>
      <c r="Z92" s="222"/>
      <c r="AA92" s="222"/>
      <c r="AB92" s="224"/>
    </row>
    <row r="93" spans="1:34" ht="13.5" customHeight="1">
      <c r="A93" s="222"/>
      <c r="B93" s="222"/>
      <c r="C93" s="222"/>
      <c r="D93" s="222"/>
      <c r="E93" s="222"/>
      <c r="F93" s="222"/>
      <c r="G93" s="222"/>
      <c r="H93" s="222"/>
      <c r="I93" s="222"/>
      <c r="J93" s="222"/>
      <c r="K93" s="222"/>
      <c r="L93" s="222"/>
      <c r="M93" s="222"/>
      <c r="N93" s="222"/>
      <c r="O93" s="222"/>
      <c r="P93" s="222"/>
      <c r="Q93" s="223"/>
      <c r="R93" s="222"/>
      <c r="S93" s="222"/>
      <c r="T93" s="222"/>
      <c r="U93" s="222"/>
      <c r="V93" s="222"/>
      <c r="W93" s="223"/>
      <c r="X93" s="223"/>
      <c r="Y93" s="222"/>
      <c r="Z93" s="222"/>
      <c r="AA93" s="222"/>
      <c r="AB93" s="224"/>
    </row>
    <row r="94" spans="1:34" ht="13.5" customHeight="1">
      <c r="A94" s="222"/>
      <c r="B94" s="222"/>
      <c r="C94" s="222"/>
      <c r="D94" s="222"/>
      <c r="E94" s="222"/>
      <c r="F94" s="222"/>
      <c r="G94" s="222"/>
      <c r="H94" s="222"/>
      <c r="I94" s="222"/>
      <c r="J94" s="222"/>
      <c r="K94" s="222"/>
      <c r="L94" s="222"/>
      <c r="M94" s="222"/>
      <c r="N94" s="222"/>
      <c r="O94" s="222"/>
      <c r="P94" s="222"/>
      <c r="Q94" s="223"/>
      <c r="R94" s="222"/>
      <c r="S94" s="222"/>
      <c r="T94" s="222"/>
      <c r="U94" s="222"/>
      <c r="V94" s="222"/>
      <c r="W94" s="223"/>
      <c r="X94" s="223"/>
      <c r="Y94" s="222"/>
      <c r="Z94" s="222"/>
      <c r="AA94" s="222"/>
      <c r="AB94" s="224"/>
    </row>
    <row r="95" spans="1:34" ht="13.5" customHeight="1">
      <c r="A95" s="222"/>
      <c r="B95" s="222"/>
      <c r="C95" s="222"/>
      <c r="D95" s="222"/>
      <c r="E95" s="222"/>
      <c r="F95" s="222"/>
      <c r="G95" s="222"/>
      <c r="H95" s="222"/>
      <c r="I95" s="222"/>
      <c r="J95" s="222"/>
      <c r="K95" s="222"/>
      <c r="L95" s="222"/>
      <c r="M95" s="222"/>
      <c r="N95" s="222"/>
      <c r="O95" s="222"/>
      <c r="P95" s="222"/>
      <c r="Q95" s="223"/>
      <c r="R95" s="222"/>
      <c r="S95" s="222"/>
      <c r="T95" s="222"/>
      <c r="U95" s="222"/>
      <c r="V95" s="222"/>
      <c r="W95" s="223"/>
      <c r="X95" s="223"/>
      <c r="Y95" s="222"/>
      <c r="Z95" s="222"/>
      <c r="AA95" s="222"/>
      <c r="AB95" s="224"/>
    </row>
    <row r="96" spans="1:34" ht="13.5" customHeight="1">
      <c r="A96" s="222"/>
      <c r="B96" s="222"/>
      <c r="C96" s="222"/>
      <c r="D96" s="222"/>
      <c r="E96" s="222"/>
      <c r="F96" s="222"/>
      <c r="G96" s="222"/>
      <c r="H96" s="222"/>
      <c r="I96" s="222"/>
      <c r="J96" s="222"/>
      <c r="K96" s="222"/>
      <c r="L96" s="222"/>
      <c r="M96" s="222"/>
      <c r="N96" s="222"/>
      <c r="O96" s="222"/>
      <c r="P96" s="222"/>
      <c r="Q96" s="223"/>
      <c r="R96" s="222"/>
      <c r="S96" s="222"/>
      <c r="T96" s="222"/>
      <c r="U96" s="222"/>
      <c r="V96" s="222"/>
      <c r="W96" s="223"/>
      <c r="X96" s="223"/>
      <c r="Y96" s="222"/>
      <c r="Z96" s="222"/>
      <c r="AA96" s="222"/>
      <c r="AB96" s="224"/>
    </row>
    <row r="97" spans="1:28" ht="13.5" customHeight="1">
      <c r="A97" s="222"/>
      <c r="B97" s="222"/>
      <c r="C97" s="222"/>
      <c r="D97" s="222"/>
      <c r="E97" s="222"/>
      <c r="F97" s="222"/>
      <c r="G97" s="222"/>
      <c r="H97" s="222"/>
      <c r="I97" s="222"/>
      <c r="J97" s="222"/>
      <c r="K97" s="222"/>
      <c r="L97" s="222"/>
      <c r="M97" s="222"/>
      <c r="N97" s="222"/>
      <c r="O97" s="222"/>
      <c r="P97" s="222"/>
      <c r="Q97" s="223"/>
      <c r="R97" s="222"/>
      <c r="S97" s="222"/>
      <c r="T97" s="222"/>
      <c r="U97" s="222"/>
      <c r="V97" s="222"/>
      <c r="W97" s="223"/>
      <c r="X97" s="223"/>
      <c r="Y97" s="222"/>
      <c r="Z97" s="222"/>
      <c r="AA97" s="222"/>
      <c r="AB97" s="224"/>
    </row>
    <row r="98" spans="1:28" ht="13.5" customHeight="1">
      <c r="A98" s="222"/>
      <c r="B98" s="222"/>
      <c r="C98" s="222"/>
      <c r="D98" s="222"/>
      <c r="E98" s="222"/>
      <c r="F98" s="222"/>
      <c r="G98" s="222"/>
      <c r="H98" s="222"/>
      <c r="I98" s="222"/>
      <c r="J98" s="222"/>
      <c r="K98" s="222"/>
      <c r="L98" s="222"/>
      <c r="M98" s="222"/>
      <c r="N98" s="222"/>
      <c r="O98" s="222"/>
      <c r="P98" s="222"/>
      <c r="Q98" s="223"/>
      <c r="R98" s="222"/>
      <c r="S98" s="222"/>
      <c r="T98" s="222"/>
      <c r="U98" s="222"/>
      <c r="V98" s="222"/>
      <c r="W98" s="223"/>
      <c r="X98" s="223"/>
      <c r="Y98" s="222"/>
      <c r="Z98" s="222"/>
      <c r="AA98" s="222"/>
      <c r="AB98" s="224"/>
    </row>
    <row r="99" spans="1:28" ht="13.5" customHeight="1">
      <c r="A99" s="222"/>
      <c r="B99" s="222"/>
      <c r="C99" s="222"/>
      <c r="D99" s="222"/>
      <c r="E99" s="222"/>
      <c r="F99" s="222"/>
      <c r="G99" s="222"/>
      <c r="H99" s="222"/>
      <c r="I99" s="222"/>
      <c r="J99" s="222"/>
      <c r="K99" s="222"/>
      <c r="L99" s="222"/>
      <c r="M99" s="222"/>
      <c r="N99" s="222"/>
      <c r="O99" s="222"/>
      <c r="P99" s="222"/>
      <c r="Q99" s="223"/>
      <c r="R99" s="222"/>
      <c r="S99" s="222"/>
      <c r="T99" s="222"/>
      <c r="U99" s="222"/>
      <c r="V99" s="222"/>
      <c r="W99" s="223"/>
      <c r="X99" s="223"/>
      <c r="Y99" s="222"/>
      <c r="Z99" s="222"/>
      <c r="AA99" s="222"/>
      <c r="AB99" s="224"/>
    </row>
    <row r="100" spans="1:28" ht="13.5" customHeight="1">
      <c r="A100" s="222"/>
      <c r="B100" s="222"/>
      <c r="C100" s="222"/>
      <c r="D100" s="222"/>
      <c r="E100" s="222"/>
      <c r="F100" s="222"/>
      <c r="G100" s="222"/>
      <c r="H100" s="222"/>
      <c r="I100" s="222"/>
      <c r="J100" s="222"/>
      <c r="K100" s="222"/>
      <c r="L100" s="222"/>
      <c r="M100" s="222"/>
      <c r="N100" s="222"/>
      <c r="O100" s="222"/>
      <c r="P100" s="222"/>
      <c r="Q100" s="223"/>
      <c r="R100" s="222"/>
      <c r="S100" s="222"/>
      <c r="T100" s="222"/>
      <c r="U100" s="222"/>
      <c r="V100" s="222"/>
      <c r="W100" s="223"/>
      <c r="X100" s="223"/>
      <c r="Y100" s="222"/>
      <c r="Z100" s="222"/>
      <c r="AA100" s="222"/>
      <c r="AB100" s="224"/>
    </row>
    <row r="101" spans="1:28" ht="13.5" customHeight="1">
      <c r="A101" s="222"/>
      <c r="B101" s="222"/>
      <c r="C101" s="222"/>
      <c r="D101" s="222"/>
      <c r="E101" s="222"/>
      <c r="F101" s="222"/>
      <c r="G101" s="222"/>
      <c r="H101" s="222"/>
      <c r="I101" s="222"/>
      <c r="J101" s="222"/>
      <c r="K101" s="222"/>
      <c r="L101" s="222"/>
      <c r="M101" s="222"/>
      <c r="N101" s="222"/>
      <c r="O101" s="222"/>
      <c r="P101" s="222"/>
      <c r="Q101" s="223"/>
      <c r="R101" s="222"/>
      <c r="S101" s="222"/>
      <c r="T101" s="222"/>
      <c r="U101" s="222"/>
      <c r="V101" s="222"/>
      <c r="W101" s="223"/>
      <c r="X101" s="223"/>
      <c r="Y101" s="222"/>
      <c r="Z101" s="222"/>
      <c r="AA101" s="222"/>
      <c r="AB101" s="224"/>
    </row>
    <row r="102" spans="1:28" ht="13.5" customHeight="1">
      <c r="A102" s="222"/>
      <c r="B102" s="222"/>
      <c r="C102" s="222"/>
      <c r="D102" s="222"/>
      <c r="E102" s="222"/>
      <c r="F102" s="222"/>
      <c r="G102" s="222"/>
      <c r="H102" s="222"/>
      <c r="I102" s="222"/>
      <c r="J102" s="222"/>
      <c r="K102" s="222"/>
      <c r="L102" s="222"/>
      <c r="M102" s="222"/>
      <c r="N102" s="222"/>
      <c r="O102" s="222"/>
      <c r="P102" s="222"/>
      <c r="Q102" s="223"/>
      <c r="R102" s="222"/>
      <c r="S102" s="222"/>
      <c r="T102" s="222"/>
      <c r="U102" s="222"/>
      <c r="V102" s="222"/>
      <c r="W102" s="223"/>
      <c r="X102" s="223"/>
      <c r="Y102" s="222"/>
      <c r="Z102" s="222"/>
      <c r="AA102" s="222"/>
      <c r="AB102" s="224"/>
    </row>
    <row r="103" spans="1:28" ht="13.5" customHeight="1">
      <c r="A103" s="222"/>
      <c r="B103" s="222"/>
      <c r="C103" s="222"/>
      <c r="D103" s="222"/>
      <c r="E103" s="222"/>
      <c r="F103" s="222"/>
      <c r="G103" s="222"/>
      <c r="H103" s="222"/>
      <c r="I103" s="222"/>
      <c r="J103" s="222"/>
      <c r="K103" s="222"/>
      <c r="L103" s="222"/>
      <c r="M103" s="222"/>
      <c r="N103" s="222"/>
      <c r="O103" s="222"/>
      <c r="P103" s="222"/>
      <c r="Q103" s="223"/>
      <c r="R103" s="222"/>
      <c r="S103" s="222"/>
      <c r="T103" s="222"/>
      <c r="U103" s="222"/>
      <c r="V103" s="222"/>
      <c r="W103" s="223"/>
      <c r="X103" s="223"/>
      <c r="Y103" s="222"/>
      <c r="Z103" s="222"/>
      <c r="AA103" s="222"/>
      <c r="AB103" s="224"/>
    </row>
    <row r="104" spans="1:28" ht="13.5" customHeight="1">
      <c r="A104" s="222"/>
      <c r="B104" s="222"/>
      <c r="C104" s="222"/>
      <c r="D104" s="222"/>
      <c r="E104" s="222"/>
      <c r="F104" s="222"/>
      <c r="G104" s="222"/>
      <c r="H104" s="222"/>
      <c r="I104" s="222"/>
      <c r="J104" s="222"/>
      <c r="K104" s="222"/>
      <c r="L104" s="222"/>
      <c r="M104" s="222"/>
      <c r="N104" s="222"/>
      <c r="O104" s="222"/>
      <c r="P104" s="222"/>
      <c r="Q104" s="223"/>
      <c r="R104" s="222"/>
      <c r="S104" s="222"/>
      <c r="T104" s="222"/>
      <c r="U104" s="222"/>
      <c r="V104" s="222"/>
      <c r="W104" s="223"/>
      <c r="X104" s="223"/>
      <c r="Y104" s="222"/>
      <c r="Z104" s="222"/>
      <c r="AA104" s="222"/>
      <c r="AB104" s="224"/>
    </row>
    <row r="105" spans="1:28" ht="13.5" customHeight="1">
      <c r="A105" s="222"/>
      <c r="B105" s="222"/>
      <c r="C105" s="222"/>
      <c r="D105" s="222"/>
      <c r="E105" s="222"/>
      <c r="F105" s="222"/>
      <c r="G105" s="222"/>
      <c r="H105" s="222"/>
      <c r="I105" s="222"/>
      <c r="J105" s="222"/>
      <c r="K105" s="222"/>
      <c r="L105" s="222"/>
      <c r="M105" s="222"/>
      <c r="N105" s="222"/>
      <c r="O105" s="222"/>
      <c r="P105" s="222"/>
      <c r="Q105" s="223"/>
      <c r="R105" s="222"/>
      <c r="S105" s="222"/>
      <c r="T105" s="222"/>
      <c r="U105" s="222"/>
      <c r="V105" s="222"/>
      <c r="W105" s="223"/>
      <c r="X105" s="223"/>
      <c r="Y105" s="222"/>
      <c r="Z105" s="222"/>
      <c r="AA105" s="222"/>
      <c r="AB105" s="224"/>
    </row>
    <row r="106" spans="1:28" ht="13.5" customHeight="1">
      <c r="A106" s="222"/>
      <c r="B106" s="222"/>
      <c r="C106" s="222"/>
      <c r="D106" s="222"/>
      <c r="E106" s="222"/>
      <c r="F106" s="222"/>
      <c r="G106" s="222"/>
      <c r="H106" s="222"/>
      <c r="I106" s="222"/>
      <c r="J106" s="222"/>
      <c r="K106" s="222"/>
      <c r="L106" s="222"/>
      <c r="M106" s="222"/>
      <c r="N106" s="222"/>
      <c r="O106" s="222"/>
      <c r="P106" s="222"/>
      <c r="Q106" s="223"/>
      <c r="R106" s="222"/>
      <c r="S106" s="222"/>
      <c r="T106" s="222"/>
      <c r="U106" s="222"/>
      <c r="V106" s="222"/>
      <c r="W106" s="223"/>
      <c r="X106" s="223"/>
      <c r="Y106" s="222"/>
      <c r="Z106" s="222"/>
      <c r="AA106" s="222"/>
      <c r="AB106" s="224"/>
    </row>
    <row r="107" spans="1:28" ht="13.5" customHeight="1">
      <c r="A107" s="222"/>
      <c r="B107" s="222"/>
      <c r="C107" s="222"/>
      <c r="D107" s="222"/>
      <c r="E107" s="222"/>
      <c r="F107" s="222"/>
      <c r="G107" s="222"/>
      <c r="H107" s="222"/>
      <c r="I107" s="222"/>
      <c r="J107" s="222"/>
      <c r="K107" s="222"/>
      <c r="L107" s="222"/>
      <c r="M107" s="222"/>
      <c r="N107" s="222"/>
      <c r="O107" s="222"/>
      <c r="P107" s="222"/>
      <c r="Q107" s="223"/>
      <c r="R107" s="222"/>
      <c r="S107" s="222"/>
      <c r="T107" s="222"/>
      <c r="U107" s="222"/>
      <c r="V107" s="222"/>
      <c r="W107" s="223"/>
      <c r="X107" s="223"/>
      <c r="Y107" s="222"/>
      <c r="Z107" s="222"/>
      <c r="AA107" s="222"/>
      <c r="AB107" s="224"/>
    </row>
    <row r="108" spans="1:28" ht="13.5" customHeight="1">
      <c r="A108" s="222"/>
      <c r="B108" s="222"/>
      <c r="C108" s="222"/>
      <c r="D108" s="222"/>
      <c r="E108" s="222"/>
      <c r="F108" s="222"/>
      <c r="G108" s="222"/>
      <c r="H108" s="222"/>
      <c r="I108" s="222"/>
      <c r="J108" s="222"/>
      <c r="K108" s="222"/>
      <c r="L108" s="222"/>
      <c r="M108" s="222"/>
      <c r="N108" s="222"/>
      <c r="O108" s="222"/>
      <c r="P108" s="222"/>
      <c r="Q108" s="223"/>
      <c r="R108" s="222"/>
      <c r="S108" s="222"/>
      <c r="T108" s="222"/>
      <c r="U108" s="222"/>
      <c r="V108" s="222"/>
      <c r="W108" s="223"/>
      <c r="X108" s="223"/>
      <c r="Y108" s="222"/>
      <c r="Z108" s="222"/>
      <c r="AA108" s="222"/>
      <c r="AB108" s="224"/>
    </row>
    <row r="109" spans="1:28" ht="13.5" customHeight="1">
      <c r="A109" s="222"/>
      <c r="B109" s="222"/>
      <c r="C109" s="222"/>
      <c r="D109" s="222"/>
      <c r="E109" s="222"/>
      <c r="F109" s="222"/>
      <c r="G109" s="222"/>
      <c r="H109" s="222"/>
      <c r="I109" s="222"/>
      <c r="J109" s="222"/>
      <c r="K109" s="222"/>
      <c r="L109" s="222"/>
      <c r="M109" s="222"/>
      <c r="N109" s="222"/>
      <c r="O109" s="222"/>
      <c r="P109" s="222"/>
      <c r="Q109" s="223"/>
      <c r="R109" s="222"/>
      <c r="S109" s="222"/>
      <c r="T109" s="222"/>
      <c r="U109" s="222"/>
      <c r="V109" s="222"/>
      <c r="W109" s="223"/>
      <c r="X109" s="223"/>
      <c r="Y109" s="222"/>
      <c r="Z109" s="222"/>
      <c r="AA109" s="222"/>
      <c r="AB109" s="224"/>
    </row>
    <row r="110" spans="1:28" ht="13.5" customHeight="1">
      <c r="A110" s="222"/>
      <c r="B110" s="222"/>
      <c r="C110" s="222"/>
      <c r="D110" s="222"/>
      <c r="E110" s="222"/>
      <c r="F110" s="222"/>
      <c r="G110" s="222"/>
      <c r="H110" s="222"/>
      <c r="I110" s="222"/>
      <c r="J110" s="222"/>
      <c r="K110" s="222"/>
      <c r="L110" s="222"/>
      <c r="M110" s="222"/>
      <c r="N110" s="222"/>
      <c r="O110" s="222"/>
      <c r="P110" s="222"/>
      <c r="Q110" s="223"/>
      <c r="R110" s="222"/>
      <c r="S110" s="222"/>
      <c r="T110" s="222"/>
      <c r="U110" s="222"/>
      <c r="V110" s="222"/>
      <c r="W110" s="223"/>
      <c r="X110" s="223"/>
      <c r="Y110" s="222"/>
      <c r="Z110" s="222"/>
      <c r="AA110" s="222"/>
      <c r="AB110" s="224"/>
    </row>
    <row r="111" spans="1:28" ht="13.5" customHeight="1">
      <c r="A111" s="222"/>
      <c r="B111" s="222"/>
      <c r="C111" s="222"/>
      <c r="D111" s="222"/>
      <c r="E111" s="222"/>
      <c r="F111" s="222"/>
      <c r="G111" s="222"/>
      <c r="H111" s="222"/>
      <c r="I111" s="222"/>
      <c r="J111" s="222"/>
      <c r="K111" s="222"/>
      <c r="L111" s="222"/>
      <c r="M111" s="222"/>
      <c r="N111" s="222"/>
      <c r="O111" s="222"/>
      <c r="P111" s="222"/>
      <c r="Q111" s="223"/>
      <c r="R111" s="222"/>
      <c r="S111" s="222"/>
      <c r="T111" s="222"/>
      <c r="U111" s="222"/>
      <c r="V111" s="222"/>
      <c r="W111" s="223"/>
      <c r="X111" s="223"/>
      <c r="Y111" s="222"/>
      <c r="Z111" s="222"/>
      <c r="AA111" s="222"/>
      <c r="AB111" s="224"/>
    </row>
    <row r="112" spans="1:28" ht="13.5" customHeight="1">
      <c r="A112" s="222"/>
      <c r="B112" s="222"/>
      <c r="C112" s="222"/>
      <c r="D112" s="222"/>
      <c r="E112" s="222"/>
      <c r="F112" s="222"/>
      <c r="G112" s="222"/>
      <c r="H112" s="222"/>
      <c r="I112" s="222"/>
      <c r="J112" s="222"/>
      <c r="K112" s="222"/>
      <c r="L112" s="222"/>
      <c r="M112" s="222"/>
      <c r="N112" s="222"/>
      <c r="O112" s="222"/>
      <c r="P112" s="222"/>
      <c r="Q112" s="223"/>
      <c r="R112" s="222"/>
      <c r="S112" s="222"/>
      <c r="T112" s="222"/>
      <c r="U112" s="222"/>
      <c r="V112" s="222"/>
      <c r="W112" s="223"/>
      <c r="X112" s="223"/>
      <c r="Y112" s="222"/>
      <c r="Z112" s="222"/>
      <c r="AA112" s="222"/>
      <c r="AB112" s="224"/>
    </row>
    <row r="113" spans="1:28" ht="13.5" customHeight="1">
      <c r="A113" s="222"/>
      <c r="B113" s="222"/>
      <c r="C113" s="222"/>
      <c r="D113" s="222"/>
      <c r="E113" s="222"/>
      <c r="F113" s="222"/>
      <c r="G113" s="222"/>
      <c r="H113" s="222"/>
      <c r="I113" s="222"/>
      <c r="J113" s="222"/>
      <c r="K113" s="222"/>
      <c r="L113" s="222"/>
      <c r="M113" s="222"/>
      <c r="N113" s="222"/>
      <c r="O113" s="222"/>
      <c r="P113" s="222"/>
      <c r="Q113" s="223"/>
      <c r="R113" s="222"/>
      <c r="S113" s="222"/>
      <c r="T113" s="222"/>
      <c r="U113" s="222"/>
      <c r="V113" s="222"/>
      <c r="W113" s="223"/>
      <c r="X113" s="223"/>
      <c r="Y113" s="222"/>
      <c r="Z113" s="222"/>
      <c r="AA113" s="222"/>
      <c r="AB113" s="224"/>
    </row>
    <row r="114" spans="1:28" ht="13.5" customHeight="1">
      <c r="A114" s="222"/>
      <c r="B114" s="222"/>
      <c r="C114" s="222"/>
      <c r="D114" s="222"/>
      <c r="E114" s="222"/>
      <c r="F114" s="222"/>
      <c r="G114" s="222"/>
      <c r="H114" s="222"/>
      <c r="I114" s="222"/>
      <c r="J114" s="222"/>
      <c r="K114" s="222"/>
      <c r="L114" s="222"/>
      <c r="M114" s="222"/>
      <c r="N114" s="222"/>
      <c r="O114" s="222"/>
      <c r="P114" s="222"/>
      <c r="Q114" s="223"/>
      <c r="R114" s="222"/>
      <c r="S114" s="222"/>
      <c r="T114" s="222"/>
      <c r="U114" s="222"/>
      <c r="V114" s="222"/>
      <c r="W114" s="223"/>
      <c r="X114" s="223"/>
      <c r="Y114" s="222"/>
      <c r="Z114" s="222"/>
      <c r="AA114" s="222"/>
      <c r="AB114" s="224"/>
    </row>
    <row r="115" spans="1:28" ht="13.5" customHeight="1">
      <c r="A115" s="222"/>
      <c r="B115" s="222"/>
      <c r="C115" s="222"/>
      <c r="D115" s="222"/>
      <c r="E115" s="222"/>
      <c r="F115" s="222"/>
      <c r="G115" s="222"/>
      <c r="H115" s="222"/>
      <c r="I115" s="222"/>
      <c r="J115" s="222"/>
      <c r="K115" s="222"/>
      <c r="L115" s="222"/>
      <c r="M115" s="222"/>
      <c r="N115" s="222"/>
      <c r="O115" s="222"/>
      <c r="P115" s="222"/>
      <c r="Q115" s="223"/>
      <c r="R115" s="222"/>
      <c r="S115" s="222"/>
      <c r="T115" s="222"/>
      <c r="U115" s="222"/>
      <c r="V115" s="222"/>
      <c r="W115" s="223"/>
      <c r="X115" s="223"/>
      <c r="Y115" s="222"/>
      <c r="Z115" s="222"/>
      <c r="AA115" s="222"/>
      <c r="AB115" s="224"/>
    </row>
    <row r="116" spans="1:28" ht="13.5" customHeight="1">
      <c r="A116" s="222"/>
      <c r="B116" s="222"/>
      <c r="C116" s="222"/>
      <c r="D116" s="222"/>
      <c r="E116" s="222"/>
      <c r="F116" s="222"/>
      <c r="G116" s="222"/>
      <c r="H116" s="222"/>
      <c r="I116" s="222"/>
      <c r="J116" s="222"/>
      <c r="K116" s="222"/>
      <c r="L116" s="222"/>
      <c r="M116" s="222"/>
      <c r="N116" s="222"/>
      <c r="O116" s="222"/>
      <c r="P116" s="222"/>
      <c r="Q116" s="223"/>
      <c r="R116" s="222"/>
      <c r="S116" s="222"/>
      <c r="T116" s="222"/>
      <c r="U116" s="222"/>
      <c r="V116" s="222"/>
      <c r="W116" s="223"/>
      <c r="X116" s="223"/>
      <c r="Y116" s="222"/>
      <c r="Z116" s="222"/>
      <c r="AA116" s="222"/>
      <c r="AB116" s="224"/>
    </row>
    <row r="117" spans="1:28" ht="13.5" customHeight="1">
      <c r="A117" s="222"/>
      <c r="B117" s="222"/>
      <c r="C117" s="222"/>
      <c r="D117" s="222"/>
      <c r="E117" s="222"/>
      <c r="F117" s="222"/>
      <c r="G117" s="222"/>
      <c r="H117" s="222"/>
      <c r="I117" s="222"/>
      <c r="J117" s="222"/>
      <c r="K117" s="222"/>
      <c r="L117" s="222"/>
      <c r="M117" s="222"/>
      <c r="N117" s="222"/>
      <c r="O117" s="222"/>
      <c r="P117" s="222"/>
      <c r="Q117" s="223"/>
      <c r="R117" s="222"/>
      <c r="S117" s="222"/>
      <c r="T117" s="222"/>
      <c r="U117" s="222"/>
      <c r="V117" s="222"/>
      <c r="W117" s="223"/>
      <c r="X117" s="223"/>
      <c r="Y117" s="222"/>
      <c r="Z117" s="222"/>
      <c r="AA117" s="222"/>
      <c r="AB117" s="224"/>
    </row>
    <row r="118" spans="1:28" ht="13.5" customHeight="1">
      <c r="A118" s="222"/>
      <c r="B118" s="222"/>
      <c r="C118" s="222"/>
      <c r="D118" s="222"/>
      <c r="E118" s="222"/>
      <c r="F118" s="222"/>
      <c r="G118" s="222"/>
      <c r="H118" s="222"/>
      <c r="I118" s="222"/>
      <c r="J118" s="222"/>
      <c r="K118" s="222"/>
      <c r="L118" s="222"/>
      <c r="M118" s="222"/>
      <c r="N118" s="222"/>
      <c r="O118" s="222"/>
      <c r="P118" s="222"/>
      <c r="Q118" s="223"/>
      <c r="R118" s="222"/>
      <c r="S118" s="222"/>
      <c r="T118" s="222"/>
      <c r="U118" s="222"/>
      <c r="V118" s="222"/>
      <c r="W118" s="223"/>
      <c r="X118" s="223"/>
      <c r="Y118" s="222"/>
      <c r="Z118" s="222"/>
      <c r="AA118" s="222"/>
      <c r="AB118" s="224"/>
    </row>
    <row r="119" spans="1:28" ht="13.5" customHeight="1">
      <c r="A119" s="222"/>
      <c r="B119" s="222"/>
      <c r="C119" s="222"/>
      <c r="D119" s="222"/>
      <c r="E119" s="222"/>
      <c r="F119" s="222"/>
      <c r="G119" s="222"/>
      <c r="H119" s="222"/>
      <c r="I119" s="222"/>
      <c r="J119" s="222"/>
      <c r="K119" s="222"/>
      <c r="L119" s="222"/>
      <c r="M119" s="222"/>
      <c r="N119" s="222"/>
      <c r="O119" s="222"/>
      <c r="P119" s="222"/>
      <c r="Q119" s="223"/>
      <c r="R119" s="222"/>
      <c r="S119" s="222"/>
      <c r="T119" s="222"/>
      <c r="U119" s="222"/>
      <c r="V119" s="222"/>
      <c r="W119" s="223"/>
      <c r="X119" s="223"/>
      <c r="Y119" s="222"/>
      <c r="Z119" s="222"/>
      <c r="AA119" s="222"/>
      <c r="AB119" s="224"/>
    </row>
    <row r="120" spans="1:28" ht="13.5" customHeight="1">
      <c r="A120" s="222"/>
      <c r="B120" s="222"/>
      <c r="C120" s="222"/>
      <c r="D120" s="222"/>
      <c r="E120" s="222"/>
      <c r="F120" s="222"/>
      <c r="G120" s="222"/>
      <c r="H120" s="222"/>
      <c r="I120" s="222"/>
      <c r="J120" s="222"/>
      <c r="K120" s="222"/>
      <c r="L120" s="222"/>
      <c r="M120" s="222"/>
      <c r="N120" s="222"/>
      <c r="O120" s="222"/>
      <c r="P120" s="222"/>
      <c r="Q120" s="223"/>
      <c r="R120" s="222"/>
      <c r="S120" s="222"/>
      <c r="T120" s="222"/>
      <c r="U120" s="222"/>
      <c r="V120" s="222"/>
      <c r="W120" s="223"/>
      <c r="X120" s="223"/>
      <c r="Y120" s="222"/>
      <c r="Z120" s="222"/>
      <c r="AA120" s="222"/>
      <c r="AB120" s="224"/>
    </row>
    <row r="121" spans="1:28" ht="13.5" customHeight="1">
      <c r="A121" s="222"/>
      <c r="B121" s="222"/>
      <c r="C121" s="222"/>
      <c r="D121" s="222"/>
      <c r="E121" s="222"/>
      <c r="F121" s="222"/>
      <c r="G121" s="222"/>
      <c r="H121" s="222"/>
      <c r="I121" s="222"/>
      <c r="J121" s="222"/>
      <c r="K121" s="222"/>
      <c r="L121" s="222"/>
      <c r="M121" s="222"/>
      <c r="N121" s="222"/>
      <c r="O121" s="222"/>
      <c r="P121" s="222"/>
      <c r="Q121" s="223"/>
      <c r="R121" s="222"/>
      <c r="S121" s="222"/>
      <c r="T121" s="222"/>
      <c r="U121" s="222"/>
      <c r="V121" s="222"/>
      <c r="W121" s="223"/>
      <c r="X121" s="223"/>
      <c r="Y121" s="222"/>
      <c r="Z121" s="222"/>
      <c r="AA121" s="222"/>
      <c r="AB121" s="224"/>
    </row>
    <row r="122" spans="1:28" ht="13.5" customHeight="1">
      <c r="A122" s="222"/>
      <c r="B122" s="222"/>
      <c r="C122" s="222"/>
      <c r="D122" s="222"/>
      <c r="E122" s="222"/>
      <c r="F122" s="222"/>
      <c r="G122" s="222"/>
      <c r="H122" s="222"/>
      <c r="I122" s="222"/>
      <c r="J122" s="222"/>
      <c r="K122" s="222"/>
      <c r="L122" s="222"/>
      <c r="M122" s="222"/>
      <c r="N122" s="222"/>
      <c r="O122" s="222"/>
      <c r="P122" s="222"/>
      <c r="Q122" s="223"/>
      <c r="R122" s="222"/>
      <c r="S122" s="222"/>
      <c r="T122" s="222"/>
      <c r="U122" s="222"/>
      <c r="V122" s="222"/>
      <c r="W122" s="223"/>
      <c r="X122" s="223"/>
      <c r="Y122" s="222"/>
      <c r="Z122" s="222"/>
      <c r="AA122" s="222"/>
      <c r="AB122" s="224"/>
    </row>
    <row r="123" spans="1:28" ht="13.5" customHeight="1">
      <c r="A123" s="222"/>
      <c r="B123" s="222"/>
      <c r="C123" s="222"/>
      <c r="D123" s="222"/>
      <c r="E123" s="222"/>
      <c r="F123" s="222"/>
      <c r="G123" s="222"/>
      <c r="H123" s="222"/>
      <c r="I123" s="222"/>
      <c r="J123" s="222"/>
      <c r="K123" s="222"/>
      <c r="L123" s="222"/>
      <c r="M123" s="222"/>
      <c r="N123" s="222"/>
      <c r="O123" s="222"/>
      <c r="P123" s="222"/>
      <c r="Q123" s="223"/>
      <c r="R123" s="222"/>
      <c r="S123" s="222"/>
      <c r="T123" s="222"/>
      <c r="U123" s="222"/>
      <c r="V123" s="222"/>
      <c r="W123" s="223"/>
      <c r="X123" s="223"/>
      <c r="Y123" s="222"/>
      <c r="Z123" s="222"/>
      <c r="AA123" s="222"/>
      <c r="AB123" s="224"/>
    </row>
    <row r="124" spans="1:28" ht="13.5" customHeight="1">
      <c r="A124" s="222"/>
      <c r="B124" s="222"/>
      <c r="C124" s="222"/>
      <c r="D124" s="222"/>
      <c r="E124" s="222"/>
      <c r="F124" s="222"/>
      <c r="G124" s="222"/>
      <c r="H124" s="222"/>
      <c r="I124" s="222"/>
      <c r="J124" s="222"/>
      <c r="K124" s="222"/>
      <c r="L124" s="222"/>
      <c r="M124" s="222"/>
      <c r="N124" s="222"/>
      <c r="O124" s="222"/>
      <c r="P124" s="222"/>
      <c r="Q124" s="223"/>
      <c r="R124" s="222"/>
      <c r="S124" s="222"/>
      <c r="T124" s="222"/>
      <c r="U124" s="222"/>
      <c r="V124" s="222"/>
      <c r="W124" s="223"/>
      <c r="X124" s="223"/>
      <c r="Y124" s="222"/>
      <c r="Z124" s="222"/>
      <c r="AA124" s="222"/>
      <c r="AB124" s="224"/>
    </row>
    <row r="125" spans="1:28" ht="13.5" customHeight="1">
      <c r="A125" s="222"/>
      <c r="B125" s="222"/>
      <c r="C125" s="222"/>
      <c r="D125" s="222"/>
      <c r="E125" s="222"/>
      <c r="F125" s="222"/>
      <c r="G125" s="222"/>
      <c r="H125" s="222"/>
      <c r="I125" s="222"/>
      <c r="J125" s="222"/>
      <c r="K125" s="222"/>
      <c r="L125" s="222"/>
      <c r="M125" s="222"/>
      <c r="N125" s="222"/>
      <c r="O125" s="222"/>
      <c r="P125" s="222"/>
      <c r="Q125" s="223"/>
      <c r="R125" s="222"/>
      <c r="S125" s="222"/>
      <c r="T125" s="222"/>
      <c r="U125" s="222"/>
      <c r="V125" s="222"/>
      <c r="W125" s="223"/>
      <c r="X125" s="223"/>
      <c r="Y125" s="222"/>
      <c r="Z125" s="222"/>
      <c r="AA125" s="222"/>
      <c r="AB125" s="224"/>
    </row>
    <row r="126" spans="1:28" ht="13.5" customHeight="1">
      <c r="A126" s="222"/>
      <c r="B126" s="222"/>
      <c r="C126" s="222"/>
      <c r="D126" s="222"/>
      <c r="E126" s="222"/>
      <c r="F126" s="222"/>
      <c r="G126" s="222"/>
      <c r="H126" s="222"/>
      <c r="I126" s="222"/>
      <c r="J126" s="222"/>
      <c r="K126" s="222"/>
      <c r="L126" s="222"/>
      <c r="M126" s="222"/>
      <c r="N126" s="222"/>
      <c r="O126" s="222"/>
      <c r="P126" s="222"/>
      <c r="Q126" s="223"/>
      <c r="R126" s="222"/>
      <c r="S126" s="222"/>
      <c r="T126" s="222"/>
      <c r="U126" s="222"/>
      <c r="V126" s="222"/>
      <c r="W126" s="223"/>
      <c r="X126" s="223"/>
      <c r="Y126" s="222"/>
      <c r="Z126" s="222"/>
      <c r="AA126" s="222"/>
      <c r="AB126" s="224"/>
    </row>
    <row r="127" spans="1:28" ht="13.5" customHeight="1">
      <c r="A127" s="222"/>
      <c r="B127" s="222"/>
      <c r="C127" s="222"/>
      <c r="D127" s="222"/>
      <c r="E127" s="222"/>
      <c r="F127" s="222"/>
      <c r="G127" s="222"/>
      <c r="H127" s="222"/>
      <c r="I127" s="222"/>
      <c r="J127" s="222"/>
      <c r="K127" s="222"/>
      <c r="L127" s="222"/>
      <c r="M127" s="222"/>
      <c r="N127" s="222"/>
      <c r="O127" s="222"/>
      <c r="P127" s="222"/>
      <c r="Q127" s="223"/>
      <c r="R127" s="222"/>
      <c r="S127" s="222"/>
      <c r="T127" s="222"/>
      <c r="U127" s="222"/>
      <c r="V127" s="222"/>
      <c r="W127" s="223"/>
      <c r="X127" s="223"/>
      <c r="Y127" s="222"/>
      <c r="Z127" s="222"/>
      <c r="AA127" s="222"/>
      <c r="AB127" s="224"/>
    </row>
    <row r="128" spans="1:28" ht="13.5" customHeight="1">
      <c r="A128" s="222"/>
      <c r="B128" s="222"/>
      <c r="C128" s="222"/>
      <c r="D128" s="222"/>
      <c r="E128" s="222"/>
      <c r="F128" s="222"/>
      <c r="G128" s="222"/>
      <c r="H128" s="222"/>
      <c r="I128" s="222"/>
      <c r="J128" s="222"/>
      <c r="K128" s="222"/>
      <c r="L128" s="222"/>
      <c r="M128" s="222"/>
      <c r="N128" s="222"/>
      <c r="O128" s="222"/>
      <c r="P128" s="222"/>
      <c r="Q128" s="223"/>
      <c r="R128" s="222"/>
      <c r="S128" s="222"/>
      <c r="T128" s="222"/>
      <c r="U128" s="222"/>
      <c r="V128" s="222"/>
      <c r="W128" s="223"/>
      <c r="X128" s="223"/>
      <c r="Y128" s="222"/>
      <c r="Z128" s="222"/>
      <c r="AA128" s="222"/>
      <c r="AB128" s="224"/>
    </row>
    <row r="129" spans="1:28" ht="13.5" customHeight="1">
      <c r="A129" s="222"/>
      <c r="B129" s="222"/>
      <c r="C129" s="222"/>
      <c r="D129" s="222"/>
      <c r="E129" s="222"/>
      <c r="F129" s="222"/>
      <c r="G129" s="222"/>
      <c r="H129" s="222"/>
      <c r="I129" s="222"/>
      <c r="J129" s="222"/>
      <c r="K129" s="222"/>
      <c r="L129" s="222"/>
      <c r="M129" s="222"/>
      <c r="N129" s="222"/>
      <c r="O129" s="222"/>
      <c r="P129" s="222"/>
      <c r="Q129" s="223"/>
      <c r="R129" s="222"/>
      <c r="S129" s="222"/>
      <c r="T129" s="222"/>
      <c r="U129" s="222"/>
      <c r="V129" s="222"/>
      <c r="W129" s="223"/>
      <c r="X129" s="223"/>
      <c r="Y129" s="222"/>
      <c r="Z129" s="222"/>
      <c r="AA129" s="222"/>
      <c r="AB129" s="224"/>
    </row>
    <row r="130" spans="1:28" ht="13.5" customHeight="1">
      <c r="A130" s="222"/>
      <c r="B130" s="222"/>
      <c r="C130" s="222"/>
      <c r="D130" s="222"/>
      <c r="E130" s="222"/>
      <c r="F130" s="222"/>
      <c r="G130" s="222"/>
      <c r="H130" s="222"/>
      <c r="I130" s="222"/>
      <c r="J130" s="222"/>
      <c r="K130" s="222"/>
      <c r="L130" s="222"/>
      <c r="M130" s="222"/>
      <c r="N130" s="222"/>
      <c r="O130" s="222"/>
      <c r="P130" s="222"/>
      <c r="Q130" s="223"/>
      <c r="R130" s="222"/>
      <c r="S130" s="222"/>
      <c r="T130" s="222"/>
      <c r="U130" s="222"/>
      <c r="V130" s="222"/>
      <c r="W130" s="223"/>
      <c r="X130" s="223"/>
      <c r="Y130" s="222"/>
      <c r="Z130" s="222"/>
      <c r="AA130" s="222"/>
      <c r="AB130" s="224"/>
    </row>
    <row r="131" spans="1:28" ht="13.5" customHeight="1">
      <c r="A131" s="222"/>
      <c r="B131" s="222"/>
      <c r="C131" s="222"/>
      <c r="D131" s="222"/>
      <c r="E131" s="222"/>
      <c r="F131" s="222"/>
      <c r="G131" s="222"/>
      <c r="H131" s="222"/>
      <c r="I131" s="222"/>
      <c r="J131" s="222"/>
      <c r="K131" s="222"/>
      <c r="L131" s="222"/>
      <c r="M131" s="222"/>
      <c r="N131" s="222"/>
      <c r="O131" s="222"/>
      <c r="P131" s="222"/>
      <c r="Q131" s="223"/>
      <c r="R131" s="222"/>
      <c r="S131" s="222"/>
      <c r="T131" s="222"/>
      <c r="U131" s="222"/>
      <c r="V131" s="222"/>
      <c r="W131" s="223"/>
      <c r="X131" s="223"/>
      <c r="Y131" s="222"/>
      <c r="Z131" s="222"/>
      <c r="AA131" s="222"/>
      <c r="AB131" s="224"/>
    </row>
    <row r="132" spans="1:28" ht="13.5" customHeight="1">
      <c r="A132" s="222"/>
      <c r="B132" s="222"/>
      <c r="C132" s="222"/>
      <c r="D132" s="222"/>
      <c r="E132" s="222"/>
      <c r="F132" s="222"/>
      <c r="G132" s="222"/>
      <c r="H132" s="222"/>
      <c r="I132" s="222"/>
      <c r="J132" s="222"/>
      <c r="K132" s="222"/>
      <c r="L132" s="222"/>
      <c r="M132" s="222"/>
      <c r="N132" s="222"/>
      <c r="O132" s="222"/>
      <c r="P132" s="222"/>
      <c r="Q132" s="223"/>
      <c r="R132" s="222"/>
      <c r="S132" s="222"/>
      <c r="T132" s="222"/>
      <c r="U132" s="222"/>
      <c r="V132" s="222"/>
      <c r="W132" s="223"/>
      <c r="X132" s="223"/>
      <c r="Y132" s="222"/>
      <c r="Z132" s="222"/>
      <c r="AA132" s="222"/>
      <c r="AB132" s="224"/>
    </row>
    <row r="133" spans="1:28" ht="13.5" customHeight="1">
      <c r="A133" s="222"/>
      <c r="B133" s="222"/>
      <c r="C133" s="222"/>
      <c r="D133" s="222"/>
      <c r="E133" s="222"/>
      <c r="F133" s="222"/>
      <c r="G133" s="222"/>
      <c r="H133" s="222"/>
      <c r="I133" s="222"/>
      <c r="J133" s="222"/>
      <c r="K133" s="222"/>
      <c r="L133" s="222"/>
      <c r="M133" s="222"/>
      <c r="N133" s="222"/>
      <c r="O133" s="222"/>
      <c r="P133" s="222"/>
      <c r="Q133" s="223"/>
      <c r="R133" s="222"/>
      <c r="S133" s="222"/>
      <c r="T133" s="222"/>
      <c r="U133" s="222"/>
      <c r="V133" s="222"/>
      <c r="W133" s="223"/>
      <c r="X133" s="223"/>
      <c r="Y133" s="222"/>
      <c r="Z133" s="222"/>
      <c r="AA133" s="222"/>
      <c r="AB133" s="224"/>
    </row>
    <row r="134" spans="1:28" ht="13.5" customHeight="1">
      <c r="A134" s="222"/>
      <c r="B134" s="222"/>
      <c r="C134" s="222"/>
      <c r="D134" s="222"/>
      <c r="E134" s="222"/>
      <c r="F134" s="222"/>
      <c r="G134" s="222"/>
      <c r="H134" s="222"/>
      <c r="I134" s="222"/>
      <c r="J134" s="222"/>
      <c r="K134" s="222"/>
      <c r="L134" s="222"/>
      <c r="M134" s="222"/>
      <c r="N134" s="222"/>
      <c r="O134" s="222"/>
      <c r="P134" s="222"/>
      <c r="Q134" s="223"/>
      <c r="R134" s="222"/>
      <c r="S134" s="222"/>
      <c r="T134" s="222"/>
      <c r="U134" s="222"/>
      <c r="V134" s="222"/>
      <c r="W134" s="223"/>
      <c r="X134" s="223"/>
      <c r="Y134" s="222"/>
      <c r="Z134" s="222"/>
      <c r="AA134" s="222"/>
      <c r="AB134" s="224"/>
    </row>
    <row r="135" spans="1:28" ht="13.5" customHeight="1">
      <c r="A135" s="222"/>
      <c r="B135" s="222"/>
      <c r="C135" s="222"/>
      <c r="D135" s="222"/>
      <c r="E135" s="222"/>
      <c r="F135" s="222"/>
      <c r="G135" s="222"/>
      <c r="H135" s="222"/>
      <c r="I135" s="222"/>
      <c r="J135" s="222"/>
      <c r="K135" s="222"/>
      <c r="L135" s="222"/>
      <c r="M135" s="222"/>
      <c r="N135" s="222"/>
      <c r="O135" s="222"/>
      <c r="P135" s="222"/>
      <c r="Q135" s="223"/>
      <c r="R135" s="222"/>
      <c r="S135" s="222"/>
      <c r="T135" s="222"/>
      <c r="U135" s="222"/>
      <c r="V135" s="222"/>
      <c r="W135" s="223"/>
      <c r="X135" s="223"/>
      <c r="Y135" s="222"/>
      <c r="Z135" s="222"/>
      <c r="AA135" s="222"/>
      <c r="AB135" s="224"/>
    </row>
    <row r="136" spans="1:28" ht="13.5" customHeight="1">
      <c r="A136" s="222"/>
      <c r="B136" s="222"/>
      <c r="C136" s="222"/>
      <c r="D136" s="222"/>
      <c r="E136" s="222"/>
      <c r="F136" s="222"/>
      <c r="G136" s="222"/>
      <c r="H136" s="222"/>
      <c r="I136" s="222"/>
      <c r="J136" s="222"/>
      <c r="K136" s="222"/>
      <c r="L136" s="222"/>
      <c r="M136" s="222"/>
      <c r="N136" s="222"/>
      <c r="O136" s="222"/>
      <c r="P136" s="222"/>
      <c r="Q136" s="223"/>
      <c r="R136" s="222"/>
      <c r="S136" s="222"/>
      <c r="T136" s="222"/>
      <c r="U136" s="222"/>
      <c r="V136" s="222"/>
      <c r="W136" s="223"/>
      <c r="X136" s="223"/>
      <c r="Y136" s="222"/>
      <c r="Z136" s="222"/>
      <c r="AA136" s="222"/>
      <c r="AB136" s="224"/>
    </row>
    <row r="137" spans="1:28" ht="13.5" customHeight="1">
      <c r="A137" s="222"/>
      <c r="B137" s="222"/>
      <c r="C137" s="222"/>
      <c r="D137" s="222"/>
      <c r="E137" s="222"/>
      <c r="F137" s="222"/>
      <c r="G137" s="222"/>
      <c r="H137" s="222"/>
      <c r="I137" s="222"/>
      <c r="J137" s="222"/>
      <c r="K137" s="222"/>
      <c r="L137" s="222"/>
      <c r="M137" s="222"/>
      <c r="N137" s="222"/>
      <c r="O137" s="222"/>
      <c r="P137" s="222"/>
      <c r="Q137" s="223"/>
      <c r="R137" s="222"/>
      <c r="S137" s="222"/>
      <c r="T137" s="222"/>
      <c r="U137" s="222"/>
      <c r="V137" s="222"/>
      <c r="W137" s="223"/>
      <c r="X137" s="223"/>
      <c r="Y137" s="222"/>
      <c r="Z137" s="222"/>
      <c r="AA137" s="222"/>
      <c r="AB137" s="224"/>
    </row>
    <row r="138" spans="1:28" ht="13.5" customHeight="1">
      <c r="A138" s="222"/>
      <c r="B138" s="222"/>
      <c r="C138" s="222"/>
      <c r="D138" s="222"/>
      <c r="E138" s="222"/>
      <c r="F138" s="222"/>
      <c r="G138" s="222"/>
      <c r="H138" s="222"/>
      <c r="I138" s="222"/>
      <c r="J138" s="222"/>
      <c r="K138" s="222"/>
      <c r="L138" s="222"/>
      <c r="M138" s="222"/>
      <c r="N138" s="222"/>
      <c r="O138" s="222"/>
      <c r="P138" s="222"/>
      <c r="Q138" s="223"/>
      <c r="R138" s="222"/>
      <c r="S138" s="222"/>
      <c r="T138" s="222"/>
      <c r="U138" s="222"/>
      <c r="V138" s="222"/>
      <c r="W138" s="223"/>
      <c r="X138" s="223"/>
      <c r="Y138" s="222"/>
      <c r="Z138" s="222"/>
      <c r="AA138" s="222"/>
      <c r="AB138" s="224"/>
    </row>
    <row r="139" spans="1:28" ht="13.5" customHeight="1">
      <c r="A139" s="222"/>
      <c r="B139" s="222"/>
      <c r="C139" s="222"/>
      <c r="D139" s="222"/>
      <c r="E139" s="222"/>
      <c r="F139" s="222"/>
      <c r="G139" s="222"/>
      <c r="H139" s="222"/>
      <c r="I139" s="222"/>
      <c r="J139" s="222"/>
      <c r="K139" s="222"/>
      <c r="L139" s="222"/>
      <c r="M139" s="222"/>
      <c r="N139" s="222"/>
      <c r="O139" s="222"/>
      <c r="P139" s="222"/>
      <c r="Q139" s="223"/>
      <c r="R139" s="222"/>
      <c r="S139" s="222"/>
      <c r="T139" s="222"/>
      <c r="U139" s="222"/>
      <c r="V139" s="222"/>
      <c r="W139" s="223"/>
      <c r="X139" s="223"/>
      <c r="Y139" s="222"/>
      <c r="Z139" s="222"/>
      <c r="AA139" s="222"/>
      <c r="AB139" s="224"/>
    </row>
    <row r="140" spans="1:28" ht="13.5" customHeight="1">
      <c r="A140" s="222"/>
      <c r="B140" s="222"/>
      <c r="C140" s="222"/>
      <c r="D140" s="222"/>
      <c r="E140" s="222"/>
      <c r="F140" s="222"/>
      <c r="G140" s="222"/>
      <c r="H140" s="222"/>
      <c r="I140" s="222"/>
      <c r="J140" s="222"/>
      <c r="K140" s="222"/>
      <c r="L140" s="222"/>
      <c r="M140" s="222"/>
      <c r="N140" s="222"/>
      <c r="O140" s="222"/>
      <c r="P140" s="222"/>
      <c r="Q140" s="223"/>
      <c r="R140" s="222"/>
      <c r="S140" s="222"/>
      <c r="T140" s="222"/>
      <c r="U140" s="222"/>
      <c r="V140" s="222"/>
      <c r="W140" s="223"/>
      <c r="X140" s="223"/>
      <c r="Y140" s="222"/>
      <c r="Z140" s="222"/>
      <c r="AA140" s="222"/>
      <c r="AB140" s="224"/>
    </row>
    <row r="141" spans="1:28" ht="13.5" customHeight="1">
      <c r="A141" s="222"/>
      <c r="B141" s="222"/>
      <c r="C141" s="222"/>
      <c r="D141" s="222"/>
      <c r="E141" s="222"/>
      <c r="F141" s="222"/>
      <c r="G141" s="222"/>
      <c r="H141" s="222"/>
      <c r="I141" s="222"/>
      <c r="J141" s="222"/>
      <c r="K141" s="222"/>
      <c r="L141" s="222"/>
      <c r="M141" s="222"/>
      <c r="N141" s="222"/>
      <c r="O141" s="222"/>
      <c r="P141" s="222"/>
      <c r="Q141" s="223"/>
      <c r="R141" s="222"/>
      <c r="S141" s="222"/>
      <c r="T141" s="222"/>
      <c r="U141" s="222"/>
      <c r="V141" s="222"/>
      <c r="W141" s="223"/>
      <c r="X141" s="223"/>
      <c r="Y141" s="222"/>
      <c r="Z141" s="222"/>
      <c r="AA141" s="222"/>
      <c r="AB141" s="224"/>
    </row>
    <row r="142" spans="1:28" ht="13.5" customHeight="1">
      <c r="A142" s="222"/>
      <c r="B142" s="222"/>
      <c r="C142" s="222"/>
      <c r="D142" s="222"/>
      <c r="E142" s="222"/>
      <c r="F142" s="222"/>
      <c r="G142" s="222"/>
      <c r="H142" s="222"/>
      <c r="I142" s="222"/>
      <c r="J142" s="222"/>
      <c r="K142" s="222"/>
      <c r="L142" s="222"/>
      <c r="M142" s="222"/>
      <c r="N142" s="222"/>
      <c r="O142" s="222"/>
      <c r="P142" s="222"/>
      <c r="Q142" s="223"/>
      <c r="R142" s="222"/>
      <c r="S142" s="222"/>
      <c r="T142" s="222"/>
      <c r="U142" s="222"/>
      <c r="V142" s="222"/>
      <c r="W142" s="223"/>
      <c r="X142" s="223"/>
      <c r="Y142" s="222"/>
      <c r="Z142" s="222"/>
      <c r="AA142" s="222"/>
      <c r="AB142" s="224"/>
    </row>
    <row r="143" spans="1:28" ht="13.5" customHeight="1">
      <c r="A143" s="222"/>
      <c r="B143" s="222"/>
      <c r="C143" s="222"/>
      <c r="D143" s="222"/>
      <c r="E143" s="222"/>
      <c r="F143" s="222"/>
      <c r="G143" s="222"/>
      <c r="H143" s="222"/>
      <c r="I143" s="222"/>
      <c r="J143" s="222"/>
      <c r="K143" s="222"/>
      <c r="L143" s="222"/>
      <c r="M143" s="222"/>
      <c r="N143" s="222"/>
      <c r="O143" s="222"/>
      <c r="P143" s="222"/>
      <c r="Q143" s="223"/>
      <c r="R143" s="222"/>
      <c r="S143" s="222"/>
      <c r="T143" s="222"/>
      <c r="U143" s="222"/>
      <c r="V143" s="222"/>
      <c r="W143" s="223"/>
      <c r="X143" s="223"/>
      <c r="Y143" s="222"/>
      <c r="Z143" s="222"/>
      <c r="AA143" s="222"/>
      <c r="AB143" s="224"/>
    </row>
    <row r="144" spans="1:28" ht="13.5" customHeight="1">
      <c r="A144" s="222"/>
      <c r="B144" s="222"/>
      <c r="C144" s="222"/>
      <c r="D144" s="222"/>
      <c r="E144" s="222"/>
      <c r="F144" s="222"/>
      <c r="G144" s="222"/>
      <c r="H144" s="222"/>
      <c r="I144" s="222"/>
      <c r="J144" s="222"/>
      <c r="K144" s="222"/>
      <c r="L144" s="222"/>
      <c r="M144" s="222"/>
      <c r="N144" s="222"/>
      <c r="O144" s="222"/>
      <c r="P144" s="222"/>
      <c r="Q144" s="223"/>
      <c r="R144" s="222"/>
      <c r="S144" s="222"/>
      <c r="T144" s="222"/>
      <c r="U144" s="222"/>
      <c r="V144" s="222"/>
      <c r="W144" s="223"/>
      <c r="X144" s="223"/>
      <c r="Y144" s="222"/>
      <c r="Z144" s="222"/>
      <c r="AA144" s="222"/>
      <c r="AB144" s="224"/>
    </row>
    <row r="145" spans="1:28" ht="13.5" customHeight="1">
      <c r="A145" s="222"/>
      <c r="B145" s="222"/>
      <c r="C145" s="222"/>
      <c r="D145" s="222"/>
      <c r="E145" s="222"/>
      <c r="F145" s="222"/>
      <c r="G145" s="222"/>
      <c r="H145" s="222"/>
      <c r="I145" s="222"/>
      <c r="J145" s="222"/>
      <c r="K145" s="222"/>
      <c r="L145" s="222"/>
      <c r="M145" s="222"/>
      <c r="N145" s="222"/>
      <c r="O145" s="222"/>
      <c r="P145" s="222"/>
      <c r="Q145" s="223"/>
      <c r="R145" s="222"/>
      <c r="S145" s="222"/>
      <c r="T145" s="222"/>
      <c r="U145" s="222"/>
      <c r="V145" s="222"/>
      <c r="W145" s="223"/>
      <c r="X145" s="223"/>
      <c r="Y145" s="222"/>
      <c r="Z145" s="222"/>
      <c r="AA145" s="222"/>
      <c r="AB145" s="224"/>
    </row>
    <row r="146" spans="1:28" ht="13.5" customHeight="1">
      <c r="A146" s="222"/>
      <c r="B146" s="222"/>
      <c r="C146" s="222"/>
      <c r="D146" s="222"/>
      <c r="E146" s="222"/>
      <c r="F146" s="222"/>
      <c r="G146" s="222"/>
      <c r="H146" s="222"/>
      <c r="I146" s="222"/>
      <c r="J146" s="222"/>
      <c r="K146" s="222"/>
      <c r="L146" s="222"/>
      <c r="M146" s="222"/>
      <c r="N146" s="222"/>
      <c r="O146" s="222"/>
      <c r="P146" s="222"/>
      <c r="Q146" s="223"/>
      <c r="R146" s="222"/>
      <c r="S146" s="222"/>
      <c r="T146" s="222"/>
      <c r="U146" s="222"/>
      <c r="V146" s="222"/>
      <c r="W146" s="223"/>
      <c r="X146" s="223"/>
      <c r="Y146" s="222"/>
      <c r="Z146" s="222"/>
      <c r="AA146" s="222"/>
      <c r="AB146" s="224"/>
    </row>
    <row r="147" spans="1:28" ht="13.5" customHeight="1">
      <c r="A147" s="222"/>
      <c r="B147" s="222"/>
      <c r="C147" s="222"/>
      <c r="D147" s="222"/>
      <c r="E147" s="222"/>
      <c r="F147" s="222"/>
      <c r="G147" s="222"/>
      <c r="H147" s="222"/>
      <c r="I147" s="222"/>
      <c r="J147" s="222"/>
      <c r="K147" s="222"/>
      <c r="L147" s="222"/>
      <c r="M147" s="222"/>
      <c r="N147" s="222"/>
      <c r="O147" s="222"/>
      <c r="P147" s="222"/>
      <c r="Q147" s="223"/>
      <c r="R147" s="222"/>
      <c r="S147" s="222"/>
      <c r="T147" s="222"/>
      <c r="U147" s="222"/>
      <c r="V147" s="222"/>
      <c r="W147" s="223"/>
      <c r="X147" s="223"/>
      <c r="Y147" s="222"/>
      <c r="Z147" s="222"/>
      <c r="AA147" s="222"/>
      <c r="AB147" s="224"/>
    </row>
    <row r="148" spans="1:28" ht="13.5" customHeight="1">
      <c r="A148" s="222"/>
      <c r="B148" s="222"/>
      <c r="C148" s="222"/>
      <c r="D148" s="222"/>
      <c r="E148" s="222"/>
      <c r="F148" s="222"/>
      <c r="G148" s="222"/>
      <c r="H148" s="222"/>
      <c r="I148" s="222"/>
      <c r="J148" s="222"/>
      <c r="K148" s="222"/>
      <c r="L148" s="222"/>
      <c r="M148" s="222"/>
      <c r="N148" s="222"/>
      <c r="O148" s="222"/>
      <c r="P148" s="222"/>
      <c r="Q148" s="223"/>
      <c r="R148" s="222"/>
      <c r="S148" s="222"/>
      <c r="T148" s="222"/>
      <c r="U148" s="222"/>
      <c r="V148" s="222"/>
      <c r="W148" s="223"/>
      <c r="X148" s="223"/>
      <c r="Y148" s="222"/>
      <c r="Z148" s="222"/>
      <c r="AA148" s="222"/>
      <c r="AB148" s="224"/>
    </row>
    <row r="149" spans="1:28" ht="13.5" customHeight="1">
      <c r="A149" s="222"/>
      <c r="B149" s="222"/>
      <c r="C149" s="222"/>
      <c r="D149" s="222"/>
      <c r="E149" s="222"/>
      <c r="F149" s="222"/>
      <c r="G149" s="222"/>
      <c r="H149" s="222"/>
      <c r="I149" s="222"/>
      <c r="J149" s="222"/>
      <c r="K149" s="222"/>
      <c r="L149" s="222"/>
      <c r="M149" s="222"/>
      <c r="N149" s="222"/>
      <c r="O149" s="222"/>
      <c r="P149" s="222"/>
      <c r="Q149" s="223"/>
      <c r="R149" s="222"/>
      <c r="S149" s="222"/>
      <c r="T149" s="222"/>
      <c r="U149" s="222"/>
      <c r="V149" s="222"/>
      <c r="W149" s="223"/>
      <c r="X149" s="223"/>
      <c r="Y149" s="222"/>
      <c r="Z149" s="222"/>
      <c r="AA149" s="222"/>
      <c r="AB149" s="224"/>
    </row>
    <row r="150" spans="1:28" ht="13.5" customHeight="1">
      <c r="A150" s="222"/>
      <c r="B150" s="222"/>
      <c r="C150" s="222"/>
      <c r="D150" s="222"/>
      <c r="E150" s="222"/>
      <c r="F150" s="222"/>
      <c r="G150" s="222"/>
      <c r="H150" s="222"/>
      <c r="I150" s="222"/>
      <c r="J150" s="222"/>
      <c r="K150" s="222"/>
      <c r="L150" s="222"/>
      <c r="M150" s="222"/>
      <c r="N150" s="222"/>
      <c r="O150" s="222"/>
      <c r="P150" s="222"/>
      <c r="Q150" s="223"/>
      <c r="R150" s="222"/>
      <c r="S150" s="222"/>
      <c r="T150" s="222"/>
      <c r="U150" s="222"/>
      <c r="V150" s="222"/>
      <c r="W150" s="223"/>
      <c r="X150" s="223"/>
      <c r="Y150" s="222"/>
      <c r="Z150" s="222"/>
      <c r="AA150" s="222"/>
      <c r="AB150" s="224"/>
    </row>
    <row r="151" spans="1:28" ht="13.5" customHeight="1">
      <c r="A151" s="222"/>
      <c r="B151" s="222"/>
      <c r="C151" s="222"/>
      <c r="D151" s="222"/>
      <c r="E151" s="222"/>
      <c r="F151" s="222"/>
      <c r="G151" s="222"/>
      <c r="H151" s="222"/>
      <c r="I151" s="222"/>
      <c r="J151" s="222"/>
      <c r="K151" s="222"/>
      <c r="L151" s="222"/>
      <c r="M151" s="222"/>
      <c r="N151" s="222"/>
      <c r="O151" s="222"/>
      <c r="P151" s="222"/>
      <c r="Q151" s="223"/>
      <c r="R151" s="222"/>
      <c r="S151" s="222"/>
      <c r="T151" s="222"/>
      <c r="U151" s="222"/>
      <c r="V151" s="222"/>
      <c r="W151" s="223"/>
      <c r="X151" s="223"/>
      <c r="Y151" s="222"/>
      <c r="Z151" s="222"/>
      <c r="AA151" s="222"/>
      <c r="AB151" s="224"/>
    </row>
    <row r="152" spans="1:28" ht="13.5" customHeight="1">
      <c r="A152" s="222"/>
      <c r="B152" s="222"/>
      <c r="C152" s="222"/>
      <c r="D152" s="222"/>
      <c r="E152" s="222"/>
      <c r="F152" s="222"/>
      <c r="G152" s="222"/>
      <c r="H152" s="222"/>
      <c r="I152" s="222"/>
      <c r="J152" s="222"/>
      <c r="K152" s="222"/>
      <c r="L152" s="222"/>
      <c r="M152" s="222"/>
      <c r="N152" s="222"/>
      <c r="O152" s="222"/>
      <c r="P152" s="222"/>
      <c r="Q152" s="223"/>
      <c r="R152" s="222"/>
      <c r="S152" s="222"/>
      <c r="T152" s="222"/>
      <c r="U152" s="222"/>
      <c r="V152" s="222"/>
      <c r="W152" s="223"/>
      <c r="X152" s="223"/>
      <c r="Y152" s="222"/>
      <c r="Z152" s="222"/>
      <c r="AA152" s="222"/>
      <c r="AB152" s="224"/>
    </row>
    <row r="153" spans="1:28" ht="13.5" customHeight="1">
      <c r="A153" s="222"/>
      <c r="B153" s="222"/>
      <c r="C153" s="222"/>
      <c r="D153" s="222"/>
      <c r="E153" s="222"/>
      <c r="F153" s="222"/>
      <c r="G153" s="222"/>
      <c r="H153" s="222"/>
      <c r="I153" s="222"/>
      <c r="J153" s="222"/>
      <c r="K153" s="222"/>
      <c r="L153" s="222"/>
      <c r="M153" s="222"/>
      <c r="N153" s="222"/>
      <c r="O153" s="222"/>
      <c r="P153" s="222"/>
      <c r="Q153" s="223"/>
      <c r="R153" s="222"/>
      <c r="S153" s="222"/>
      <c r="T153" s="222"/>
      <c r="U153" s="222"/>
      <c r="V153" s="222"/>
      <c r="W153" s="223"/>
      <c r="X153" s="223"/>
      <c r="Y153" s="222"/>
      <c r="Z153" s="222"/>
      <c r="AA153" s="222"/>
      <c r="AB153" s="224"/>
    </row>
    <row r="154" spans="1:28" ht="13.5" customHeight="1">
      <c r="A154" s="222"/>
      <c r="B154" s="222"/>
      <c r="C154" s="222"/>
      <c r="D154" s="222"/>
      <c r="E154" s="222"/>
      <c r="F154" s="222"/>
      <c r="G154" s="222"/>
      <c r="H154" s="222"/>
      <c r="I154" s="222"/>
      <c r="J154" s="222"/>
      <c r="K154" s="222"/>
      <c r="L154" s="222"/>
      <c r="M154" s="222"/>
      <c r="N154" s="222"/>
      <c r="O154" s="222"/>
      <c r="P154" s="222"/>
      <c r="Q154" s="223"/>
      <c r="R154" s="222"/>
      <c r="S154" s="222"/>
      <c r="T154" s="222"/>
      <c r="U154" s="222"/>
      <c r="V154" s="222"/>
      <c r="W154" s="223"/>
      <c r="X154" s="223"/>
      <c r="Y154" s="222"/>
      <c r="Z154" s="222"/>
      <c r="AA154" s="222"/>
      <c r="AB154" s="224"/>
    </row>
    <row r="155" spans="1:28" ht="13.5" customHeight="1">
      <c r="A155" s="222"/>
      <c r="B155" s="222"/>
      <c r="C155" s="222"/>
      <c r="D155" s="222"/>
      <c r="E155" s="222"/>
      <c r="F155" s="222"/>
      <c r="G155" s="222"/>
      <c r="H155" s="222"/>
      <c r="I155" s="222"/>
      <c r="J155" s="222"/>
      <c r="K155" s="222"/>
      <c r="L155" s="222"/>
      <c r="M155" s="222"/>
      <c r="N155" s="222"/>
      <c r="O155" s="222"/>
      <c r="P155" s="222"/>
      <c r="Q155" s="223"/>
      <c r="R155" s="222"/>
      <c r="S155" s="222"/>
      <c r="T155" s="222"/>
      <c r="U155" s="222"/>
      <c r="V155" s="222"/>
      <c r="W155" s="223"/>
      <c r="X155" s="223"/>
      <c r="Y155" s="222"/>
      <c r="Z155" s="222"/>
      <c r="AA155" s="222"/>
      <c r="AB155" s="224"/>
    </row>
    <row r="156" spans="1:28" ht="13.5" customHeight="1">
      <c r="A156" s="222"/>
      <c r="B156" s="222"/>
      <c r="C156" s="222"/>
      <c r="D156" s="222"/>
      <c r="E156" s="222"/>
      <c r="F156" s="222"/>
      <c r="G156" s="222"/>
      <c r="H156" s="222"/>
      <c r="I156" s="222"/>
      <c r="J156" s="222"/>
      <c r="K156" s="222"/>
      <c r="L156" s="222"/>
      <c r="M156" s="222"/>
      <c r="N156" s="222"/>
      <c r="O156" s="222"/>
      <c r="P156" s="222"/>
      <c r="Q156" s="223"/>
      <c r="R156" s="222"/>
      <c r="S156" s="222"/>
      <c r="T156" s="222"/>
      <c r="U156" s="222"/>
      <c r="V156" s="222"/>
      <c r="W156" s="223"/>
      <c r="X156" s="223"/>
      <c r="Y156" s="222"/>
      <c r="Z156" s="222"/>
      <c r="AA156" s="222"/>
      <c r="AB156" s="224"/>
    </row>
    <row r="157" spans="1:28" ht="13.5" customHeight="1">
      <c r="A157" s="222"/>
      <c r="B157" s="222"/>
      <c r="C157" s="222"/>
      <c r="D157" s="222"/>
      <c r="E157" s="222"/>
      <c r="F157" s="222"/>
      <c r="G157" s="222"/>
      <c r="H157" s="222"/>
      <c r="I157" s="222"/>
      <c r="J157" s="222"/>
      <c r="K157" s="222"/>
      <c r="L157" s="222"/>
      <c r="M157" s="222"/>
      <c r="N157" s="222"/>
      <c r="O157" s="222"/>
      <c r="P157" s="222"/>
      <c r="Q157" s="223"/>
      <c r="R157" s="222"/>
      <c r="S157" s="222"/>
      <c r="T157" s="222"/>
      <c r="U157" s="222"/>
      <c r="V157" s="222"/>
      <c r="W157" s="223"/>
      <c r="X157" s="223"/>
      <c r="Y157" s="222"/>
      <c r="Z157" s="222"/>
      <c r="AA157" s="222"/>
      <c r="AB157" s="224"/>
    </row>
    <row r="158" spans="1:28" ht="13.5" customHeight="1">
      <c r="A158" s="222"/>
      <c r="B158" s="222"/>
      <c r="C158" s="222"/>
      <c r="D158" s="222"/>
      <c r="E158" s="222"/>
      <c r="F158" s="222"/>
      <c r="G158" s="222"/>
      <c r="H158" s="222"/>
      <c r="I158" s="222"/>
      <c r="J158" s="222"/>
      <c r="K158" s="222"/>
      <c r="L158" s="222"/>
      <c r="M158" s="222"/>
      <c r="N158" s="222"/>
      <c r="O158" s="222"/>
      <c r="P158" s="222"/>
      <c r="Q158" s="223"/>
      <c r="R158" s="222"/>
      <c r="S158" s="222"/>
      <c r="T158" s="222"/>
      <c r="U158" s="222"/>
      <c r="V158" s="222"/>
      <c r="W158" s="223"/>
      <c r="X158" s="223"/>
      <c r="Y158" s="222"/>
      <c r="Z158" s="222"/>
      <c r="AA158" s="222"/>
      <c r="AB158" s="224"/>
    </row>
    <row r="159" spans="1:28" ht="13.5" customHeight="1">
      <c r="A159" s="222"/>
      <c r="B159" s="222"/>
      <c r="C159" s="222"/>
      <c r="D159" s="222"/>
      <c r="E159" s="222"/>
      <c r="F159" s="222"/>
      <c r="G159" s="222"/>
      <c r="H159" s="222"/>
      <c r="I159" s="222"/>
      <c r="J159" s="222"/>
      <c r="K159" s="222"/>
      <c r="L159" s="222"/>
      <c r="M159" s="222"/>
      <c r="N159" s="222"/>
      <c r="O159" s="222"/>
      <c r="P159" s="222"/>
      <c r="Q159" s="223"/>
      <c r="R159" s="222"/>
      <c r="S159" s="222"/>
      <c r="T159" s="222"/>
      <c r="U159" s="222"/>
      <c r="V159" s="222"/>
      <c r="W159" s="223"/>
      <c r="X159" s="223"/>
      <c r="Y159" s="222"/>
      <c r="Z159" s="222"/>
      <c r="AA159" s="222"/>
      <c r="AB159" s="224"/>
    </row>
    <row r="160" spans="1:28" ht="13.5" customHeight="1">
      <c r="A160" s="222"/>
      <c r="B160" s="222"/>
      <c r="C160" s="222"/>
      <c r="D160" s="222"/>
      <c r="E160" s="222"/>
      <c r="F160" s="222"/>
      <c r="G160" s="222"/>
      <c r="H160" s="222"/>
      <c r="I160" s="222"/>
      <c r="J160" s="222"/>
      <c r="K160" s="222"/>
      <c r="L160" s="222"/>
      <c r="M160" s="222"/>
      <c r="N160" s="222"/>
      <c r="O160" s="222"/>
      <c r="P160" s="222"/>
      <c r="Q160" s="223"/>
      <c r="R160" s="222"/>
      <c r="S160" s="222"/>
      <c r="T160" s="222"/>
      <c r="U160" s="222"/>
      <c r="V160" s="222"/>
      <c r="W160" s="223"/>
      <c r="X160" s="223"/>
      <c r="Y160" s="222"/>
      <c r="Z160" s="222"/>
      <c r="AA160" s="222"/>
      <c r="AB160" s="224"/>
    </row>
    <row r="161" spans="1:28" ht="13.5" customHeight="1">
      <c r="A161" s="222"/>
      <c r="B161" s="222"/>
      <c r="C161" s="222"/>
      <c r="D161" s="222"/>
      <c r="E161" s="222"/>
      <c r="F161" s="222"/>
      <c r="G161" s="222"/>
      <c r="H161" s="222"/>
      <c r="I161" s="222"/>
      <c r="J161" s="222"/>
      <c r="K161" s="222"/>
      <c r="L161" s="222"/>
      <c r="M161" s="222"/>
      <c r="N161" s="222"/>
      <c r="O161" s="222"/>
      <c r="P161" s="222"/>
      <c r="Q161" s="223"/>
      <c r="R161" s="222"/>
      <c r="S161" s="222"/>
      <c r="T161" s="222"/>
      <c r="U161" s="222"/>
      <c r="V161" s="222"/>
      <c r="W161" s="223"/>
      <c r="X161" s="223"/>
      <c r="Y161" s="222"/>
      <c r="Z161" s="222"/>
      <c r="AA161" s="222"/>
      <c r="AB161" s="224"/>
    </row>
    <row r="162" spans="1:28" ht="13.5" customHeight="1">
      <c r="A162" s="222"/>
      <c r="B162" s="222"/>
      <c r="C162" s="222"/>
      <c r="D162" s="222"/>
      <c r="E162" s="222"/>
      <c r="F162" s="222"/>
      <c r="G162" s="222"/>
      <c r="H162" s="222"/>
      <c r="I162" s="222"/>
      <c r="J162" s="222"/>
      <c r="K162" s="222"/>
      <c r="L162" s="222"/>
      <c r="M162" s="222"/>
      <c r="N162" s="222"/>
      <c r="O162" s="222"/>
      <c r="P162" s="222"/>
      <c r="Q162" s="223"/>
      <c r="R162" s="222"/>
      <c r="S162" s="222"/>
      <c r="T162" s="222"/>
      <c r="U162" s="222"/>
      <c r="V162" s="222"/>
      <c r="W162" s="223"/>
      <c r="X162" s="223"/>
      <c r="Y162" s="222"/>
      <c r="Z162" s="222"/>
      <c r="AA162" s="222"/>
      <c r="AB162" s="224"/>
    </row>
    <row r="163" spans="1:28" ht="13.5" customHeight="1">
      <c r="A163" s="222"/>
      <c r="B163" s="222"/>
      <c r="C163" s="222"/>
      <c r="D163" s="222"/>
      <c r="E163" s="222"/>
      <c r="F163" s="222"/>
      <c r="G163" s="222"/>
      <c r="H163" s="222"/>
      <c r="I163" s="222"/>
      <c r="J163" s="222"/>
      <c r="K163" s="222"/>
      <c r="L163" s="222"/>
      <c r="M163" s="222"/>
      <c r="N163" s="222"/>
      <c r="O163" s="222"/>
      <c r="P163" s="222"/>
      <c r="Q163" s="223"/>
      <c r="R163" s="222"/>
      <c r="S163" s="222"/>
      <c r="T163" s="222"/>
      <c r="U163" s="222"/>
      <c r="V163" s="222"/>
      <c r="W163" s="223"/>
      <c r="X163" s="223"/>
      <c r="Y163" s="222"/>
      <c r="Z163" s="222"/>
      <c r="AA163" s="222"/>
      <c r="AB163" s="224"/>
    </row>
    <row r="164" spans="1:28" ht="13.5" customHeight="1">
      <c r="A164" s="222"/>
      <c r="B164" s="222"/>
      <c r="C164" s="222"/>
      <c r="D164" s="222"/>
      <c r="E164" s="222"/>
      <c r="F164" s="222"/>
      <c r="G164" s="222"/>
      <c r="H164" s="222"/>
      <c r="I164" s="222"/>
      <c r="J164" s="222"/>
      <c r="K164" s="222"/>
      <c r="L164" s="222"/>
      <c r="M164" s="222"/>
      <c r="N164" s="222"/>
      <c r="O164" s="222"/>
      <c r="P164" s="222"/>
      <c r="Q164" s="223"/>
      <c r="R164" s="222"/>
      <c r="S164" s="222"/>
      <c r="T164" s="222"/>
      <c r="U164" s="222"/>
      <c r="V164" s="222"/>
      <c r="W164" s="223"/>
      <c r="X164" s="223"/>
      <c r="Y164" s="222"/>
      <c r="Z164" s="222"/>
      <c r="AA164" s="222"/>
      <c r="AB164" s="224"/>
    </row>
    <row r="165" spans="1:28" ht="13.5" customHeight="1">
      <c r="A165" s="222"/>
      <c r="B165" s="222"/>
      <c r="C165" s="222"/>
      <c r="D165" s="222"/>
      <c r="E165" s="222"/>
      <c r="F165" s="222"/>
      <c r="G165" s="222"/>
      <c r="H165" s="222"/>
      <c r="I165" s="222"/>
      <c r="J165" s="222"/>
      <c r="K165" s="222"/>
      <c r="L165" s="222"/>
      <c r="M165" s="222"/>
      <c r="N165" s="222"/>
      <c r="O165" s="222"/>
      <c r="P165" s="222"/>
      <c r="Q165" s="223"/>
      <c r="R165" s="222"/>
      <c r="S165" s="222"/>
      <c r="T165" s="222"/>
      <c r="U165" s="222"/>
      <c r="V165" s="222"/>
      <c r="W165" s="223"/>
      <c r="X165" s="223"/>
      <c r="Y165" s="222"/>
      <c r="Z165" s="222"/>
      <c r="AA165" s="222"/>
      <c r="AB165" s="224"/>
    </row>
    <row r="166" spans="1:28" ht="13.5" customHeight="1">
      <c r="A166" s="222"/>
      <c r="B166" s="222"/>
      <c r="C166" s="222"/>
      <c r="D166" s="222"/>
      <c r="E166" s="222"/>
      <c r="F166" s="222"/>
      <c r="G166" s="222"/>
      <c r="H166" s="222"/>
      <c r="I166" s="222"/>
      <c r="J166" s="222"/>
      <c r="K166" s="222"/>
      <c r="L166" s="222"/>
      <c r="M166" s="222"/>
      <c r="N166" s="222"/>
      <c r="O166" s="222"/>
      <c r="P166" s="222"/>
      <c r="Q166" s="223"/>
      <c r="R166" s="222"/>
      <c r="S166" s="222"/>
      <c r="T166" s="222"/>
      <c r="U166" s="222"/>
      <c r="V166" s="222"/>
      <c r="W166" s="223"/>
      <c r="X166" s="223"/>
      <c r="Y166" s="222"/>
      <c r="Z166" s="222"/>
      <c r="AA166" s="222"/>
      <c r="AB166" s="224"/>
    </row>
    <row r="167" spans="1:28" ht="13.5" customHeight="1">
      <c r="A167" s="222"/>
      <c r="B167" s="222"/>
      <c r="C167" s="222"/>
      <c r="D167" s="222"/>
      <c r="E167" s="222"/>
      <c r="F167" s="222"/>
      <c r="G167" s="222"/>
      <c r="H167" s="222"/>
      <c r="I167" s="222"/>
      <c r="J167" s="222"/>
      <c r="K167" s="222"/>
      <c r="L167" s="222"/>
      <c r="M167" s="222"/>
      <c r="N167" s="222"/>
      <c r="O167" s="222"/>
      <c r="P167" s="222"/>
      <c r="Q167" s="223"/>
      <c r="R167" s="222"/>
      <c r="S167" s="222"/>
      <c r="T167" s="222"/>
      <c r="U167" s="222"/>
      <c r="V167" s="222"/>
      <c r="W167" s="223"/>
      <c r="X167" s="223"/>
      <c r="Y167" s="222"/>
      <c r="Z167" s="222"/>
      <c r="AA167" s="222"/>
      <c r="AB167" s="224"/>
    </row>
    <row r="168" spans="1:28" ht="13.5" customHeight="1">
      <c r="A168" s="222"/>
      <c r="B168" s="222"/>
      <c r="C168" s="222"/>
      <c r="D168" s="222"/>
      <c r="E168" s="222"/>
      <c r="F168" s="222"/>
      <c r="G168" s="222"/>
      <c r="H168" s="222"/>
      <c r="I168" s="222"/>
      <c r="J168" s="222"/>
      <c r="K168" s="222"/>
      <c r="L168" s="222"/>
      <c r="M168" s="222"/>
      <c r="N168" s="222"/>
      <c r="O168" s="222"/>
      <c r="P168" s="222"/>
      <c r="Q168" s="223"/>
      <c r="R168" s="222"/>
      <c r="S168" s="222"/>
      <c r="T168" s="222"/>
      <c r="U168" s="222"/>
      <c r="V168" s="222"/>
      <c r="W168" s="223"/>
      <c r="X168" s="223"/>
      <c r="Y168" s="222"/>
      <c r="Z168" s="222"/>
      <c r="AA168" s="222"/>
      <c r="AB168" s="224"/>
    </row>
    <row r="169" spans="1:28" ht="13.5" customHeight="1">
      <c r="A169" s="222"/>
      <c r="B169" s="222"/>
      <c r="C169" s="222"/>
      <c r="D169" s="222"/>
      <c r="E169" s="222"/>
      <c r="F169" s="222"/>
      <c r="G169" s="222"/>
      <c r="H169" s="222"/>
      <c r="I169" s="222"/>
      <c r="J169" s="222"/>
      <c r="K169" s="222"/>
      <c r="L169" s="222"/>
      <c r="M169" s="222"/>
      <c r="N169" s="222"/>
      <c r="O169" s="222"/>
      <c r="P169" s="222"/>
      <c r="Q169" s="223"/>
      <c r="R169" s="222"/>
      <c r="S169" s="222"/>
      <c r="T169" s="222"/>
      <c r="U169" s="222"/>
      <c r="V169" s="222"/>
      <c r="W169" s="223"/>
      <c r="X169" s="223"/>
      <c r="Y169" s="222"/>
      <c r="Z169" s="222"/>
      <c r="AA169" s="222"/>
      <c r="AB169" s="224"/>
    </row>
    <row r="170" spans="1:28" ht="13.5" customHeight="1">
      <c r="A170" s="222"/>
      <c r="B170" s="222"/>
      <c r="C170" s="222"/>
      <c r="D170" s="222"/>
      <c r="E170" s="222"/>
      <c r="F170" s="222"/>
      <c r="G170" s="222"/>
      <c r="H170" s="222"/>
      <c r="I170" s="222"/>
      <c r="J170" s="222"/>
      <c r="K170" s="222"/>
      <c r="L170" s="222"/>
      <c r="M170" s="222"/>
      <c r="N170" s="222"/>
      <c r="O170" s="222"/>
      <c r="P170" s="222"/>
      <c r="Q170" s="223"/>
      <c r="R170" s="222"/>
      <c r="S170" s="222"/>
      <c r="T170" s="222"/>
      <c r="U170" s="222"/>
      <c r="V170" s="222"/>
      <c r="W170" s="223"/>
      <c r="X170" s="223"/>
      <c r="Y170" s="222"/>
      <c r="Z170" s="222"/>
      <c r="AA170" s="222"/>
      <c r="AB170" s="224"/>
    </row>
    <row r="171" spans="1:28" ht="13.5" customHeight="1">
      <c r="A171" s="222"/>
      <c r="B171" s="222"/>
      <c r="C171" s="222"/>
      <c r="D171" s="222"/>
      <c r="E171" s="222"/>
      <c r="F171" s="222"/>
      <c r="G171" s="222"/>
      <c r="H171" s="222"/>
      <c r="I171" s="222"/>
      <c r="J171" s="222"/>
      <c r="K171" s="222"/>
      <c r="L171" s="222"/>
      <c r="M171" s="222"/>
      <c r="N171" s="222"/>
      <c r="O171" s="222"/>
      <c r="P171" s="222"/>
      <c r="Q171" s="223"/>
      <c r="R171" s="222"/>
      <c r="S171" s="222"/>
      <c r="T171" s="222"/>
      <c r="U171" s="222"/>
      <c r="V171" s="222"/>
      <c r="W171" s="223"/>
      <c r="X171" s="223"/>
      <c r="Y171" s="222"/>
      <c r="Z171" s="222"/>
      <c r="AA171" s="222"/>
      <c r="AB171" s="224"/>
    </row>
    <row r="172" spans="1:28" ht="13.5" customHeight="1">
      <c r="A172" s="222"/>
      <c r="B172" s="222"/>
      <c r="C172" s="222"/>
      <c r="D172" s="222"/>
      <c r="E172" s="222"/>
      <c r="F172" s="222"/>
      <c r="G172" s="222"/>
      <c r="H172" s="222"/>
      <c r="I172" s="222"/>
      <c r="J172" s="222"/>
      <c r="K172" s="222"/>
      <c r="L172" s="222"/>
      <c r="M172" s="222"/>
      <c r="N172" s="222"/>
      <c r="O172" s="222"/>
      <c r="P172" s="222"/>
      <c r="Q172" s="223"/>
      <c r="R172" s="222"/>
      <c r="S172" s="222"/>
      <c r="T172" s="222"/>
      <c r="U172" s="222"/>
      <c r="V172" s="222"/>
      <c r="W172" s="223"/>
      <c r="X172" s="223"/>
      <c r="Y172" s="222"/>
      <c r="Z172" s="222"/>
      <c r="AA172" s="222"/>
      <c r="AB172" s="224"/>
    </row>
    <row r="173" spans="1:28" ht="13.5" customHeight="1">
      <c r="A173" s="222"/>
      <c r="B173" s="222"/>
      <c r="C173" s="222"/>
      <c r="D173" s="222"/>
      <c r="E173" s="222"/>
      <c r="F173" s="222"/>
      <c r="G173" s="222"/>
      <c r="H173" s="222"/>
      <c r="I173" s="222"/>
      <c r="J173" s="222"/>
      <c r="K173" s="222"/>
      <c r="L173" s="222"/>
      <c r="M173" s="222"/>
      <c r="N173" s="222"/>
      <c r="O173" s="222"/>
      <c r="P173" s="222"/>
      <c r="Q173" s="223"/>
      <c r="R173" s="222"/>
      <c r="S173" s="222"/>
      <c r="T173" s="222"/>
      <c r="U173" s="222"/>
      <c r="V173" s="222"/>
      <c r="W173" s="223"/>
      <c r="X173" s="223"/>
      <c r="Y173" s="222"/>
      <c r="Z173" s="222"/>
      <c r="AA173" s="222"/>
      <c r="AB173" s="224"/>
    </row>
    <row r="174" spans="1:28" ht="13.5" customHeight="1">
      <c r="A174" s="222"/>
      <c r="B174" s="222"/>
      <c r="C174" s="222"/>
      <c r="D174" s="222"/>
      <c r="E174" s="222"/>
      <c r="F174" s="222"/>
      <c r="G174" s="222"/>
      <c r="H174" s="222"/>
      <c r="I174" s="222"/>
      <c r="J174" s="222"/>
      <c r="K174" s="222"/>
      <c r="L174" s="222"/>
      <c r="M174" s="222"/>
      <c r="N174" s="222"/>
      <c r="O174" s="222"/>
      <c r="P174" s="222"/>
      <c r="Q174" s="223"/>
      <c r="R174" s="222"/>
      <c r="S174" s="222"/>
      <c r="T174" s="222"/>
      <c r="U174" s="222"/>
      <c r="V174" s="222"/>
      <c r="W174" s="223"/>
      <c r="X174" s="223"/>
      <c r="Y174" s="222"/>
      <c r="Z174" s="222"/>
      <c r="AA174" s="222"/>
      <c r="AB174" s="224"/>
    </row>
    <row r="175" spans="1:28" ht="13.5" customHeight="1">
      <c r="A175" s="222"/>
      <c r="B175" s="222"/>
      <c r="C175" s="222"/>
      <c r="D175" s="222"/>
      <c r="E175" s="222"/>
      <c r="F175" s="222"/>
      <c r="G175" s="222"/>
      <c r="H175" s="222"/>
      <c r="I175" s="222"/>
      <c r="J175" s="222"/>
      <c r="K175" s="222"/>
      <c r="L175" s="222"/>
      <c r="M175" s="222"/>
      <c r="N175" s="222"/>
      <c r="O175" s="222"/>
      <c r="P175" s="222"/>
      <c r="Q175" s="223"/>
      <c r="R175" s="222"/>
      <c r="S175" s="222"/>
      <c r="T175" s="222"/>
      <c r="U175" s="222"/>
      <c r="V175" s="222"/>
      <c r="W175" s="223"/>
      <c r="X175" s="223"/>
      <c r="Y175" s="222"/>
      <c r="Z175" s="222"/>
      <c r="AA175" s="222"/>
      <c r="AB175" s="224"/>
    </row>
    <row r="176" spans="1:28" ht="13.5" customHeight="1">
      <c r="A176" s="222"/>
      <c r="B176" s="222"/>
      <c r="C176" s="222"/>
      <c r="D176" s="222"/>
      <c r="E176" s="222"/>
      <c r="F176" s="222"/>
      <c r="G176" s="222"/>
      <c r="H176" s="222"/>
      <c r="I176" s="222"/>
      <c r="J176" s="222"/>
      <c r="K176" s="222"/>
      <c r="L176" s="222"/>
      <c r="M176" s="222"/>
      <c r="N176" s="222"/>
      <c r="O176" s="222"/>
      <c r="P176" s="222"/>
      <c r="Q176" s="223"/>
      <c r="R176" s="222"/>
      <c r="S176" s="222"/>
      <c r="T176" s="222"/>
      <c r="U176" s="222"/>
      <c r="V176" s="222"/>
      <c r="W176" s="223"/>
      <c r="X176" s="223"/>
      <c r="Y176" s="222"/>
      <c r="Z176" s="222"/>
      <c r="AA176" s="222"/>
      <c r="AB176" s="224"/>
    </row>
    <row r="177" spans="1:28" ht="13.5" customHeight="1">
      <c r="A177" s="222"/>
      <c r="B177" s="222"/>
      <c r="C177" s="222"/>
      <c r="D177" s="222"/>
      <c r="E177" s="222"/>
      <c r="F177" s="222"/>
      <c r="G177" s="222"/>
      <c r="H177" s="222"/>
      <c r="I177" s="222"/>
      <c r="J177" s="222"/>
      <c r="K177" s="222"/>
      <c r="L177" s="222"/>
      <c r="M177" s="222"/>
      <c r="N177" s="222"/>
      <c r="O177" s="222"/>
      <c r="P177" s="222"/>
      <c r="Q177" s="223"/>
      <c r="R177" s="222"/>
      <c r="S177" s="222"/>
      <c r="T177" s="222"/>
      <c r="U177" s="222"/>
      <c r="V177" s="222"/>
      <c r="W177" s="223"/>
      <c r="X177" s="223"/>
      <c r="Y177" s="222"/>
      <c r="Z177" s="222"/>
      <c r="AA177" s="222"/>
      <c r="AB177" s="224"/>
    </row>
    <row r="178" spans="1:28" ht="13.5" customHeight="1">
      <c r="A178" s="222"/>
      <c r="B178" s="222"/>
      <c r="C178" s="222"/>
      <c r="D178" s="222"/>
      <c r="E178" s="222"/>
      <c r="F178" s="222"/>
      <c r="G178" s="222"/>
      <c r="H178" s="222"/>
      <c r="I178" s="222"/>
      <c r="J178" s="222"/>
      <c r="K178" s="222"/>
      <c r="L178" s="222"/>
      <c r="M178" s="222"/>
      <c r="N178" s="222"/>
      <c r="O178" s="222"/>
      <c r="P178" s="222"/>
      <c r="Q178" s="223"/>
      <c r="R178" s="222"/>
      <c r="S178" s="222"/>
      <c r="T178" s="222"/>
      <c r="U178" s="222"/>
      <c r="V178" s="222"/>
      <c r="W178" s="223"/>
      <c r="X178" s="223"/>
      <c r="Y178" s="222"/>
      <c r="Z178" s="222"/>
      <c r="AA178" s="222"/>
      <c r="AB178" s="224"/>
    </row>
    <row r="179" spans="1:28" ht="13.5" customHeight="1">
      <c r="A179" s="222"/>
      <c r="B179" s="222"/>
      <c r="C179" s="222"/>
      <c r="D179" s="222"/>
      <c r="E179" s="222"/>
      <c r="F179" s="222"/>
      <c r="G179" s="222"/>
      <c r="H179" s="222"/>
      <c r="I179" s="222"/>
      <c r="J179" s="222"/>
      <c r="K179" s="222"/>
      <c r="L179" s="222"/>
      <c r="M179" s="222"/>
      <c r="N179" s="222"/>
      <c r="O179" s="222"/>
      <c r="P179" s="222"/>
      <c r="Q179" s="223"/>
      <c r="R179" s="222"/>
      <c r="S179" s="222"/>
      <c r="T179" s="222"/>
      <c r="U179" s="222"/>
      <c r="V179" s="222"/>
      <c r="W179" s="223"/>
      <c r="X179" s="223"/>
      <c r="Y179" s="222"/>
      <c r="Z179" s="222"/>
      <c r="AA179" s="222"/>
      <c r="AB179" s="224"/>
    </row>
    <row r="180" spans="1:28" ht="13.5" customHeight="1">
      <c r="A180" s="222"/>
      <c r="B180" s="222"/>
      <c r="C180" s="222"/>
      <c r="D180" s="222"/>
      <c r="E180" s="222"/>
      <c r="F180" s="222"/>
      <c r="G180" s="222"/>
      <c r="H180" s="222"/>
      <c r="I180" s="222"/>
      <c r="J180" s="222"/>
      <c r="K180" s="222"/>
      <c r="L180" s="222"/>
      <c r="M180" s="222"/>
      <c r="N180" s="222"/>
      <c r="O180" s="222"/>
      <c r="P180" s="222"/>
      <c r="Q180" s="223"/>
      <c r="R180" s="222"/>
      <c r="S180" s="222"/>
      <c r="T180" s="222"/>
      <c r="U180" s="222"/>
      <c r="V180" s="222"/>
      <c r="W180" s="223"/>
      <c r="X180" s="223"/>
      <c r="Y180" s="222"/>
      <c r="Z180" s="222"/>
      <c r="AA180" s="222"/>
      <c r="AB180" s="224"/>
    </row>
    <row r="181" spans="1:28" ht="13.5" customHeight="1">
      <c r="A181" s="222"/>
      <c r="B181" s="222"/>
      <c r="C181" s="222"/>
      <c r="D181" s="222"/>
      <c r="E181" s="222"/>
      <c r="F181" s="222"/>
      <c r="G181" s="222"/>
      <c r="H181" s="222"/>
      <c r="I181" s="222"/>
      <c r="J181" s="222"/>
      <c r="K181" s="222"/>
      <c r="L181" s="222"/>
      <c r="M181" s="222"/>
      <c r="N181" s="222"/>
      <c r="O181" s="222"/>
      <c r="P181" s="222"/>
      <c r="Q181" s="223"/>
      <c r="R181" s="222"/>
      <c r="S181" s="222"/>
      <c r="T181" s="222"/>
      <c r="U181" s="222"/>
      <c r="V181" s="222"/>
      <c r="W181" s="223"/>
      <c r="X181" s="223"/>
      <c r="Y181" s="222"/>
      <c r="Z181" s="222"/>
      <c r="AA181" s="222"/>
      <c r="AB181" s="224"/>
    </row>
    <row r="182" spans="1:28" ht="13.5" customHeight="1">
      <c r="A182" s="222"/>
      <c r="B182" s="222"/>
      <c r="C182" s="222"/>
      <c r="D182" s="222"/>
      <c r="E182" s="222"/>
      <c r="F182" s="222"/>
      <c r="G182" s="222"/>
      <c r="H182" s="222"/>
      <c r="I182" s="222"/>
      <c r="J182" s="222"/>
      <c r="K182" s="222"/>
      <c r="L182" s="222"/>
      <c r="M182" s="222"/>
      <c r="N182" s="222"/>
      <c r="O182" s="222"/>
      <c r="P182" s="222"/>
      <c r="Q182" s="223"/>
      <c r="R182" s="222"/>
      <c r="S182" s="222"/>
      <c r="T182" s="222"/>
      <c r="U182" s="222"/>
      <c r="V182" s="222"/>
      <c r="W182" s="223"/>
      <c r="X182" s="223"/>
      <c r="Y182" s="222"/>
      <c r="Z182" s="222"/>
      <c r="AA182" s="222"/>
      <c r="AB182" s="224"/>
    </row>
    <row r="183" spans="1:28" ht="13.5" customHeight="1">
      <c r="A183" s="222"/>
      <c r="B183" s="222"/>
      <c r="C183" s="222"/>
      <c r="D183" s="222"/>
      <c r="E183" s="222"/>
      <c r="F183" s="222"/>
      <c r="G183" s="222"/>
      <c r="H183" s="222"/>
      <c r="I183" s="222"/>
      <c r="J183" s="222"/>
      <c r="K183" s="222"/>
      <c r="L183" s="222"/>
      <c r="M183" s="222"/>
      <c r="N183" s="222"/>
      <c r="O183" s="222"/>
      <c r="P183" s="222"/>
      <c r="Q183" s="223"/>
      <c r="R183" s="222"/>
      <c r="S183" s="222"/>
      <c r="T183" s="222"/>
      <c r="U183" s="222"/>
      <c r="V183" s="222"/>
      <c r="W183" s="223"/>
      <c r="X183" s="223"/>
      <c r="Y183" s="222"/>
      <c r="Z183" s="222"/>
      <c r="AA183" s="222"/>
      <c r="AB183" s="224"/>
    </row>
    <row r="184" spans="1:28" ht="13.5" customHeight="1">
      <c r="A184" s="222"/>
      <c r="B184" s="222"/>
      <c r="C184" s="222"/>
      <c r="D184" s="222"/>
      <c r="E184" s="222"/>
      <c r="F184" s="222"/>
      <c r="G184" s="222"/>
      <c r="H184" s="222"/>
      <c r="I184" s="222"/>
      <c r="J184" s="222"/>
      <c r="K184" s="222"/>
      <c r="L184" s="222"/>
      <c r="M184" s="222"/>
      <c r="N184" s="222"/>
      <c r="O184" s="222"/>
      <c r="P184" s="222"/>
      <c r="Q184" s="223"/>
      <c r="R184" s="222"/>
      <c r="S184" s="222"/>
      <c r="T184" s="222"/>
      <c r="U184" s="222"/>
      <c r="V184" s="222"/>
      <c r="W184" s="223"/>
      <c r="X184" s="223"/>
      <c r="Y184" s="222"/>
      <c r="Z184" s="222"/>
      <c r="AA184" s="222"/>
      <c r="AB184" s="224"/>
    </row>
    <row r="185" spans="1:28" ht="13.5" customHeight="1">
      <c r="A185" s="222"/>
      <c r="B185" s="222"/>
      <c r="C185" s="222"/>
      <c r="D185" s="222"/>
      <c r="E185" s="222"/>
      <c r="F185" s="222"/>
      <c r="G185" s="222"/>
      <c r="H185" s="222"/>
      <c r="I185" s="222"/>
      <c r="J185" s="222"/>
      <c r="K185" s="222"/>
      <c r="L185" s="222"/>
      <c r="M185" s="222"/>
      <c r="N185" s="222"/>
      <c r="O185" s="222"/>
      <c r="P185" s="222"/>
      <c r="Q185" s="223"/>
      <c r="R185" s="222"/>
      <c r="S185" s="222"/>
      <c r="T185" s="222"/>
      <c r="U185" s="222"/>
      <c r="V185" s="222"/>
      <c r="W185" s="223"/>
      <c r="X185" s="223"/>
      <c r="Y185" s="222"/>
      <c r="Z185" s="222"/>
      <c r="AA185" s="222"/>
      <c r="AB185" s="224"/>
    </row>
    <row r="186" spans="1:28" ht="13.5" customHeight="1">
      <c r="A186" s="222"/>
      <c r="B186" s="222"/>
      <c r="C186" s="222"/>
      <c r="D186" s="222"/>
      <c r="E186" s="222"/>
      <c r="F186" s="222"/>
      <c r="G186" s="222"/>
      <c r="H186" s="222"/>
      <c r="I186" s="222"/>
      <c r="J186" s="222"/>
      <c r="K186" s="222"/>
      <c r="L186" s="222"/>
      <c r="M186" s="222"/>
      <c r="N186" s="222"/>
      <c r="O186" s="222"/>
      <c r="P186" s="222"/>
      <c r="Q186" s="223"/>
      <c r="R186" s="222"/>
      <c r="S186" s="222"/>
      <c r="T186" s="222"/>
      <c r="U186" s="222"/>
      <c r="V186" s="222"/>
      <c r="W186" s="223"/>
      <c r="X186" s="223"/>
      <c r="Y186" s="222"/>
      <c r="Z186" s="222"/>
      <c r="AA186" s="222"/>
      <c r="AB186" s="224"/>
    </row>
    <row r="187" spans="1:28" ht="13.5" customHeight="1">
      <c r="A187" s="222"/>
      <c r="B187" s="222"/>
      <c r="C187" s="222"/>
      <c r="D187" s="222"/>
      <c r="E187" s="222"/>
      <c r="F187" s="222"/>
      <c r="G187" s="222"/>
      <c r="H187" s="222"/>
      <c r="I187" s="222"/>
      <c r="J187" s="222"/>
      <c r="K187" s="222"/>
      <c r="L187" s="222"/>
      <c r="M187" s="222"/>
      <c r="N187" s="222"/>
      <c r="O187" s="222"/>
      <c r="P187" s="222"/>
      <c r="Q187" s="223"/>
      <c r="R187" s="222"/>
      <c r="S187" s="222"/>
      <c r="T187" s="222"/>
      <c r="U187" s="222"/>
      <c r="V187" s="222"/>
      <c r="W187" s="223"/>
      <c r="X187" s="223"/>
      <c r="Y187" s="222"/>
      <c r="Z187" s="222"/>
      <c r="AA187" s="222"/>
      <c r="AB187" s="224"/>
    </row>
    <row r="188" spans="1:28" ht="13.5" customHeight="1">
      <c r="A188" s="222"/>
      <c r="B188" s="222"/>
      <c r="C188" s="222"/>
      <c r="D188" s="222"/>
      <c r="E188" s="222"/>
      <c r="F188" s="222"/>
      <c r="G188" s="222"/>
      <c r="H188" s="222"/>
      <c r="I188" s="222"/>
      <c r="J188" s="222"/>
      <c r="K188" s="222"/>
      <c r="L188" s="222"/>
      <c r="M188" s="222"/>
      <c r="N188" s="222"/>
      <c r="O188" s="222"/>
      <c r="P188" s="222"/>
      <c r="Q188" s="223"/>
      <c r="R188" s="222"/>
      <c r="S188" s="222"/>
      <c r="T188" s="222"/>
      <c r="U188" s="222"/>
      <c r="V188" s="222"/>
      <c r="W188" s="223"/>
      <c r="X188" s="223"/>
      <c r="Y188" s="222"/>
      <c r="Z188" s="222"/>
      <c r="AA188" s="222"/>
      <c r="AB188" s="224"/>
    </row>
    <row r="189" spans="1:28" ht="13.5" customHeight="1">
      <c r="A189" s="222"/>
      <c r="B189" s="222"/>
      <c r="C189" s="222"/>
      <c r="D189" s="222"/>
      <c r="E189" s="222"/>
      <c r="F189" s="222"/>
      <c r="G189" s="222"/>
      <c r="H189" s="222"/>
      <c r="I189" s="222"/>
      <c r="J189" s="222"/>
      <c r="K189" s="222"/>
      <c r="L189" s="222"/>
      <c r="M189" s="222"/>
      <c r="N189" s="222"/>
      <c r="O189" s="222"/>
      <c r="P189" s="222"/>
      <c r="Q189" s="223"/>
      <c r="R189" s="222"/>
      <c r="S189" s="222"/>
      <c r="T189" s="222"/>
      <c r="U189" s="222"/>
      <c r="V189" s="222"/>
      <c r="W189" s="223"/>
      <c r="X189" s="223"/>
      <c r="Y189" s="222"/>
      <c r="Z189" s="222"/>
      <c r="AA189" s="222"/>
      <c r="AB189" s="224"/>
    </row>
    <row r="190" spans="1:28" ht="13.5" customHeight="1">
      <c r="A190" s="222"/>
      <c r="B190" s="222"/>
      <c r="C190" s="222"/>
      <c r="D190" s="222"/>
      <c r="E190" s="222"/>
      <c r="F190" s="222"/>
      <c r="G190" s="222"/>
      <c r="H190" s="222"/>
      <c r="I190" s="222"/>
      <c r="J190" s="222"/>
      <c r="K190" s="222"/>
      <c r="L190" s="222"/>
      <c r="M190" s="222"/>
      <c r="N190" s="222"/>
      <c r="O190" s="222"/>
      <c r="P190" s="222"/>
      <c r="Q190" s="223"/>
      <c r="R190" s="222"/>
      <c r="S190" s="222"/>
      <c r="T190" s="222"/>
      <c r="U190" s="222"/>
      <c r="V190" s="222"/>
      <c r="W190" s="223"/>
      <c r="X190" s="223"/>
      <c r="Y190" s="222"/>
      <c r="Z190" s="222"/>
      <c r="AA190" s="222"/>
      <c r="AB190" s="224"/>
    </row>
    <row r="191" spans="1:28" ht="13.5" customHeight="1">
      <c r="A191" s="222"/>
      <c r="B191" s="222"/>
      <c r="C191" s="222"/>
      <c r="D191" s="222"/>
      <c r="E191" s="222"/>
      <c r="F191" s="222"/>
      <c r="G191" s="222"/>
      <c r="H191" s="222"/>
      <c r="I191" s="222"/>
      <c r="J191" s="222"/>
      <c r="K191" s="222"/>
      <c r="L191" s="222"/>
      <c r="M191" s="222"/>
      <c r="N191" s="222"/>
      <c r="O191" s="222"/>
      <c r="P191" s="222"/>
      <c r="Q191" s="223"/>
      <c r="R191" s="222"/>
      <c r="S191" s="222"/>
      <c r="T191" s="222"/>
      <c r="U191" s="222"/>
      <c r="V191" s="222"/>
      <c r="W191" s="223"/>
      <c r="X191" s="223"/>
      <c r="Y191" s="222"/>
      <c r="Z191" s="222"/>
      <c r="AA191" s="222"/>
      <c r="AB191" s="224"/>
    </row>
    <row r="192" spans="1:28" ht="13.5" customHeight="1">
      <c r="A192" s="222"/>
      <c r="B192" s="222"/>
      <c r="C192" s="222"/>
      <c r="D192" s="222"/>
      <c r="E192" s="222"/>
      <c r="F192" s="222"/>
      <c r="G192" s="222"/>
      <c r="H192" s="222"/>
      <c r="I192" s="222"/>
      <c r="J192" s="222"/>
      <c r="K192" s="222"/>
      <c r="L192" s="222"/>
      <c r="M192" s="222"/>
      <c r="N192" s="222"/>
      <c r="O192" s="222"/>
      <c r="P192" s="222"/>
      <c r="Q192" s="223"/>
      <c r="R192" s="222"/>
      <c r="S192" s="222"/>
      <c r="T192" s="222"/>
      <c r="U192" s="222"/>
      <c r="V192" s="222"/>
      <c r="W192" s="223"/>
      <c r="X192" s="223"/>
      <c r="Y192" s="222"/>
      <c r="Z192" s="222"/>
      <c r="AA192" s="222"/>
      <c r="AB192" s="224"/>
    </row>
    <row r="193" spans="1:28" ht="13.5" customHeight="1">
      <c r="A193" s="222"/>
      <c r="B193" s="222"/>
      <c r="C193" s="222"/>
      <c r="D193" s="222"/>
      <c r="E193" s="222"/>
      <c r="F193" s="222"/>
      <c r="G193" s="222"/>
      <c r="H193" s="222"/>
      <c r="I193" s="222"/>
      <c r="J193" s="222"/>
      <c r="K193" s="222"/>
      <c r="L193" s="222"/>
      <c r="M193" s="222"/>
      <c r="N193" s="222"/>
      <c r="O193" s="222"/>
      <c r="P193" s="222"/>
      <c r="Q193" s="223"/>
      <c r="R193" s="222"/>
      <c r="S193" s="222"/>
      <c r="T193" s="222"/>
      <c r="U193" s="222"/>
      <c r="V193" s="222"/>
      <c r="W193" s="223"/>
      <c r="X193" s="223"/>
      <c r="Y193" s="222"/>
      <c r="Z193" s="222"/>
      <c r="AA193" s="222"/>
      <c r="AB193" s="224"/>
    </row>
    <row r="194" spans="1:28" ht="13.5" customHeight="1">
      <c r="A194" s="222"/>
      <c r="B194" s="222"/>
      <c r="C194" s="222"/>
      <c r="D194" s="222"/>
      <c r="E194" s="222"/>
      <c r="F194" s="222"/>
      <c r="G194" s="222"/>
      <c r="H194" s="222"/>
      <c r="I194" s="222"/>
      <c r="J194" s="222"/>
      <c r="K194" s="222"/>
      <c r="L194" s="222"/>
      <c r="M194" s="222"/>
      <c r="N194" s="222"/>
      <c r="O194" s="222"/>
      <c r="P194" s="222"/>
      <c r="Q194" s="223"/>
      <c r="R194" s="222"/>
      <c r="S194" s="222"/>
      <c r="T194" s="222"/>
      <c r="U194" s="222"/>
      <c r="V194" s="222"/>
      <c r="W194" s="223"/>
      <c r="X194" s="223"/>
      <c r="Y194" s="222"/>
      <c r="Z194" s="222"/>
      <c r="AA194" s="222"/>
      <c r="AB194" s="224"/>
    </row>
    <row r="195" spans="1:28" ht="13.5" customHeight="1">
      <c r="A195" s="222"/>
      <c r="B195" s="222"/>
      <c r="C195" s="222"/>
      <c r="D195" s="222"/>
      <c r="E195" s="222"/>
      <c r="F195" s="222"/>
      <c r="G195" s="222"/>
      <c r="H195" s="222"/>
      <c r="I195" s="222"/>
      <c r="J195" s="222"/>
      <c r="K195" s="222"/>
      <c r="L195" s="222"/>
      <c r="M195" s="222"/>
      <c r="N195" s="222"/>
      <c r="O195" s="222"/>
      <c r="P195" s="222"/>
      <c r="Q195" s="223"/>
      <c r="R195" s="222"/>
      <c r="S195" s="222"/>
      <c r="T195" s="222"/>
      <c r="U195" s="222"/>
      <c r="V195" s="222"/>
      <c r="W195" s="223"/>
      <c r="X195" s="223"/>
      <c r="Y195" s="222"/>
      <c r="Z195" s="222"/>
      <c r="AA195" s="222"/>
      <c r="AB195" s="224"/>
    </row>
    <row r="196" spans="1:28" ht="13.5" customHeight="1">
      <c r="A196" s="222"/>
      <c r="B196" s="222"/>
      <c r="C196" s="222"/>
      <c r="D196" s="222"/>
      <c r="E196" s="222"/>
      <c r="F196" s="222"/>
      <c r="G196" s="222"/>
      <c r="H196" s="222"/>
      <c r="I196" s="222"/>
      <c r="J196" s="222"/>
      <c r="K196" s="222"/>
      <c r="L196" s="222"/>
      <c r="M196" s="222"/>
      <c r="N196" s="222"/>
      <c r="O196" s="222"/>
      <c r="P196" s="222"/>
      <c r="Q196" s="223"/>
      <c r="R196" s="222"/>
      <c r="S196" s="222"/>
      <c r="T196" s="222"/>
      <c r="U196" s="222"/>
      <c r="V196" s="222"/>
      <c r="W196" s="223"/>
      <c r="X196" s="223"/>
      <c r="Y196" s="222"/>
      <c r="Z196" s="222"/>
      <c r="AA196" s="222"/>
      <c r="AB196" s="224"/>
    </row>
    <row r="197" spans="1:28" ht="13.5" customHeight="1">
      <c r="A197" s="222"/>
      <c r="B197" s="222"/>
      <c r="C197" s="222"/>
      <c r="D197" s="222"/>
      <c r="E197" s="222"/>
      <c r="F197" s="222"/>
      <c r="G197" s="222"/>
      <c r="H197" s="222"/>
      <c r="I197" s="222"/>
      <c r="J197" s="222"/>
      <c r="K197" s="222"/>
      <c r="L197" s="222"/>
      <c r="M197" s="222"/>
      <c r="N197" s="222"/>
      <c r="O197" s="222"/>
      <c r="P197" s="222"/>
      <c r="Q197" s="223"/>
      <c r="R197" s="222"/>
      <c r="S197" s="222"/>
      <c r="T197" s="222"/>
      <c r="U197" s="222"/>
      <c r="V197" s="222"/>
      <c r="W197" s="223"/>
      <c r="X197" s="223"/>
      <c r="Y197" s="222"/>
      <c r="Z197" s="222"/>
      <c r="AA197" s="222"/>
      <c r="AB197" s="224"/>
    </row>
    <row r="198" spans="1:28" ht="13.5" customHeight="1">
      <c r="A198" s="222"/>
      <c r="B198" s="222"/>
      <c r="C198" s="222"/>
      <c r="D198" s="222"/>
      <c r="E198" s="222"/>
      <c r="F198" s="222"/>
      <c r="G198" s="222"/>
      <c r="H198" s="222"/>
      <c r="I198" s="222"/>
      <c r="J198" s="222"/>
      <c r="K198" s="222"/>
      <c r="L198" s="222"/>
      <c r="M198" s="222"/>
      <c r="N198" s="222"/>
      <c r="O198" s="222"/>
      <c r="P198" s="222"/>
      <c r="Q198" s="223"/>
      <c r="R198" s="222"/>
      <c r="S198" s="222"/>
      <c r="T198" s="222"/>
      <c r="U198" s="222"/>
      <c r="V198" s="222"/>
      <c r="W198" s="223"/>
      <c r="X198" s="223"/>
      <c r="Y198" s="222"/>
      <c r="Z198" s="222"/>
      <c r="AA198" s="222"/>
      <c r="AB198" s="224"/>
    </row>
    <row r="199" spans="1:28" ht="13.5" customHeight="1">
      <c r="A199" s="222"/>
      <c r="B199" s="222"/>
      <c r="C199" s="222"/>
      <c r="D199" s="222"/>
      <c r="E199" s="222"/>
      <c r="F199" s="222"/>
      <c r="G199" s="222"/>
      <c r="H199" s="222"/>
      <c r="I199" s="222"/>
      <c r="J199" s="222"/>
      <c r="K199" s="222"/>
      <c r="L199" s="222"/>
      <c r="M199" s="222"/>
      <c r="N199" s="222"/>
      <c r="O199" s="222"/>
      <c r="P199" s="222"/>
      <c r="Q199" s="223"/>
      <c r="R199" s="222"/>
      <c r="S199" s="222"/>
      <c r="T199" s="222"/>
      <c r="U199" s="222"/>
      <c r="V199" s="222"/>
      <c r="W199" s="223"/>
      <c r="X199" s="223"/>
      <c r="Y199" s="222"/>
      <c r="Z199" s="222"/>
      <c r="AA199" s="222"/>
      <c r="AB199" s="224"/>
    </row>
    <row r="200" spans="1:28" ht="13.5" customHeight="1">
      <c r="A200" s="222"/>
      <c r="B200" s="222"/>
      <c r="C200" s="222"/>
      <c r="D200" s="222"/>
      <c r="E200" s="222"/>
      <c r="F200" s="222"/>
      <c r="G200" s="222"/>
      <c r="H200" s="222"/>
      <c r="I200" s="222"/>
      <c r="J200" s="222"/>
      <c r="K200" s="222"/>
      <c r="L200" s="222"/>
      <c r="M200" s="222"/>
      <c r="N200" s="222"/>
      <c r="O200" s="222"/>
      <c r="P200" s="222"/>
      <c r="Q200" s="223"/>
      <c r="R200" s="222"/>
      <c r="S200" s="222"/>
      <c r="T200" s="222"/>
      <c r="U200" s="222"/>
      <c r="V200" s="222"/>
      <c r="W200" s="223"/>
      <c r="X200" s="223"/>
      <c r="Y200" s="222"/>
      <c r="Z200" s="222"/>
      <c r="AA200" s="222"/>
      <c r="AB200" s="224"/>
    </row>
    <row r="201" spans="1:28" ht="13.5" customHeight="1">
      <c r="A201" s="222"/>
      <c r="B201" s="222"/>
      <c r="C201" s="222"/>
      <c r="D201" s="222"/>
      <c r="E201" s="222"/>
      <c r="F201" s="222"/>
      <c r="G201" s="222"/>
      <c r="H201" s="222"/>
      <c r="I201" s="222"/>
      <c r="J201" s="222"/>
      <c r="K201" s="222"/>
      <c r="L201" s="222"/>
      <c r="M201" s="222"/>
      <c r="N201" s="222"/>
      <c r="O201" s="222"/>
      <c r="P201" s="222"/>
      <c r="Q201" s="223"/>
      <c r="R201" s="222"/>
      <c r="S201" s="222"/>
      <c r="T201" s="222"/>
      <c r="U201" s="222"/>
      <c r="V201" s="222"/>
      <c r="W201" s="223"/>
      <c r="X201" s="223"/>
      <c r="Y201" s="222"/>
      <c r="Z201" s="222"/>
      <c r="AA201" s="222"/>
      <c r="AB201" s="224"/>
    </row>
    <row r="202" spans="1:28" ht="13.5" customHeight="1">
      <c r="A202" s="222"/>
      <c r="B202" s="222"/>
      <c r="C202" s="222"/>
      <c r="D202" s="222"/>
      <c r="E202" s="222"/>
      <c r="F202" s="222"/>
      <c r="G202" s="222"/>
      <c r="H202" s="222"/>
      <c r="I202" s="222"/>
      <c r="J202" s="222"/>
      <c r="K202" s="222"/>
      <c r="L202" s="222"/>
      <c r="M202" s="222"/>
      <c r="N202" s="222"/>
      <c r="O202" s="222"/>
      <c r="P202" s="222"/>
      <c r="Q202" s="223"/>
      <c r="R202" s="222"/>
      <c r="S202" s="222"/>
      <c r="T202" s="222"/>
      <c r="U202" s="222"/>
      <c r="V202" s="222"/>
      <c r="W202" s="223"/>
      <c r="X202" s="223"/>
      <c r="Y202" s="222"/>
      <c r="Z202" s="222"/>
      <c r="AA202" s="222"/>
      <c r="AB202" s="224"/>
    </row>
    <row r="203" spans="1:28" ht="13.5" customHeight="1">
      <c r="A203" s="222"/>
      <c r="B203" s="222"/>
      <c r="C203" s="222"/>
      <c r="D203" s="222"/>
      <c r="E203" s="222"/>
      <c r="F203" s="222"/>
      <c r="G203" s="222"/>
      <c r="H203" s="222"/>
      <c r="I203" s="222"/>
      <c r="J203" s="222"/>
      <c r="K203" s="222"/>
      <c r="L203" s="222"/>
      <c r="M203" s="222"/>
      <c r="N203" s="222"/>
      <c r="O203" s="222"/>
      <c r="P203" s="222"/>
      <c r="Q203" s="223"/>
      <c r="R203" s="222"/>
      <c r="S203" s="222"/>
      <c r="T203" s="222"/>
      <c r="U203" s="222"/>
      <c r="V203" s="222"/>
      <c r="W203" s="223"/>
      <c r="X203" s="223"/>
      <c r="Y203" s="222"/>
      <c r="Z203" s="222"/>
      <c r="AA203" s="222"/>
      <c r="AB203" s="224"/>
    </row>
    <row r="204" spans="1:28" ht="13.5" customHeight="1">
      <c r="A204" s="222"/>
      <c r="B204" s="222"/>
      <c r="C204" s="222"/>
      <c r="D204" s="222"/>
      <c r="E204" s="222"/>
      <c r="F204" s="222"/>
      <c r="G204" s="222"/>
      <c r="H204" s="222"/>
      <c r="I204" s="222"/>
      <c r="J204" s="222"/>
      <c r="K204" s="222"/>
      <c r="L204" s="222"/>
      <c r="M204" s="222"/>
      <c r="N204" s="222"/>
      <c r="O204" s="222"/>
      <c r="P204" s="222"/>
      <c r="Q204" s="223"/>
      <c r="R204" s="222"/>
      <c r="S204" s="222"/>
      <c r="T204" s="222"/>
      <c r="U204" s="222"/>
      <c r="V204" s="222"/>
      <c r="W204" s="223"/>
      <c r="X204" s="223"/>
      <c r="Y204" s="222"/>
      <c r="Z204" s="222"/>
      <c r="AA204" s="222"/>
      <c r="AB204" s="224"/>
    </row>
    <row r="205" spans="1:28" ht="13.5" customHeight="1">
      <c r="A205" s="222"/>
      <c r="B205" s="222"/>
      <c r="C205" s="222"/>
      <c r="D205" s="222"/>
      <c r="E205" s="222"/>
      <c r="F205" s="222"/>
      <c r="G205" s="222"/>
      <c r="H205" s="222"/>
      <c r="I205" s="222"/>
      <c r="J205" s="222"/>
      <c r="K205" s="222"/>
      <c r="L205" s="222"/>
      <c r="M205" s="222"/>
      <c r="N205" s="222"/>
      <c r="O205" s="222"/>
      <c r="P205" s="222"/>
      <c r="Q205" s="223"/>
      <c r="R205" s="222"/>
      <c r="S205" s="222"/>
      <c r="T205" s="222"/>
      <c r="U205" s="222"/>
      <c r="V205" s="222"/>
      <c r="W205" s="223"/>
      <c r="X205" s="223"/>
      <c r="Y205" s="222"/>
      <c r="Z205" s="222"/>
      <c r="AA205" s="222"/>
      <c r="AB205" s="224"/>
    </row>
    <row r="206" spans="1:28" ht="13.5" customHeight="1">
      <c r="A206" s="222"/>
      <c r="B206" s="222"/>
      <c r="C206" s="222"/>
      <c r="D206" s="222"/>
      <c r="E206" s="222"/>
      <c r="F206" s="222"/>
      <c r="G206" s="222"/>
      <c r="H206" s="222"/>
      <c r="I206" s="222"/>
      <c r="J206" s="222"/>
      <c r="K206" s="222"/>
      <c r="L206" s="222"/>
      <c r="M206" s="222"/>
      <c r="N206" s="222"/>
      <c r="O206" s="222"/>
      <c r="P206" s="222"/>
      <c r="Q206" s="223"/>
      <c r="R206" s="222"/>
      <c r="S206" s="222"/>
      <c r="T206" s="222"/>
      <c r="U206" s="222"/>
      <c r="V206" s="222"/>
      <c r="W206" s="223"/>
      <c r="X206" s="223"/>
      <c r="Y206" s="222"/>
      <c r="Z206" s="222"/>
      <c r="AA206" s="222"/>
      <c r="AB206" s="224"/>
    </row>
    <row r="207" spans="1:28" ht="13.5" customHeight="1">
      <c r="A207" s="222"/>
      <c r="B207" s="222"/>
      <c r="C207" s="222"/>
      <c r="D207" s="222"/>
      <c r="E207" s="222"/>
      <c r="F207" s="222"/>
      <c r="G207" s="222"/>
      <c r="H207" s="222"/>
      <c r="I207" s="222"/>
      <c r="J207" s="222"/>
      <c r="K207" s="222"/>
      <c r="L207" s="222"/>
      <c r="M207" s="222"/>
      <c r="N207" s="222"/>
      <c r="O207" s="222"/>
      <c r="P207" s="222"/>
      <c r="Q207" s="223"/>
      <c r="R207" s="222"/>
      <c r="S207" s="222"/>
      <c r="T207" s="222"/>
      <c r="U207" s="222"/>
      <c r="V207" s="222"/>
      <c r="W207" s="223"/>
      <c r="X207" s="223"/>
      <c r="Y207" s="222"/>
      <c r="Z207" s="222"/>
      <c r="AA207" s="222"/>
      <c r="AB207" s="224"/>
    </row>
    <row r="208" spans="1:28" ht="13.5" customHeight="1">
      <c r="A208" s="222"/>
      <c r="B208" s="222"/>
      <c r="C208" s="222"/>
      <c r="D208" s="222"/>
      <c r="E208" s="222"/>
      <c r="F208" s="222"/>
      <c r="G208" s="222"/>
      <c r="H208" s="222"/>
      <c r="I208" s="222"/>
      <c r="J208" s="222"/>
      <c r="K208" s="222"/>
      <c r="L208" s="222"/>
      <c r="M208" s="222"/>
      <c r="N208" s="222"/>
      <c r="O208" s="222"/>
      <c r="P208" s="222"/>
      <c r="Q208" s="223"/>
      <c r="R208" s="222"/>
      <c r="S208" s="222"/>
      <c r="T208" s="222"/>
      <c r="U208" s="222"/>
      <c r="V208" s="222"/>
      <c r="W208" s="223"/>
      <c r="X208" s="223"/>
      <c r="Y208" s="222"/>
      <c r="Z208" s="222"/>
      <c r="AA208" s="222"/>
      <c r="AB208" s="224"/>
    </row>
    <row r="209" spans="1:28" ht="13.5" customHeight="1">
      <c r="A209" s="222"/>
      <c r="B209" s="222"/>
      <c r="C209" s="222"/>
      <c r="D209" s="222"/>
      <c r="E209" s="222"/>
      <c r="F209" s="222"/>
      <c r="G209" s="222"/>
      <c r="H209" s="222"/>
      <c r="I209" s="222"/>
      <c r="J209" s="222"/>
      <c r="K209" s="222"/>
      <c r="L209" s="222"/>
      <c r="M209" s="222"/>
      <c r="N209" s="222"/>
      <c r="O209" s="222"/>
      <c r="P209" s="222"/>
      <c r="Q209" s="223"/>
      <c r="R209" s="222"/>
      <c r="S209" s="222"/>
      <c r="T209" s="222"/>
      <c r="U209" s="222"/>
      <c r="V209" s="222"/>
      <c r="W209" s="223"/>
      <c r="X209" s="223"/>
      <c r="Y209" s="222"/>
      <c r="Z209" s="222"/>
      <c r="AA209" s="222"/>
      <c r="AB209" s="224"/>
    </row>
    <row r="210" spans="1:28" ht="13.5" customHeight="1">
      <c r="A210" s="222"/>
      <c r="B210" s="222"/>
      <c r="C210" s="222"/>
      <c r="D210" s="222"/>
      <c r="E210" s="222"/>
      <c r="F210" s="222"/>
      <c r="G210" s="222"/>
      <c r="H210" s="222"/>
      <c r="I210" s="222"/>
      <c r="J210" s="222"/>
      <c r="K210" s="222"/>
      <c r="L210" s="222"/>
      <c r="M210" s="222"/>
      <c r="N210" s="222"/>
      <c r="O210" s="222"/>
      <c r="P210" s="222"/>
      <c r="Q210" s="223"/>
      <c r="R210" s="222"/>
      <c r="S210" s="222"/>
      <c r="T210" s="222"/>
      <c r="U210" s="222"/>
      <c r="V210" s="222"/>
      <c r="W210" s="223"/>
      <c r="X210" s="223"/>
      <c r="Y210" s="222"/>
      <c r="Z210" s="222"/>
      <c r="AA210" s="222"/>
      <c r="AB210" s="224"/>
    </row>
    <row r="211" spans="1:28" ht="13.5" customHeight="1">
      <c r="A211" s="222"/>
      <c r="B211" s="222"/>
      <c r="C211" s="222"/>
      <c r="D211" s="222"/>
      <c r="E211" s="222"/>
      <c r="F211" s="222"/>
      <c r="G211" s="222"/>
      <c r="H211" s="222"/>
      <c r="I211" s="222"/>
      <c r="J211" s="222"/>
      <c r="K211" s="222"/>
      <c r="L211" s="222"/>
      <c r="M211" s="222"/>
      <c r="N211" s="222"/>
      <c r="O211" s="222"/>
      <c r="P211" s="222"/>
      <c r="Q211" s="223"/>
      <c r="R211" s="222"/>
      <c r="S211" s="222"/>
      <c r="T211" s="222"/>
      <c r="U211" s="222"/>
      <c r="V211" s="222"/>
      <c r="W211" s="223"/>
      <c r="X211" s="223"/>
      <c r="Y211" s="222"/>
      <c r="Z211" s="222"/>
      <c r="AA211" s="222"/>
      <c r="AB211" s="224"/>
    </row>
    <row r="212" spans="1:28" ht="13.5" customHeight="1">
      <c r="A212" s="222"/>
      <c r="B212" s="222"/>
      <c r="C212" s="222"/>
      <c r="D212" s="222"/>
      <c r="E212" s="222"/>
      <c r="F212" s="222"/>
      <c r="G212" s="222"/>
      <c r="H212" s="222"/>
      <c r="I212" s="222"/>
      <c r="J212" s="222"/>
      <c r="K212" s="222"/>
      <c r="L212" s="222"/>
      <c r="M212" s="222"/>
      <c r="N212" s="222"/>
      <c r="O212" s="222"/>
      <c r="P212" s="222"/>
      <c r="Q212" s="223"/>
      <c r="R212" s="222"/>
      <c r="S212" s="222"/>
      <c r="T212" s="222"/>
      <c r="U212" s="222"/>
      <c r="V212" s="222"/>
      <c r="W212" s="223"/>
      <c r="X212" s="223"/>
      <c r="Y212" s="222"/>
      <c r="Z212" s="222"/>
      <c r="AA212" s="222"/>
      <c r="AB212" s="224"/>
    </row>
    <row r="213" spans="1:28" ht="13.5" customHeight="1">
      <c r="A213" s="222"/>
      <c r="B213" s="222"/>
      <c r="C213" s="222"/>
      <c r="D213" s="222"/>
      <c r="E213" s="222"/>
      <c r="F213" s="222"/>
      <c r="G213" s="222"/>
      <c r="H213" s="222"/>
      <c r="I213" s="222"/>
      <c r="J213" s="222"/>
      <c r="K213" s="222"/>
      <c r="L213" s="222"/>
      <c r="M213" s="222"/>
      <c r="N213" s="222"/>
      <c r="O213" s="222"/>
      <c r="P213" s="222"/>
      <c r="Q213" s="223"/>
      <c r="R213" s="222"/>
      <c r="S213" s="222"/>
      <c r="T213" s="222"/>
      <c r="U213" s="222"/>
      <c r="V213" s="222"/>
      <c r="W213" s="223"/>
      <c r="X213" s="223"/>
      <c r="Y213" s="222"/>
      <c r="Z213" s="222"/>
      <c r="AA213" s="222"/>
      <c r="AB213" s="224"/>
    </row>
    <row r="214" spans="1:28" ht="13.5" customHeight="1">
      <c r="A214" s="222"/>
      <c r="B214" s="222"/>
      <c r="C214" s="222"/>
      <c r="D214" s="222"/>
      <c r="E214" s="222"/>
      <c r="F214" s="222"/>
      <c r="G214" s="222"/>
      <c r="H214" s="222"/>
      <c r="I214" s="222"/>
      <c r="J214" s="222"/>
      <c r="K214" s="222"/>
      <c r="L214" s="222"/>
      <c r="M214" s="222"/>
      <c r="N214" s="222"/>
      <c r="O214" s="222"/>
      <c r="P214" s="222"/>
      <c r="Q214" s="223"/>
      <c r="R214" s="222"/>
      <c r="S214" s="222"/>
      <c r="T214" s="222"/>
      <c r="U214" s="222"/>
      <c r="V214" s="222"/>
      <c r="W214" s="223"/>
      <c r="X214" s="223"/>
      <c r="Y214" s="222"/>
      <c r="Z214" s="222"/>
      <c r="AA214" s="222"/>
      <c r="AB214" s="224"/>
    </row>
    <row r="215" spans="1:28" ht="13.5" customHeight="1">
      <c r="A215" s="222"/>
      <c r="B215" s="222"/>
      <c r="C215" s="222"/>
      <c r="D215" s="222"/>
      <c r="E215" s="222"/>
      <c r="F215" s="222"/>
      <c r="G215" s="222"/>
      <c r="H215" s="222"/>
      <c r="I215" s="222"/>
      <c r="J215" s="222"/>
      <c r="K215" s="222"/>
      <c r="L215" s="222"/>
      <c r="M215" s="222"/>
      <c r="N215" s="222"/>
      <c r="O215" s="222"/>
      <c r="P215" s="222"/>
      <c r="Q215" s="223"/>
      <c r="R215" s="222"/>
      <c r="S215" s="222"/>
      <c r="T215" s="222"/>
      <c r="U215" s="222"/>
      <c r="V215" s="222"/>
      <c r="W215" s="223"/>
      <c r="X215" s="223"/>
      <c r="Y215" s="222"/>
      <c r="Z215" s="222"/>
      <c r="AA215" s="222"/>
      <c r="AB215" s="224"/>
    </row>
    <row r="216" spans="1:28" ht="13.5" customHeight="1">
      <c r="A216" s="222"/>
      <c r="B216" s="222"/>
      <c r="C216" s="222"/>
      <c r="D216" s="222"/>
      <c r="E216" s="222"/>
      <c r="F216" s="222"/>
      <c r="G216" s="222"/>
      <c r="H216" s="222"/>
      <c r="I216" s="222"/>
      <c r="J216" s="222"/>
      <c r="K216" s="222"/>
      <c r="L216" s="222"/>
      <c r="M216" s="222"/>
      <c r="N216" s="222"/>
      <c r="O216" s="222"/>
      <c r="P216" s="222"/>
      <c r="Q216" s="223"/>
      <c r="R216" s="222"/>
      <c r="S216" s="222"/>
      <c r="T216" s="222"/>
      <c r="U216" s="222"/>
      <c r="V216" s="222"/>
      <c r="W216" s="223"/>
      <c r="X216" s="223"/>
      <c r="Y216" s="222"/>
      <c r="Z216" s="222"/>
      <c r="AA216" s="222"/>
      <c r="AB216" s="224"/>
    </row>
    <row r="217" spans="1:28" ht="13.5" customHeight="1">
      <c r="A217" s="222"/>
      <c r="B217" s="222"/>
      <c r="C217" s="222"/>
      <c r="D217" s="222"/>
      <c r="E217" s="222"/>
      <c r="F217" s="222"/>
      <c r="G217" s="222"/>
      <c r="H217" s="222"/>
      <c r="I217" s="222"/>
      <c r="J217" s="222"/>
      <c r="K217" s="222"/>
      <c r="L217" s="222"/>
      <c r="M217" s="222"/>
      <c r="N217" s="222"/>
      <c r="O217" s="222"/>
      <c r="P217" s="222"/>
      <c r="Q217" s="223"/>
      <c r="R217" s="222"/>
      <c r="S217" s="222"/>
      <c r="T217" s="222"/>
      <c r="U217" s="222"/>
      <c r="V217" s="222"/>
      <c r="W217" s="223"/>
      <c r="X217" s="223"/>
      <c r="Y217" s="222"/>
      <c r="Z217" s="222"/>
      <c r="AA217" s="222"/>
      <c r="AB217" s="224"/>
    </row>
    <row r="218" spans="1:28" ht="13.5" customHeight="1">
      <c r="A218" s="222"/>
      <c r="B218" s="222"/>
      <c r="C218" s="222"/>
      <c r="D218" s="222"/>
      <c r="E218" s="222"/>
      <c r="F218" s="222"/>
      <c r="G218" s="222"/>
      <c r="H218" s="222"/>
      <c r="I218" s="222"/>
      <c r="J218" s="222"/>
      <c r="K218" s="222"/>
      <c r="L218" s="222"/>
      <c r="M218" s="222"/>
      <c r="N218" s="222"/>
      <c r="O218" s="222"/>
      <c r="P218" s="222"/>
      <c r="Q218" s="223"/>
      <c r="R218" s="222"/>
      <c r="S218" s="222"/>
      <c r="T218" s="222"/>
      <c r="U218" s="222"/>
      <c r="V218" s="222"/>
      <c r="W218" s="223"/>
      <c r="X218" s="223"/>
      <c r="Y218" s="222"/>
      <c r="Z218" s="222"/>
      <c r="AA218" s="222"/>
      <c r="AB218" s="224"/>
    </row>
    <row r="219" spans="1:28" ht="13.5" customHeight="1">
      <c r="A219" s="222"/>
      <c r="B219" s="222"/>
      <c r="C219" s="222"/>
      <c r="D219" s="222"/>
      <c r="E219" s="222"/>
      <c r="F219" s="222"/>
      <c r="G219" s="222"/>
      <c r="H219" s="222"/>
      <c r="I219" s="222"/>
      <c r="J219" s="222"/>
      <c r="K219" s="222"/>
      <c r="L219" s="222"/>
      <c r="M219" s="222"/>
      <c r="N219" s="222"/>
      <c r="O219" s="222"/>
      <c r="P219" s="222"/>
      <c r="Q219" s="223"/>
      <c r="R219" s="222"/>
      <c r="S219" s="222"/>
      <c r="T219" s="222"/>
      <c r="U219" s="222"/>
      <c r="V219" s="222"/>
      <c r="W219" s="223"/>
      <c r="X219" s="223"/>
      <c r="Y219" s="222"/>
      <c r="Z219" s="222"/>
      <c r="AA219" s="222"/>
      <c r="AB219" s="224"/>
    </row>
    <row r="220" spans="1:28" ht="13.5" customHeight="1">
      <c r="A220" s="222"/>
      <c r="B220" s="222"/>
      <c r="C220" s="222"/>
      <c r="D220" s="222"/>
      <c r="E220" s="222"/>
      <c r="F220" s="222"/>
      <c r="G220" s="222"/>
      <c r="H220" s="222"/>
      <c r="I220" s="222"/>
      <c r="J220" s="222"/>
      <c r="K220" s="222"/>
      <c r="L220" s="222"/>
      <c r="M220" s="222"/>
      <c r="N220" s="222"/>
      <c r="O220" s="222"/>
      <c r="P220" s="222"/>
      <c r="Q220" s="223"/>
      <c r="R220" s="222"/>
      <c r="S220" s="222"/>
      <c r="T220" s="222"/>
      <c r="U220" s="222"/>
      <c r="V220" s="222"/>
      <c r="W220" s="223"/>
      <c r="X220" s="223"/>
      <c r="Y220" s="222"/>
      <c r="Z220" s="222"/>
      <c r="AA220" s="222"/>
      <c r="AB220" s="224"/>
    </row>
    <row r="221" spans="1:28" ht="13.5" customHeight="1">
      <c r="A221" s="222"/>
      <c r="B221" s="222"/>
      <c r="C221" s="222"/>
      <c r="D221" s="222"/>
      <c r="E221" s="222"/>
      <c r="F221" s="222"/>
      <c r="G221" s="222"/>
      <c r="H221" s="222"/>
      <c r="I221" s="222"/>
      <c r="J221" s="222"/>
      <c r="K221" s="222"/>
      <c r="L221" s="222"/>
      <c r="M221" s="222"/>
      <c r="N221" s="222"/>
      <c r="O221" s="222"/>
      <c r="P221" s="222"/>
      <c r="Q221" s="223"/>
      <c r="R221" s="222"/>
      <c r="S221" s="222"/>
      <c r="T221" s="222"/>
      <c r="U221" s="222"/>
      <c r="V221" s="222"/>
      <c r="W221" s="223"/>
      <c r="X221" s="223"/>
      <c r="Y221" s="222"/>
      <c r="Z221" s="222"/>
      <c r="AA221" s="222"/>
      <c r="AB221" s="224"/>
    </row>
    <row r="222" spans="1:28" ht="13.5" customHeight="1">
      <c r="A222" s="222"/>
      <c r="B222" s="222"/>
      <c r="C222" s="222"/>
      <c r="D222" s="222"/>
      <c r="E222" s="222"/>
      <c r="F222" s="222"/>
      <c r="G222" s="222"/>
      <c r="H222" s="222"/>
      <c r="I222" s="222"/>
      <c r="J222" s="222"/>
      <c r="K222" s="222"/>
      <c r="L222" s="222"/>
      <c r="M222" s="222"/>
      <c r="N222" s="222"/>
      <c r="O222" s="222"/>
      <c r="P222" s="222"/>
      <c r="Q222" s="223"/>
      <c r="R222" s="222"/>
      <c r="S222" s="222"/>
      <c r="T222" s="222"/>
      <c r="U222" s="222"/>
      <c r="V222" s="222"/>
      <c r="W222" s="223"/>
      <c r="X222" s="223"/>
      <c r="Y222" s="222"/>
      <c r="Z222" s="222"/>
      <c r="AA222" s="222"/>
      <c r="AB222" s="224"/>
    </row>
    <row r="223" spans="1:28" ht="13.5" customHeight="1">
      <c r="A223" s="222"/>
      <c r="B223" s="222"/>
      <c r="C223" s="222"/>
      <c r="D223" s="222"/>
      <c r="E223" s="222"/>
      <c r="F223" s="222"/>
      <c r="G223" s="222"/>
      <c r="H223" s="222"/>
      <c r="I223" s="222"/>
      <c r="J223" s="222"/>
      <c r="K223" s="222"/>
      <c r="L223" s="222"/>
      <c r="M223" s="222"/>
      <c r="N223" s="222"/>
      <c r="O223" s="222"/>
      <c r="P223" s="222"/>
      <c r="Q223" s="223"/>
      <c r="R223" s="222"/>
      <c r="S223" s="222"/>
      <c r="T223" s="222"/>
      <c r="U223" s="222"/>
      <c r="V223" s="222"/>
      <c r="W223" s="223"/>
      <c r="X223" s="223"/>
      <c r="Y223" s="222"/>
      <c r="Z223" s="222"/>
      <c r="AA223" s="222"/>
      <c r="AB223" s="224"/>
    </row>
    <row r="224" spans="1:28" ht="13.5" customHeight="1">
      <c r="A224" s="222"/>
      <c r="B224" s="222"/>
      <c r="C224" s="222"/>
      <c r="D224" s="222"/>
      <c r="E224" s="222"/>
      <c r="F224" s="222"/>
      <c r="G224" s="222"/>
      <c r="H224" s="222"/>
      <c r="I224" s="222"/>
      <c r="J224" s="222"/>
      <c r="K224" s="222"/>
      <c r="L224" s="222"/>
      <c r="M224" s="222"/>
      <c r="N224" s="222"/>
      <c r="O224" s="222"/>
      <c r="P224" s="222"/>
      <c r="Q224" s="223"/>
      <c r="R224" s="222"/>
      <c r="S224" s="222"/>
      <c r="T224" s="222"/>
      <c r="U224" s="222"/>
      <c r="V224" s="222"/>
      <c r="W224" s="223"/>
      <c r="X224" s="223"/>
      <c r="Y224" s="222"/>
      <c r="Z224" s="222"/>
      <c r="AA224" s="222"/>
      <c r="AB224" s="224"/>
    </row>
    <row r="225" spans="1:28" ht="13.5" customHeight="1">
      <c r="A225" s="222"/>
      <c r="B225" s="222"/>
      <c r="C225" s="222"/>
      <c r="D225" s="222"/>
      <c r="E225" s="222"/>
      <c r="F225" s="222"/>
      <c r="G225" s="222"/>
      <c r="H225" s="222"/>
      <c r="I225" s="222"/>
      <c r="J225" s="222"/>
      <c r="K225" s="222"/>
      <c r="L225" s="222"/>
      <c r="M225" s="222"/>
      <c r="N225" s="222"/>
      <c r="O225" s="222"/>
      <c r="P225" s="222"/>
      <c r="Q225" s="223"/>
      <c r="R225" s="222"/>
      <c r="S225" s="222"/>
      <c r="T225" s="222"/>
      <c r="U225" s="222"/>
      <c r="V225" s="222"/>
      <c r="W225" s="223"/>
      <c r="X225" s="223"/>
      <c r="Y225" s="222"/>
      <c r="Z225" s="222"/>
      <c r="AA225" s="222"/>
      <c r="AB225" s="224"/>
    </row>
    <row r="226" spans="1:28" ht="13.5" customHeight="1">
      <c r="A226" s="222"/>
      <c r="B226" s="222"/>
      <c r="C226" s="222"/>
      <c r="D226" s="222"/>
      <c r="E226" s="222"/>
      <c r="F226" s="222"/>
      <c r="G226" s="222"/>
      <c r="H226" s="222"/>
      <c r="I226" s="222"/>
      <c r="J226" s="222"/>
      <c r="K226" s="222"/>
      <c r="L226" s="222"/>
      <c r="M226" s="222"/>
      <c r="N226" s="222"/>
      <c r="O226" s="222"/>
      <c r="P226" s="222"/>
      <c r="Q226" s="223"/>
      <c r="R226" s="222"/>
      <c r="S226" s="222"/>
      <c r="T226" s="222"/>
      <c r="U226" s="222"/>
      <c r="V226" s="222"/>
      <c r="W226" s="223"/>
      <c r="X226" s="223"/>
      <c r="Y226" s="222"/>
      <c r="Z226" s="222"/>
      <c r="AA226" s="222"/>
      <c r="AB226" s="224"/>
    </row>
    <row r="227" spans="1:28" ht="13.5" customHeight="1">
      <c r="A227" s="222"/>
      <c r="B227" s="222"/>
      <c r="C227" s="222"/>
      <c r="D227" s="222"/>
      <c r="E227" s="222"/>
      <c r="F227" s="222"/>
      <c r="G227" s="222"/>
      <c r="H227" s="222"/>
      <c r="I227" s="222"/>
      <c r="J227" s="222"/>
      <c r="K227" s="222"/>
      <c r="L227" s="222"/>
      <c r="M227" s="222"/>
      <c r="N227" s="222"/>
      <c r="O227" s="222"/>
      <c r="P227" s="222"/>
      <c r="Q227" s="223"/>
      <c r="R227" s="222"/>
      <c r="S227" s="222"/>
      <c r="T227" s="222"/>
      <c r="U227" s="222"/>
      <c r="V227" s="222"/>
      <c r="W227" s="223"/>
      <c r="X227" s="223"/>
      <c r="Y227" s="222"/>
      <c r="Z227" s="222"/>
      <c r="AA227" s="222"/>
      <c r="AB227" s="224"/>
    </row>
    <row r="228" spans="1:28" ht="13.5" customHeight="1">
      <c r="A228" s="222"/>
      <c r="B228" s="222"/>
      <c r="C228" s="222"/>
      <c r="D228" s="222"/>
      <c r="E228" s="222"/>
      <c r="F228" s="222"/>
      <c r="G228" s="222"/>
      <c r="H228" s="222"/>
      <c r="I228" s="222"/>
      <c r="J228" s="222"/>
      <c r="K228" s="222"/>
      <c r="L228" s="222"/>
      <c r="M228" s="222"/>
      <c r="N228" s="222"/>
      <c r="O228" s="222"/>
      <c r="P228" s="222"/>
      <c r="Q228" s="223"/>
      <c r="R228" s="222"/>
      <c r="S228" s="222"/>
      <c r="T228" s="222"/>
      <c r="U228" s="222"/>
      <c r="V228" s="222"/>
      <c r="W228" s="223"/>
      <c r="X228" s="223"/>
      <c r="Y228" s="222"/>
      <c r="Z228" s="222"/>
      <c r="AA228" s="222"/>
      <c r="AB228" s="224"/>
    </row>
    <row r="229" spans="1:28" ht="13.5" customHeight="1">
      <c r="A229" s="222"/>
      <c r="B229" s="222"/>
      <c r="C229" s="222"/>
      <c r="D229" s="222"/>
      <c r="E229" s="222"/>
      <c r="F229" s="222"/>
      <c r="G229" s="222"/>
      <c r="H229" s="222"/>
      <c r="I229" s="222"/>
      <c r="J229" s="222"/>
      <c r="K229" s="222"/>
      <c r="L229" s="222"/>
      <c r="M229" s="222"/>
      <c r="N229" s="222"/>
      <c r="O229" s="222"/>
      <c r="P229" s="222"/>
      <c r="Q229" s="223"/>
      <c r="R229" s="222"/>
      <c r="S229" s="222"/>
      <c r="T229" s="222"/>
      <c r="U229" s="222"/>
      <c r="V229" s="222"/>
      <c r="W229" s="223"/>
      <c r="X229" s="223"/>
      <c r="Y229" s="222"/>
      <c r="Z229" s="222"/>
      <c r="AA229" s="222"/>
      <c r="AB229" s="224"/>
    </row>
    <row r="230" spans="1:28" ht="13.5" customHeight="1">
      <c r="A230" s="222"/>
      <c r="B230" s="222"/>
      <c r="C230" s="222"/>
      <c r="D230" s="222"/>
      <c r="E230" s="222"/>
      <c r="F230" s="222"/>
      <c r="G230" s="222"/>
      <c r="H230" s="222"/>
      <c r="I230" s="222"/>
      <c r="J230" s="222"/>
      <c r="K230" s="222"/>
      <c r="L230" s="222"/>
      <c r="M230" s="222"/>
      <c r="N230" s="222"/>
      <c r="O230" s="222"/>
      <c r="P230" s="222"/>
      <c r="Q230" s="223"/>
      <c r="R230" s="222"/>
      <c r="S230" s="222"/>
      <c r="T230" s="222"/>
      <c r="U230" s="222"/>
      <c r="V230" s="222"/>
      <c r="W230" s="223"/>
      <c r="X230" s="223"/>
      <c r="Y230" s="222"/>
      <c r="Z230" s="222"/>
      <c r="AA230" s="222"/>
      <c r="AB230" s="224"/>
    </row>
    <row r="231" spans="1:28" ht="13.5" customHeight="1">
      <c r="A231" s="222"/>
      <c r="B231" s="222"/>
      <c r="C231" s="222"/>
      <c r="D231" s="222"/>
      <c r="E231" s="222"/>
      <c r="F231" s="222"/>
      <c r="G231" s="222"/>
      <c r="H231" s="222"/>
      <c r="I231" s="222"/>
      <c r="J231" s="222"/>
      <c r="K231" s="222"/>
      <c r="L231" s="222"/>
      <c r="M231" s="222"/>
      <c r="N231" s="222"/>
      <c r="O231" s="222"/>
      <c r="P231" s="222"/>
      <c r="Q231" s="223"/>
      <c r="R231" s="222"/>
      <c r="S231" s="222"/>
      <c r="T231" s="222"/>
      <c r="U231" s="222"/>
      <c r="V231" s="222"/>
      <c r="W231" s="223"/>
      <c r="X231" s="223"/>
      <c r="Y231" s="222"/>
      <c r="Z231" s="222"/>
      <c r="AA231" s="222"/>
      <c r="AB231" s="224"/>
    </row>
    <row r="232" spans="1:28" ht="13.5" customHeight="1">
      <c r="A232" s="222"/>
      <c r="B232" s="222"/>
      <c r="C232" s="222"/>
      <c r="D232" s="222"/>
      <c r="E232" s="222"/>
      <c r="F232" s="222"/>
      <c r="G232" s="222"/>
      <c r="H232" s="222"/>
      <c r="I232" s="222"/>
      <c r="J232" s="222"/>
      <c r="K232" s="222"/>
      <c r="L232" s="222"/>
      <c r="M232" s="222"/>
      <c r="N232" s="222"/>
      <c r="O232" s="222"/>
      <c r="P232" s="222"/>
      <c r="Q232" s="223"/>
      <c r="R232" s="222"/>
      <c r="S232" s="222"/>
      <c r="T232" s="222"/>
      <c r="U232" s="222"/>
      <c r="V232" s="222"/>
      <c r="W232" s="223"/>
      <c r="X232" s="223"/>
      <c r="Y232" s="222"/>
      <c r="Z232" s="222"/>
      <c r="AA232" s="222"/>
      <c r="AB232" s="224"/>
    </row>
    <row r="233" spans="1:28" ht="13.5" customHeight="1">
      <c r="A233" s="222"/>
      <c r="B233" s="222"/>
      <c r="C233" s="222"/>
      <c r="D233" s="222"/>
      <c r="E233" s="222"/>
      <c r="F233" s="222"/>
      <c r="G233" s="222"/>
      <c r="H233" s="222"/>
      <c r="I233" s="222"/>
      <c r="J233" s="222"/>
      <c r="K233" s="222"/>
      <c r="L233" s="222"/>
      <c r="M233" s="222"/>
      <c r="N233" s="222"/>
      <c r="O233" s="222"/>
      <c r="P233" s="222"/>
      <c r="Q233" s="223"/>
      <c r="R233" s="222"/>
      <c r="S233" s="222"/>
      <c r="T233" s="222"/>
      <c r="U233" s="222"/>
      <c r="V233" s="222"/>
      <c r="W233" s="223"/>
      <c r="X233" s="223"/>
      <c r="Y233" s="222"/>
      <c r="Z233" s="222"/>
      <c r="AA233" s="222"/>
      <c r="AB233" s="224"/>
    </row>
    <row r="234" spans="1:28" ht="13.5" customHeight="1">
      <c r="A234" s="222"/>
      <c r="B234" s="222"/>
      <c r="C234" s="222"/>
      <c r="D234" s="222"/>
      <c r="E234" s="222"/>
      <c r="F234" s="222"/>
      <c r="G234" s="222"/>
      <c r="H234" s="222"/>
      <c r="I234" s="222"/>
      <c r="J234" s="222"/>
      <c r="K234" s="222"/>
      <c r="L234" s="222"/>
      <c r="M234" s="222"/>
      <c r="N234" s="222"/>
      <c r="O234" s="222"/>
      <c r="P234" s="222"/>
      <c r="Q234" s="223"/>
      <c r="R234" s="222"/>
      <c r="S234" s="222"/>
      <c r="T234" s="222"/>
      <c r="U234" s="222"/>
      <c r="V234" s="222"/>
      <c r="W234" s="223"/>
      <c r="X234" s="223"/>
      <c r="Y234" s="222"/>
      <c r="Z234" s="222"/>
      <c r="AA234" s="222"/>
      <c r="AB234" s="224"/>
    </row>
    <row r="235" spans="1:28" ht="13.5" customHeight="1">
      <c r="A235" s="222"/>
      <c r="B235" s="222"/>
      <c r="C235" s="222"/>
      <c r="D235" s="222"/>
      <c r="E235" s="222"/>
      <c r="F235" s="222"/>
      <c r="G235" s="222"/>
      <c r="H235" s="222"/>
      <c r="I235" s="222"/>
      <c r="J235" s="222"/>
      <c r="K235" s="222"/>
      <c r="L235" s="222"/>
      <c r="M235" s="222"/>
      <c r="N235" s="222"/>
      <c r="O235" s="222"/>
      <c r="P235" s="222"/>
      <c r="Q235" s="223"/>
      <c r="R235" s="222"/>
      <c r="S235" s="222"/>
      <c r="T235" s="222"/>
      <c r="U235" s="222"/>
      <c r="V235" s="222"/>
      <c r="W235" s="223"/>
      <c r="X235" s="223"/>
      <c r="Y235" s="222"/>
      <c r="Z235" s="222"/>
      <c r="AA235" s="222"/>
      <c r="AB235" s="224"/>
    </row>
    <row r="236" spans="1:28" ht="13.5" customHeight="1">
      <c r="A236" s="222"/>
      <c r="B236" s="222"/>
      <c r="C236" s="222"/>
      <c r="D236" s="222"/>
      <c r="E236" s="222"/>
      <c r="F236" s="222"/>
      <c r="G236" s="222"/>
      <c r="H236" s="222"/>
      <c r="I236" s="222"/>
      <c r="J236" s="222"/>
      <c r="K236" s="222"/>
      <c r="L236" s="222"/>
      <c r="M236" s="222"/>
      <c r="N236" s="222"/>
      <c r="O236" s="222"/>
      <c r="P236" s="222"/>
      <c r="Q236" s="223"/>
      <c r="R236" s="222"/>
      <c r="S236" s="222"/>
      <c r="T236" s="222"/>
      <c r="U236" s="222"/>
      <c r="V236" s="222"/>
      <c r="W236" s="223"/>
      <c r="X236" s="223"/>
      <c r="Y236" s="222"/>
      <c r="Z236" s="222"/>
      <c r="AA236" s="222"/>
      <c r="AB236" s="224"/>
    </row>
    <row r="237" spans="1:28" ht="13.5" customHeight="1">
      <c r="A237" s="222"/>
      <c r="B237" s="222"/>
      <c r="C237" s="222"/>
      <c r="D237" s="222"/>
      <c r="E237" s="222"/>
      <c r="F237" s="222"/>
      <c r="G237" s="222"/>
      <c r="H237" s="222"/>
      <c r="I237" s="222"/>
      <c r="J237" s="222"/>
      <c r="K237" s="222"/>
      <c r="L237" s="222"/>
      <c r="M237" s="222"/>
      <c r="N237" s="222"/>
      <c r="O237" s="222"/>
      <c r="P237" s="222"/>
      <c r="Q237" s="223"/>
      <c r="R237" s="222"/>
      <c r="S237" s="222"/>
      <c r="T237" s="222"/>
      <c r="U237" s="222"/>
      <c r="V237" s="222"/>
      <c r="W237" s="223"/>
      <c r="X237" s="223"/>
      <c r="Y237" s="222"/>
      <c r="Z237" s="222"/>
      <c r="AA237" s="222"/>
      <c r="AB237" s="224"/>
    </row>
    <row r="238" spans="1:28" ht="13.5" customHeight="1">
      <c r="A238" s="222"/>
      <c r="B238" s="222"/>
      <c r="C238" s="222"/>
      <c r="D238" s="222"/>
      <c r="E238" s="222"/>
      <c r="F238" s="222"/>
      <c r="G238" s="222"/>
      <c r="H238" s="222"/>
      <c r="I238" s="222"/>
      <c r="J238" s="222"/>
      <c r="K238" s="222"/>
      <c r="L238" s="222"/>
      <c r="M238" s="222"/>
      <c r="N238" s="222"/>
      <c r="O238" s="222"/>
      <c r="P238" s="222"/>
      <c r="Q238" s="223"/>
      <c r="R238" s="222"/>
      <c r="S238" s="222"/>
      <c r="T238" s="222"/>
      <c r="U238" s="222"/>
      <c r="V238" s="222"/>
      <c r="W238" s="223"/>
      <c r="X238" s="223"/>
      <c r="Y238" s="222"/>
      <c r="Z238" s="222"/>
      <c r="AA238" s="222"/>
      <c r="AB238" s="224"/>
    </row>
    <row r="239" spans="1:28" ht="13.5" customHeight="1">
      <c r="A239" s="222"/>
      <c r="B239" s="222"/>
      <c r="C239" s="222"/>
      <c r="D239" s="222"/>
      <c r="E239" s="222"/>
      <c r="F239" s="222"/>
      <c r="G239" s="222"/>
      <c r="H239" s="222"/>
      <c r="I239" s="222"/>
      <c r="J239" s="222"/>
      <c r="K239" s="222"/>
      <c r="L239" s="222"/>
      <c r="M239" s="222"/>
      <c r="N239" s="222"/>
      <c r="O239" s="222"/>
      <c r="P239" s="222"/>
      <c r="Q239" s="223"/>
      <c r="R239" s="222"/>
      <c r="S239" s="222"/>
      <c r="T239" s="222"/>
      <c r="U239" s="222"/>
      <c r="V239" s="222"/>
      <c r="W239" s="223"/>
      <c r="X239" s="223"/>
      <c r="Y239" s="222"/>
      <c r="Z239" s="222"/>
      <c r="AA239" s="222"/>
      <c r="AB239" s="224"/>
    </row>
    <row r="240" spans="1:28" ht="13.5" customHeight="1">
      <c r="A240" s="222"/>
      <c r="B240" s="222"/>
      <c r="C240" s="222"/>
      <c r="D240" s="222"/>
      <c r="E240" s="222"/>
      <c r="F240" s="222"/>
      <c r="G240" s="222"/>
      <c r="H240" s="222"/>
      <c r="I240" s="222"/>
      <c r="J240" s="222"/>
      <c r="K240" s="222"/>
      <c r="L240" s="222"/>
      <c r="M240" s="222"/>
      <c r="N240" s="222"/>
      <c r="O240" s="222"/>
      <c r="P240" s="222"/>
      <c r="Q240" s="223"/>
      <c r="R240" s="222"/>
      <c r="S240" s="222"/>
      <c r="T240" s="222"/>
      <c r="U240" s="222"/>
      <c r="V240" s="222"/>
      <c r="W240" s="223"/>
      <c r="X240" s="223"/>
      <c r="Y240" s="222"/>
      <c r="Z240" s="222"/>
      <c r="AA240" s="222"/>
      <c r="AB240" s="224"/>
    </row>
    <row r="241" spans="1:28" ht="13.5" customHeight="1">
      <c r="A241" s="222"/>
      <c r="B241" s="222"/>
      <c r="C241" s="222"/>
      <c r="D241" s="222"/>
      <c r="E241" s="222"/>
      <c r="F241" s="222"/>
      <c r="G241" s="222"/>
      <c r="H241" s="222"/>
      <c r="I241" s="222"/>
      <c r="J241" s="222"/>
      <c r="K241" s="222"/>
      <c r="L241" s="222"/>
      <c r="M241" s="222"/>
      <c r="N241" s="222"/>
      <c r="O241" s="222"/>
      <c r="P241" s="222"/>
      <c r="Q241" s="223"/>
      <c r="R241" s="222"/>
      <c r="S241" s="222"/>
      <c r="T241" s="222"/>
      <c r="U241" s="222"/>
      <c r="V241" s="222"/>
      <c r="W241" s="223"/>
      <c r="X241" s="223"/>
      <c r="Y241" s="222"/>
      <c r="Z241" s="222"/>
      <c r="AA241" s="222"/>
      <c r="AB241" s="224"/>
    </row>
    <row r="242" spans="1:28" ht="13.5" customHeight="1">
      <c r="A242" s="222"/>
      <c r="B242" s="222"/>
      <c r="C242" s="222"/>
      <c r="D242" s="222"/>
      <c r="E242" s="222"/>
      <c r="F242" s="222"/>
      <c r="G242" s="222"/>
      <c r="H242" s="222"/>
      <c r="I242" s="222"/>
      <c r="J242" s="222"/>
      <c r="K242" s="222"/>
      <c r="L242" s="222"/>
      <c r="M242" s="222"/>
      <c r="N242" s="222"/>
      <c r="O242" s="222"/>
      <c r="P242" s="222"/>
      <c r="Q242" s="223"/>
      <c r="R242" s="222"/>
      <c r="S242" s="222"/>
      <c r="T242" s="222"/>
      <c r="U242" s="222"/>
      <c r="V242" s="222"/>
      <c r="W242" s="223"/>
      <c r="X242" s="223"/>
      <c r="Y242" s="222"/>
      <c r="Z242" s="222"/>
      <c r="AA242" s="222"/>
      <c r="AB242" s="224"/>
    </row>
    <row r="243" spans="1:28" ht="13.5" customHeight="1">
      <c r="A243" s="222"/>
      <c r="B243" s="222"/>
      <c r="C243" s="222"/>
      <c r="D243" s="222"/>
      <c r="E243" s="222"/>
      <c r="F243" s="222"/>
      <c r="G243" s="222"/>
      <c r="H243" s="222"/>
      <c r="I243" s="222"/>
      <c r="J243" s="222"/>
      <c r="K243" s="222"/>
      <c r="L243" s="222"/>
      <c r="M243" s="222"/>
      <c r="N243" s="222"/>
      <c r="O243" s="222"/>
      <c r="P243" s="222"/>
      <c r="Q243" s="223"/>
      <c r="R243" s="222"/>
      <c r="S243" s="222"/>
      <c r="T243" s="222"/>
      <c r="U243" s="222"/>
      <c r="V243" s="222"/>
      <c r="W243" s="223"/>
      <c r="X243" s="223"/>
      <c r="Y243" s="222"/>
      <c r="Z243" s="222"/>
      <c r="AA243" s="222"/>
      <c r="AB243" s="224"/>
    </row>
    <row r="244" spans="1:28" ht="13.5" customHeight="1">
      <c r="A244" s="222"/>
      <c r="B244" s="222"/>
      <c r="C244" s="222"/>
      <c r="D244" s="222"/>
      <c r="E244" s="222"/>
      <c r="F244" s="222"/>
      <c r="G244" s="222"/>
      <c r="H244" s="222"/>
      <c r="I244" s="222"/>
      <c r="J244" s="222"/>
      <c r="K244" s="222"/>
      <c r="L244" s="222"/>
      <c r="M244" s="222"/>
      <c r="N244" s="222"/>
      <c r="O244" s="222"/>
      <c r="P244" s="222"/>
      <c r="Q244" s="223"/>
      <c r="R244" s="222"/>
      <c r="S244" s="222"/>
      <c r="T244" s="222"/>
      <c r="U244" s="222"/>
      <c r="V244" s="222"/>
      <c r="W244" s="223"/>
      <c r="X244" s="223"/>
      <c r="Y244" s="222"/>
      <c r="Z244" s="222"/>
      <c r="AA244" s="222"/>
      <c r="AB244" s="224"/>
    </row>
    <row r="245" spans="1:28" ht="13.5" customHeight="1">
      <c r="A245" s="222"/>
      <c r="B245" s="222"/>
      <c r="C245" s="222"/>
      <c r="D245" s="222"/>
      <c r="E245" s="222"/>
      <c r="F245" s="222"/>
      <c r="G245" s="222"/>
      <c r="H245" s="222"/>
      <c r="I245" s="222"/>
      <c r="J245" s="222"/>
      <c r="K245" s="222"/>
      <c r="L245" s="222"/>
      <c r="M245" s="222"/>
      <c r="N245" s="222"/>
      <c r="O245" s="222"/>
      <c r="P245" s="222"/>
      <c r="Q245" s="223"/>
      <c r="R245" s="222"/>
      <c r="S245" s="222"/>
      <c r="T245" s="222"/>
      <c r="U245" s="222"/>
      <c r="V245" s="222"/>
      <c r="W245" s="223"/>
      <c r="X245" s="223"/>
      <c r="Y245" s="222"/>
      <c r="Z245" s="222"/>
      <c r="AA245" s="222"/>
      <c r="AB245" s="224"/>
    </row>
    <row r="246" spans="1:28" ht="13.5" customHeight="1">
      <c r="A246" s="222"/>
      <c r="B246" s="222"/>
      <c r="C246" s="222"/>
      <c r="D246" s="222"/>
      <c r="E246" s="222"/>
      <c r="F246" s="222"/>
      <c r="G246" s="222"/>
      <c r="H246" s="222"/>
      <c r="I246" s="222"/>
      <c r="J246" s="222"/>
      <c r="K246" s="222"/>
      <c r="L246" s="222"/>
      <c r="M246" s="222"/>
      <c r="N246" s="222"/>
      <c r="O246" s="222"/>
      <c r="P246" s="222"/>
      <c r="Q246" s="223"/>
      <c r="R246" s="222"/>
      <c r="S246" s="222"/>
      <c r="T246" s="222"/>
      <c r="U246" s="222"/>
      <c r="V246" s="222"/>
      <c r="W246" s="223"/>
      <c r="X246" s="223"/>
      <c r="Y246" s="222"/>
      <c r="Z246" s="222"/>
      <c r="AA246" s="222"/>
      <c r="AB246" s="224"/>
    </row>
    <row r="247" spans="1:28" ht="13.5" customHeight="1">
      <c r="A247" s="222"/>
      <c r="B247" s="222"/>
      <c r="C247" s="222"/>
      <c r="D247" s="222"/>
      <c r="E247" s="222"/>
      <c r="F247" s="222"/>
      <c r="G247" s="222"/>
      <c r="H247" s="222"/>
      <c r="I247" s="222"/>
      <c r="J247" s="222"/>
      <c r="K247" s="222"/>
      <c r="L247" s="222"/>
      <c r="M247" s="222"/>
      <c r="N247" s="222"/>
      <c r="O247" s="222"/>
      <c r="P247" s="222"/>
      <c r="Q247" s="223"/>
      <c r="R247" s="222"/>
      <c r="S247" s="222"/>
      <c r="T247" s="222"/>
      <c r="U247" s="222"/>
      <c r="V247" s="222"/>
      <c r="W247" s="223"/>
      <c r="X247" s="223"/>
      <c r="Y247" s="222"/>
      <c r="Z247" s="222"/>
      <c r="AA247" s="222"/>
      <c r="AB247" s="224"/>
    </row>
    <row r="248" spans="1:28" ht="13.5" customHeight="1">
      <c r="A248" s="222"/>
      <c r="B248" s="222"/>
      <c r="C248" s="222"/>
      <c r="D248" s="222"/>
      <c r="E248" s="222"/>
      <c r="F248" s="222"/>
      <c r="G248" s="222"/>
      <c r="H248" s="222"/>
      <c r="I248" s="222"/>
      <c r="J248" s="222"/>
      <c r="K248" s="222"/>
      <c r="L248" s="222"/>
      <c r="M248" s="222"/>
      <c r="N248" s="222"/>
      <c r="O248" s="222"/>
      <c r="P248" s="222"/>
      <c r="Q248" s="223"/>
      <c r="R248" s="222"/>
      <c r="S248" s="222"/>
      <c r="T248" s="222"/>
      <c r="U248" s="222"/>
      <c r="V248" s="222"/>
      <c r="W248" s="223"/>
      <c r="X248" s="223"/>
      <c r="Y248" s="222"/>
      <c r="Z248" s="222"/>
      <c r="AA248" s="222"/>
      <c r="AB248" s="224"/>
    </row>
    <row r="249" spans="1:28" ht="13.5" customHeight="1">
      <c r="A249" s="222"/>
      <c r="B249" s="222"/>
      <c r="C249" s="222"/>
      <c r="D249" s="222"/>
      <c r="E249" s="222"/>
      <c r="F249" s="222"/>
      <c r="G249" s="222"/>
      <c r="H249" s="222"/>
      <c r="I249" s="222"/>
      <c r="J249" s="222"/>
      <c r="K249" s="222"/>
      <c r="L249" s="222"/>
      <c r="M249" s="222"/>
      <c r="N249" s="222"/>
      <c r="O249" s="222"/>
      <c r="P249" s="222"/>
      <c r="Q249" s="223"/>
      <c r="R249" s="222"/>
      <c r="S249" s="222"/>
      <c r="T249" s="222"/>
      <c r="U249" s="222"/>
      <c r="V249" s="222"/>
      <c r="W249" s="223"/>
      <c r="X249" s="223"/>
      <c r="Y249" s="222"/>
      <c r="Z249" s="222"/>
      <c r="AA249" s="222"/>
      <c r="AB249" s="224"/>
    </row>
    <row r="250" spans="1:28" ht="13.5" customHeight="1">
      <c r="A250" s="222"/>
      <c r="B250" s="222"/>
      <c r="C250" s="222"/>
      <c r="D250" s="222"/>
      <c r="E250" s="222"/>
      <c r="F250" s="222"/>
      <c r="G250" s="222"/>
      <c r="H250" s="222"/>
      <c r="I250" s="222"/>
      <c r="J250" s="222"/>
      <c r="K250" s="222"/>
      <c r="L250" s="222"/>
      <c r="M250" s="222"/>
      <c r="N250" s="222"/>
      <c r="O250" s="222"/>
      <c r="P250" s="222"/>
      <c r="Q250" s="223"/>
      <c r="R250" s="222"/>
      <c r="S250" s="222"/>
      <c r="T250" s="222"/>
      <c r="U250" s="222"/>
      <c r="V250" s="222"/>
      <c r="W250" s="223"/>
      <c r="X250" s="223"/>
      <c r="Y250" s="222"/>
      <c r="Z250" s="222"/>
      <c r="AA250" s="222"/>
      <c r="AB250" s="224"/>
    </row>
    <row r="251" spans="1:28" ht="13.5" customHeight="1">
      <c r="A251" s="222"/>
      <c r="B251" s="222"/>
      <c r="C251" s="222"/>
      <c r="D251" s="222"/>
      <c r="E251" s="222"/>
      <c r="F251" s="222"/>
      <c r="G251" s="222"/>
      <c r="H251" s="222"/>
      <c r="I251" s="222"/>
      <c r="J251" s="222"/>
      <c r="K251" s="222"/>
      <c r="L251" s="222"/>
      <c r="M251" s="222"/>
      <c r="N251" s="222"/>
      <c r="O251" s="222"/>
      <c r="P251" s="222"/>
      <c r="Q251" s="223"/>
      <c r="R251" s="222"/>
      <c r="S251" s="222"/>
      <c r="T251" s="222"/>
      <c r="U251" s="222"/>
      <c r="V251" s="222"/>
      <c r="W251" s="223"/>
      <c r="X251" s="223"/>
      <c r="Y251" s="222"/>
      <c r="Z251" s="222"/>
      <c r="AA251" s="222"/>
      <c r="AB251" s="224"/>
    </row>
    <row r="252" spans="1:28" ht="13.5" customHeight="1">
      <c r="A252" s="222"/>
      <c r="B252" s="222"/>
      <c r="C252" s="222"/>
      <c r="D252" s="222"/>
      <c r="E252" s="222"/>
      <c r="F252" s="222"/>
      <c r="G252" s="222"/>
      <c r="H252" s="222"/>
      <c r="I252" s="222"/>
      <c r="J252" s="222"/>
      <c r="K252" s="222"/>
      <c r="L252" s="222"/>
      <c r="M252" s="222"/>
      <c r="N252" s="222"/>
      <c r="O252" s="222"/>
      <c r="P252" s="222"/>
      <c r="Q252" s="223"/>
      <c r="R252" s="222"/>
      <c r="S252" s="222"/>
      <c r="T252" s="222"/>
      <c r="U252" s="222"/>
      <c r="V252" s="222"/>
      <c r="W252" s="223"/>
      <c r="X252" s="223"/>
      <c r="Y252" s="222"/>
      <c r="Z252" s="222"/>
      <c r="AA252" s="222"/>
      <c r="AB252" s="224"/>
    </row>
    <row r="253" spans="1:28" ht="13.5" customHeight="1">
      <c r="A253" s="222"/>
      <c r="B253" s="222"/>
      <c r="C253" s="222"/>
      <c r="D253" s="222"/>
      <c r="E253" s="222"/>
      <c r="F253" s="222"/>
      <c r="G253" s="222"/>
      <c r="H253" s="222"/>
      <c r="I253" s="222"/>
      <c r="J253" s="222"/>
      <c r="K253" s="222"/>
      <c r="L253" s="222"/>
      <c r="M253" s="222"/>
      <c r="N253" s="222"/>
      <c r="O253" s="222"/>
      <c r="P253" s="222"/>
      <c r="Q253" s="223"/>
      <c r="R253" s="222"/>
      <c r="S253" s="222"/>
      <c r="T253" s="222"/>
      <c r="U253" s="222"/>
      <c r="V253" s="222"/>
      <c r="W253" s="223"/>
      <c r="X253" s="223"/>
      <c r="Y253" s="222"/>
      <c r="Z253" s="222"/>
      <c r="AA253" s="222"/>
      <c r="AB253" s="224"/>
    </row>
    <row r="254" spans="1:28" ht="13.5" customHeight="1">
      <c r="A254" s="222"/>
      <c r="B254" s="222"/>
      <c r="C254" s="222"/>
      <c r="D254" s="222"/>
      <c r="E254" s="222"/>
      <c r="F254" s="222"/>
      <c r="G254" s="222"/>
      <c r="H254" s="222"/>
      <c r="I254" s="222"/>
      <c r="J254" s="222"/>
      <c r="K254" s="222"/>
      <c r="L254" s="222"/>
      <c r="M254" s="222"/>
      <c r="N254" s="222"/>
      <c r="O254" s="222"/>
      <c r="P254" s="222"/>
      <c r="Q254" s="223"/>
      <c r="R254" s="222"/>
      <c r="S254" s="222"/>
      <c r="T254" s="222"/>
      <c r="U254" s="222"/>
      <c r="V254" s="222"/>
      <c r="W254" s="223"/>
      <c r="X254" s="223"/>
      <c r="Y254" s="222"/>
      <c r="Z254" s="222"/>
      <c r="AA254" s="222"/>
      <c r="AB254" s="224"/>
    </row>
    <row r="255" spans="1:28" ht="13.5" customHeight="1">
      <c r="A255" s="222"/>
      <c r="B255" s="222"/>
      <c r="C255" s="222"/>
      <c r="D255" s="222"/>
      <c r="E255" s="222"/>
      <c r="F255" s="222"/>
      <c r="G255" s="222"/>
      <c r="H255" s="222"/>
      <c r="I255" s="222"/>
      <c r="J255" s="222"/>
      <c r="K255" s="222"/>
      <c r="L255" s="222"/>
      <c r="M255" s="222"/>
      <c r="N255" s="222"/>
      <c r="O255" s="222"/>
      <c r="P255" s="222"/>
      <c r="Q255" s="223"/>
      <c r="R255" s="222"/>
      <c r="S255" s="222"/>
      <c r="T255" s="222"/>
      <c r="U255" s="222"/>
      <c r="V255" s="222"/>
      <c r="W255" s="223"/>
      <c r="X255" s="223"/>
      <c r="Y255" s="222"/>
      <c r="Z255" s="222"/>
      <c r="AA255" s="222"/>
      <c r="AB255" s="224"/>
    </row>
    <row r="256" spans="1:28" ht="13.5" customHeight="1">
      <c r="A256" s="222"/>
      <c r="B256" s="222"/>
      <c r="C256" s="222"/>
      <c r="D256" s="222"/>
      <c r="E256" s="222"/>
      <c r="F256" s="222"/>
      <c r="G256" s="222"/>
      <c r="H256" s="222"/>
      <c r="I256" s="222"/>
      <c r="J256" s="222"/>
      <c r="K256" s="222"/>
      <c r="L256" s="222"/>
      <c r="M256" s="222"/>
      <c r="N256" s="222"/>
      <c r="O256" s="222"/>
      <c r="P256" s="222"/>
      <c r="Q256" s="223"/>
      <c r="R256" s="222"/>
      <c r="S256" s="222"/>
      <c r="T256" s="222"/>
      <c r="U256" s="222"/>
      <c r="V256" s="222"/>
      <c r="W256" s="223"/>
      <c r="X256" s="223"/>
      <c r="Y256" s="222"/>
      <c r="Z256" s="222"/>
      <c r="AA256" s="222"/>
      <c r="AB256" s="224"/>
    </row>
    <row r="257" spans="1:28" ht="13.5" customHeight="1">
      <c r="A257" s="222"/>
      <c r="B257" s="222"/>
      <c r="C257" s="222"/>
      <c r="D257" s="222"/>
      <c r="E257" s="222"/>
      <c r="F257" s="222"/>
      <c r="G257" s="222"/>
      <c r="H257" s="222"/>
      <c r="I257" s="222"/>
      <c r="J257" s="222"/>
      <c r="K257" s="222"/>
      <c r="L257" s="222"/>
      <c r="M257" s="222"/>
      <c r="N257" s="222"/>
      <c r="O257" s="222"/>
      <c r="P257" s="222"/>
      <c r="Q257" s="223"/>
      <c r="R257" s="222"/>
      <c r="S257" s="222"/>
      <c r="T257" s="222"/>
      <c r="U257" s="222"/>
      <c r="V257" s="222"/>
      <c r="W257" s="223"/>
      <c r="X257" s="223"/>
      <c r="Y257" s="222"/>
      <c r="Z257" s="222"/>
      <c r="AA257" s="222"/>
      <c r="AB257" s="224"/>
    </row>
    <row r="258" spans="1:28" ht="13.5" customHeight="1">
      <c r="A258" s="222"/>
      <c r="B258" s="222"/>
      <c r="C258" s="222"/>
      <c r="D258" s="222"/>
      <c r="E258" s="222"/>
      <c r="F258" s="222"/>
      <c r="G258" s="222"/>
      <c r="H258" s="222"/>
      <c r="I258" s="222"/>
      <c r="J258" s="222"/>
      <c r="K258" s="222"/>
      <c r="L258" s="222"/>
      <c r="M258" s="222"/>
      <c r="N258" s="222"/>
      <c r="O258" s="222"/>
      <c r="P258" s="222"/>
      <c r="Q258" s="223"/>
      <c r="R258" s="222"/>
      <c r="S258" s="222"/>
      <c r="T258" s="222"/>
      <c r="U258" s="222"/>
      <c r="V258" s="222"/>
      <c r="W258" s="223"/>
      <c r="X258" s="223"/>
      <c r="Y258" s="222"/>
      <c r="Z258" s="222"/>
      <c r="AA258" s="222"/>
      <c r="AB258" s="224"/>
    </row>
    <row r="259" spans="1:28" ht="13.5" customHeight="1">
      <c r="A259" s="222"/>
      <c r="B259" s="222"/>
      <c r="C259" s="222"/>
      <c r="D259" s="222"/>
      <c r="E259" s="222"/>
      <c r="F259" s="222"/>
      <c r="G259" s="222"/>
      <c r="H259" s="222"/>
      <c r="I259" s="222"/>
      <c r="J259" s="222"/>
      <c r="K259" s="222"/>
      <c r="L259" s="222"/>
      <c r="M259" s="222"/>
      <c r="N259" s="222"/>
      <c r="O259" s="222"/>
      <c r="P259" s="222"/>
      <c r="Q259" s="223"/>
      <c r="R259" s="222"/>
      <c r="S259" s="222"/>
      <c r="T259" s="222"/>
      <c r="U259" s="222"/>
      <c r="V259" s="222"/>
      <c r="W259" s="223"/>
      <c r="X259" s="223"/>
      <c r="Y259" s="222"/>
      <c r="Z259" s="222"/>
      <c r="AA259" s="222"/>
      <c r="AB259" s="224"/>
    </row>
    <row r="260" spans="1:28" ht="13.5" customHeight="1">
      <c r="A260" s="222"/>
      <c r="B260" s="222"/>
      <c r="C260" s="222"/>
      <c r="D260" s="222"/>
      <c r="E260" s="222"/>
      <c r="F260" s="222"/>
      <c r="G260" s="222"/>
      <c r="H260" s="222"/>
      <c r="I260" s="222"/>
      <c r="J260" s="222"/>
      <c r="K260" s="222"/>
      <c r="L260" s="222"/>
      <c r="M260" s="222"/>
      <c r="N260" s="222"/>
      <c r="O260" s="222"/>
      <c r="P260" s="222"/>
      <c r="Q260" s="223"/>
      <c r="R260" s="222"/>
      <c r="S260" s="222"/>
      <c r="T260" s="222"/>
      <c r="U260" s="222"/>
      <c r="V260" s="222"/>
      <c r="W260" s="223"/>
      <c r="X260" s="223"/>
      <c r="Y260" s="222"/>
      <c r="Z260" s="222"/>
      <c r="AA260" s="222"/>
      <c r="AB260" s="224"/>
    </row>
    <row r="261" spans="1:28" ht="13.5" customHeight="1">
      <c r="A261" s="222"/>
      <c r="B261" s="222"/>
      <c r="C261" s="222"/>
      <c r="D261" s="222"/>
      <c r="E261" s="222"/>
      <c r="F261" s="222"/>
      <c r="G261" s="222"/>
      <c r="H261" s="222"/>
      <c r="I261" s="222"/>
      <c r="J261" s="222"/>
      <c r="K261" s="222"/>
      <c r="L261" s="222"/>
      <c r="M261" s="222"/>
      <c r="N261" s="222"/>
      <c r="O261" s="222"/>
      <c r="P261" s="222"/>
      <c r="Q261" s="223"/>
      <c r="R261" s="222"/>
      <c r="S261" s="222"/>
      <c r="T261" s="222"/>
      <c r="U261" s="222"/>
      <c r="V261" s="222"/>
      <c r="W261" s="223"/>
      <c r="X261" s="223"/>
      <c r="Y261" s="222"/>
      <c r="Z261" s="222"/>
      <c r="AA261" s="222"/>
      <c r="AB261" s="224"/>
    </row>
    <row r="262" spans="1:28" ht="13.5" customHeight="1">
      <c r="A262" s="222"/>
      <c r="B262" s="222"/>
      <c r="C262" s="222"/>
      <c r="D262" s="222"/>
      <c r="E262" s="222"/>
      <c r="F262" s="222"/>
      <c r="G262" s="222"/>
      <c r="H262" s="222"/>
      <c r="I262" s="222"/>
      <c r="J262" s="222"/>
      <c r="K262" s="222"/>
      <c r="L262" s="222"/>
      <c r="M262" s="222"/>
      <c r="N262" s="222"/>
      <c r="O262" s="222"/>
      <c r="P262" s="222"/>
      <c r="Q262" s="223"/>
      <c r="R262" s="222"/>
      <c r="S262" s="222"/>
      <c r="T262" s="222"/>
      <c r="U262" s="222"/>
      <c r="V262" s="222"/>
      <c r="W262" s="223"/>
      <c r="X262" s="223"/>
      <c r="Y262" s="222"/>
      <c r="Z262" s="222"/>
      <c r="AA262" s="222"/>
      <c r="AB262" s="224"/>
    </row>
    <row r="263" spans="1:28" ht="13.5" customHeight="1">
      <c r="A263" s="222"/>
      <c r="B263" s="222"/>
      <c r="C263" s="222"/>
      <c r="D263" s="222"/>
      <c r="E263" s="222"/>
      <c r="F263" s="222"/>
      <c r="G263" s="222"/>
      <c r="H263" s="222"/>
      <c r="I263" s="222"/>
      <c r="J263" s="222"/>
      <c r="K263" s="222"/>
      <c r="L263" s="222"/>
      <c r="M263" s="222"/>
      <c r="N263" s="222"/>
      <c r="O263" s="222"/>
      <c r="P263" s="222"/>
      <c r="Q263" s="223"/>
      <c r="R263" s="222"/>
      <c r="S263" s="222"/>
      <c r="T263" s="222"/>
      <c r="U263" s="222"/>
      <c r="V263" s="222"/>
      <c r="W263" s="223"/>
      <c r="X263" s="223"/>
      <c r="Y263" s="222"/>
      <c r="Z263" s="222"/>
      <c r="AA263" s="222"/>
      <c r="AB263" s="224"/>
    </row>
    <row r="264" spans="1:28" ht="13.5" customHeight="1">
      <c r="A264" s="222"/>
      <c r="B264" s="222"/>
      <c r="C264" s="222"/>
      <c r="D264" s="222"/>
      <c r="E264" s="222"/>
      <c r="F264" s="222"/>
      <c r="G264" s="222"/>
      <c r="H264" s="222"/>
      <c r="I264" s="222"/>
      <c r="J264" s="222"/>
      <c r="K264" s="222"/>
      <c r="L264" s="222"/>
      <c r="M264" s="222"/>
      <c r="N264" s="222"/>
      <c r="O264" s="222"/>
      <c r="P264" s="222"/>
      <c r="Q264" s="223"/>
      <c r="R264" s="222"/>
      <c r="S264" s="222"/>
      <c r="T264" s="222"/>
      <c r="U264" s="222"/>
      <c r="V264" s="222"/>
      <c r="W264" s="223"/>
      <c r="X264" s="223"/>
      <c r="Y264" s="222"/>
      <c r="Z264" s="222"/>
      <c r="AA264" s="222"/>
      <c r="AB264" s="224"/>
    </row>
    <row r="265" spans="1:28" ht="13.5" customHeight="1">
      <c r="A265" s="222"/>
      <c r="B265" s="222"/>
      <c r="C265" s="222"/>
      <c r="D265" s="222"/>
      <c r="E265" s="222"/>
      <c r="F265" s="222"/>
      <c r="G265" s="222"/>
      <c r="H265" s="222"/>
      <c r="I265" s="222"/>
      <c r="J265" s="222"/>
      <c r="K265" s="222"/>
      <c r="L265" s="222"/>
      <c r="M265" s="222"/>
      <c r="N265" s="222"/>
      <c r="O265" s="222"/>
      <c r="P265" s="222"/>
      <c r="Q265" s="223"/>
      <c r="R265" s="222"/>
      <c r="S265" s="222"/>
      <c r="T265" s="222"/>
      <c r="U265" s="222"/>
      <c r="V265" s="222"/>
      <c r="W265" s="223"/>
      <c r="X265" s="223"/>
      <c r="Y265" s="222"/>
      <c r="Z265" s="222"/>
      <c r="AA265" s="222"/>
      <c r="AB265" s="224"/>
    </row>
    <row r="266" spans="1:28" ht="13.5" customHeight="1">
      <c r="A266" s="222"/>
      <c r="B266" s="222"/>
      <c r="C266" s="222"/>
      <c r="D266" s="222"/>
      <c r="E266" s="222"/>
      <c r="F266" s="222"/>
      <c r="G266" s="222"/>
      <c r="H266" s="222"/>
      <c r="I266" s="222"/>
      <c r="J266" s="222"/>
      <c r="K266" s="222"/>
      <c r="L266" s="222"/>
      <c r="M266" s="222"/>
      <c r="N266" s="222"/>
      <c r="O266" s="222"/>
      <c r="P266" s="222"/>
      <c r="Q266" s="223"/>
      <c r="R266" s="222"/>
      <c r="S266" s="222"/>
      <c r="T266" s="222"/>
      <c r="U266" s="222"/>
      <c r="V266" s="222"/>
      <c r="W266" s="223"/>
      <c r="X266" s="223"/>
      <c r="Y266" s="222"/>
      <c r="Z266" s="222"/>
      <c r="AA266" s="222"/>
      <c r="AB266" s="224"/>
    </row>
    <row r="267" spans="1:28" ht="13.5" customHeight="1">
      <c r="A267" s="222"/>
      <c r="B267" s="222"/>
      <c r="C267" s="222"/>
      <c r="D267" s="222"/>
      <c r="E267" s="222"/>
      <c r="F267" s="222"/>
      <c r="G267" s="222"/>
      <c r="H267" s="222"/>
      <c r="I267" s="222"/>
      <c r="J267" s="222"/>
      <c r="K267" s="222"/>
      <c r="L267" s="222"/>
      <c r="M267" s="222"/>
      <c r="N267" s="222"/>
      <c r="O267" s="222"/>
      <c r="P267" s="222"/>
      <c r="Q267" s="223"/>
      <c r="R267" s="222"/>
      <c r="S267" s="222"/>
      <c r="T267" s="222"/>
      <c r="U267" s="222"/>
      <c r="V267" s="222"/>
      <c r="W267" s="223"/>
      <c r="X267" s="223"/>
      <c r="Y267" s="222"/>
      <c r="Z267" s="222"/>
      <c r="AA267" s="222"/>
      <c r="AB267" s="224"/>
    </row>
    <row r="268" spans="1:28" ht="13.5" customHeight="1">
      <c r="A268" s="222"/>
      <c r="B268" s="222"/>
      <c r="C268" s="222"/>
      <c r="D268" s="222"/>
      <c r="E268" s="222"/>
      <c r="F268" s="222"/>
      <c r="G268" s="222"/>
      <c r="H268" s="222"/>
      <c r="I268" s="222"/>
      <c r="J268" s="222"/>
      <c r="K268" s="222"/>
      <c r="L268" s="222"/>
      <c r="M268" s="222"/>
      <c r="N268" s="222"/>
      <c r="O268" s="222"/>
      <c r="P268" s="222"/>
      <c r="Q268" s="223"/>
      <c r="R268" s="222"/>
      <c r="S268" s="222"/>
      <c r="T268" s="222"/>
      <c r="U268" s="222"/>
      <c r="V268" s="222"/>
      <c r="W268" s="223"/>
      <c r="X268" s="223"/>
      <c r="Y268" s="222"/>
      <c r="Z268" s="222"/>
      <c r="AA268" s="222"/>
      <c r="AB268" s="224"/>
    </row>
    <row r="269" spans="1:28" ht="13.5" customHeight="1">
      <c r="A269" s="222"/>
      <c r="B269" s="222"/>
      <c r="C269" s="222"/>
      <c r="D269" s="222"/>
      <c r="E269" s="222"/>
      <c r="F269" s="222"/>
      <c r="G269" s="222"/>
      <c r="H269" s="222"/>
      <c r="I269" s="222"/>
      <c r="J269" s="222"/>
      <c r="K269" s="222"/>
      <c r="L269" s="222"/>
      <c r="M269" s="222"/>
      <c r="N269" s="222"/>
      <c r="O269" s="222"/>
      <c r="P269" s="222"/>
      <c r="Q269" s="223"/>
      <c r="R269" s="222"/>
      <c r="S269" s="222"/>
      <c r="T269" s="222"/>
      <c r="U269" s="222"/>
      <c r="V269" s="222"/>
      <c r="W269" s="223"/>
      <c r="X269" s="223"/>
      <c r="Y269" s="222"/>
      <c r="Z269" s="222"/>
      <c r="AA269" s="222"/>
      <c r="AB269" s="224"/>
    </row>
    <row r="270" spans="1:28" ht="13.5" customHeight="1">
      <c r="A270" s="222"/>
      <c r="B270" s="222"/>
      <c r="C270" s="222"/>
      <c r="D270" s="222"/>
      <c r="E270" s="222"/>
      <c r="F270" s="222"/>
      <c r="G270" s="222"/>
      <c r="H270" s="222"/>
      <c r="I270" s="222"/>
      <c r="J270" s="222"/>
      <c r="K270" s="222"/>
      <c r="L270" s="222"/>
      <c r="M270" s="222"/>
      <c r="N270" s="222"/>
      <c r="O270" s="222"/>
      <c r="P270" s="222"/>
      <c r="Q270" s="223"/>
      <c r="R270" s="222"/>
      <c r="S270" s="222"/>
      <c r="T270" s="222"/>
      <c r="U270" s="222"/>
      <c r="V270" s="222"/>
      <c r="W270" s="223"/>
      <c r="X270" s="223"/>
      <c r="Y270" s="222"/>
      <c r="Z270" s="222"/>
      <c r="AA270" s="222"/>
      <c r="AB270" s="224"/>
    </row>
    <row r="271" spans="1:28" ht="13.5" customHeight="1">
      <c r="A271" s="222"/>
      <c r="B271" s="222"/>
      <c r="C271" s="222"/>
      <c r="D271" s="222"/>
      <c r="E271" s="222"/>
      <c r="F271" s="222"/>
      <c r="G271" s="222"/>
      <c r="H271" s="222"/>
      <c r="I271" s="222"/>
      <c r="J271" s="222"/>
      <c r="K271" s="222"/>
      <c r="L271" s="222"/>
      <c r="M271" s="222"/>
      <c r="N271" s="222"/>
      <c r="O271" s="222"/>
      <c r="P271" s="222"/>
      <c r="Q271" s="223"/>
      <c r="R271" s="222"/>
      <c r="S271" s="222"/>
      <c r="T271" s="222"/>
      <c r="U271" s="222"/>
      <c r="V271" s="222"/>
      <c r="W271" s="223"/>
      <c r="X271" s="223"/>
      <c r="Y271" s="222"/>
      <c r="Z271" s="222"/>
      <c r="AA271" s="222"/>
      <c r="AB271" s="224"/>
    </row>
    <row r="272" spans="1:28" ht="13.5" customHeight="1">
      <c r="A272" s="222"/>
      <c r="B272" s="222"/>
      <c r="C272" s="222"/>
      <c r="D272" s="222"/>
      <c r="E272" s="222"/>
      <c r="F272" s="222"/>
      <c r="G272" s="222"/>
      <c r="H272" s="222"/>
      <c r="I272" s="222"/>
      <c r="J272" s="222"/>
      <c r="K272" s="222"/>
      <c r="L272" s="222"/>
      <c r="M272" s="222"/>
      <c r="N272" s="222"/>
      <c r="O272" s="222"/>
      <c r="P272" s="222"/>
      <c r="Q272" s="223"/>
      <c r="R272" s="222"/>
      <c r="S272" s="222"/>
      <c r="T272" s="222"/>
      <c r="U272" s="222"/>
      <c r="V272" s="222"/>
      <c r="W272" s="223"/>
      <c r="X272" s="223"/>
      <c r="Y272" s="222"/>
      <c r="Z272" s="222"/>
      <c r="AA272" s="222"/>
      <c r="AB272" s="224"/>
    </row>
    <row r="273" spans="1:28" ht="13.5" customHeight="1">
      <c r="A273" s="222"/>
      <c r="B273" s="222"/>
      <c r="C273" s="222"/>
      <c r="D273" s="222"/>
      <c r="E273" s="222"/>
      <c r="F273" s="222"/>
      <c r="G273" s="222"/>
      <c r="H273" s="222"/>
      <c r="I273" s="222"/>
      <c r="J273" s="222"/>
      <c r="K273" s="222"/>
      <c r="L273" s="222"/>
      <c r="M273" s="222"/>
      <c r="N273" s="222"/>
      <c r="O273" s="222"/>
      <c r="P273" s="222"/>
      <c r="Q273" s="223"/>
      <c r="R273" s="222"/>
      <c r="S273" s="222"/>
      <c r="T273" s="222"/>
      <c r="U273" s="222"/>
      <c r="V273" s="222"/>
      <c r="W273" s="223"/>
      <c r="X273" s="223"/>
      <c r="Y273" s="222"/>
      <c r="Z273" s="222"/>
      <c r="AA273" s="222"/>
      <c r="AB273" s="224"/>
    </row>
    <row r="274" spans="1:28" ht="13.5" customHeight="1">
      <c r="A274" s="222"/>
      <c r="B274" s="222"/>
      <c r="C274" s="222"/>
      <c r="D274" s="222"/>
      <c r="E274" s="222"/>
      <c r="F274" s="222"/>
      <c r="G274" s="222"/>
      <c r="H274" s="222"/>
      <c r="I274" s="222"/>
      <c r="J274" s="222"/>
      <c r="K274" s="222"/>
      <c r="L274" s="222"/>
      <c r="M274" s="222"/>
      <c r="N274" s="222"/>
      <c r="O274" s="222"/>
      <c r="P274" s="222"/>
      <c r="Q274" s="223"/>
      <c r="R274" s="222"/>
      <c r="S274" s="222"/>
      <c r="T274" s="222"/>
      <c r="U274" s="222"/>
      <c r="V274" s="222"/>
      <c r="W274" s="223"/>
      <c r="X274" s="223"/>
      <c r="Y274" s="222"/>
      <c r="Z274" s="222"/>
      <c r="AA274" s="222"/>
      <c r="AB274" s="224"/>
    </row>
    <row r="275" spans="1:28" ht="13.5" customHeight="1">
      <c r="A275" s="222"/>
      <c r="B275" s="222"/>
      <c r="C275" s="222"/>
      <c r="D275" s="222"/>
      <c r="E275" s="222"/>
      <c r="F275" s="222"/>
      <c r="G275" s="222"/>
      <c r="H275" s="222"/>
      <c r="I275" s="222"/>
      <c r="J275" s="222"/>
      <c r="K275" s="222"/>
      <c r="L275" s="222"/>
      <c r="M275" s="222"/>
      <c r="N275" s="222"/>
      <c r="O275" s="222"/>
      <c r="P275" s="222"/>
      <c r="Q275" s="223"/>
      <c r="R275" s="222"/>
      <c r="S275" s="222"/>
      <c r="T275" s="222"/>
      <c r="U275" s="222"/>
      <c r="V275" s="222"/>
      <c r="W275" s="223"/>
      <c r="X275" s="223"/>
      <c r="Y275" s="222"/>
      <c r="Z275" s="222"/>
      <c r="AA275" s="222"/>
      <c r="AB275" s="224"/>
    </row>
    <row r="276" spans="1:28" ht="13.5" customHeight="1">
      <c r="A276" s="222"/>
      <c r="B276" s="222"/>
      <c r="C276" s="222"/>
      <c r="D276" s="222"/>
      <c r="E276" s="222"/>
      <c r="F276" s="222"/>
      <c r="G276" s="222"/>
      <c r="H276" s="222"/>
      <c r="I276" s="222"/>
      <c r="J276" s="222"/>
      <c r="K276" s="222"/>
      <c r="L276" s="222"/>
      <c r="M276" s="222"/>
      <c r="N276" s="222"/>
      <c r="O276" s="222"/>
      <c r="P276" s="222"/>
      <c r="Q276" s="223"/>
      <c r="R276" s="222"/>
      <c r="S276" s="222"/>
      <c r="T276" s="222"/>
      <c r="U276" s="222"/>
      <c r="V276" s="222"/>
      <c r="W276" s="223"/>
      <c r="X276" s="223"/>
      <c r="Y276" s="222"/>
      <c r="Z276" s="222"/>
      <c r="AA276" s="222"/>
      <c r="AB276" s="224"/>
    </row>
    <row r="277" spans="1:28" ht="13.5" customHeight="1">
      <c r="A277" s="222"/>
      <c r="B277" s="222"/>
      <c r="C277" s="222"/>
      <c r="D277" s="222"/>
      <c r="E277" s="222"/>
      <c r="F277" s="222"/>
      <c r="G277" s="222"/>
      <c r="H277" s="222"/>
      <c r="I277" s="222"/>
      <c r="J277" s="222"/>
      <c r="K277" s="222"/>
      <c r="L277" s="222"/>
      <c r="M277" s="222"/>
      <c r="N277" s="222"/>
      <c r="O277" s="222"/>
      <c r="P277" s="222"/>
      <c r="Q277" s="223"/>
      <c r="R277" s="222"/>
      <c r="S277" s="222"/>
      <c r="T277" s="222"/>
      <c r="U277" s="222"/>
      <c r="V277" s="222"/>
      <c r="W277" s="223"/>
      <c r="X277" s="223"/>
      <c r="Y277" s="222"/>
      <c r="Z277" s="222"/>
      <c r="AA277" s="222"/>
      <c r="AB277" s="224"/>
    </row>
    <row r="278" spans="1:28" ht="13.5" customHeight="1">
      <c r="A278" s="222"/>
      <c r="B278" s="222"/>
      <c r="C278" s="222"/>
      <c r="D278" s="222"/>
      <c r="E278" s="222"/>
      <c r="F278" s="222"/>
      <c r="G278" s="222"/>
      <c r="H278" s="222"/>
      <c r="I278" s="222"/>
      <c r="J278" s="222"/>
      <c r="K278" s="222"/>
      <c r="L278" s="222"/>
      <c r="M278" s="222"/>
      <c r="N278" s="222"/>
      <c r="O278" s="222"/>
      <c r="P278" s="222"/>
      <c r="Q278" s="223"/>
      <c r="R278" s="222"/>
      <c r="S278" s="222"/>
      <c r="T278" s="222"/>
      <c r="U278" s="222"/>
      <c r="V278" s="222"/>
      <c r="W278" s="223"/>
      <c r="X278" s="223"/>
      <c r="Y278" s="222"/>
      <c r="Z278" s="222"/>
      <c r="AA278" s="222"/>
      <c r="AB278" s="224"/>
    </row>
    <row r="279" spans="1:28" ht="13.5" customHeight="1">
      <c r="A279" s="222"/>
      <c r="B279" s="222"/>
      <c r="C279" s="222"/>
      <c r="D279" s="222"/>
      <c r="E279" s="222"/>
      <c r="F279" s="222"/>
      <c r="G279" s="222"/>
      <c r="H279" s="222"/>
      <c r="I279" s="222"/>
      <c r="J279" s="222"/>
      <c r="K279" s="222"/>
      <c r="L279" s="222"/>
      <c r="M279" s="222"/>
      <c r="N279" s="222"/>
      <c r="O279" s="222"/>
      <c r="P279" s="222"/>
      <c r="Q279" s="223"/>
      <c r="R279" s="222"/>
      <c r="S279" s="222"/>
      <c r="T279" s="222"/>
      <c r="U279" s="222"/>
      <c r="V279" s="222"/>
      <c r="W279" s="223"/>
      <c r="X279" s="223"/>
      <c r="Y279" s="222"/>
      <c r="Z279" s="222"/>
      <c r="AA279" s="222"/>
      <c r="AB279" s="224"/>
    </row>
    <row r="280" spans="1:28" ht="13.5" customHeight="1">
      <c r="A280" s="222"/>
      <c r="B280" s="222"/>
      <c r="C280" s="222"/>
      <c r="D280" s="222"/>
      <c r="E280" s="222"/>
      <c r="F280" s="222"/>
      <c r="G280" s="222"/>
      <c r="H280" s="222"/>
      <c r="I280" s="222"/>
      <c r="J280" s="222"/>
      <c r="K280" s="222"/>
      <c r="L280" s="222"/>
      <c r="M280" s="222"/>
      <c r="N280" s="222"/>
      <c r="O280" s="222"/>
      <c r="P280" s="222"/>
      <c r="Q280" s="223"/>
      <c r="R280" s="222"/>
      <c r="S280" s="222"/>
      <c r="T280" s="222"/>
      <c r="U280" s="222"/>
      <c r="V280" s="222"/>
      <c r="W280" s="223"/>
      <c r="X280" s="223"/>
      <c r="Y280" s="222"/>
      <c r="Z280" s="222"/>
      <c r="AA280" s="222"/>
      <c r="AB280" s="224"/>
    </row>
    <row r="281" spans="1:28" ht="13.5" customHeight="1">
      <c r="A281" s="222"/>
      <c r="B281" s="222"/>
      <c r="C281" s="222"/>
      <c r="D281" s="222"/>
      <c r="E281" s="222"/>
      <c r="F281" s="222"/>
      <c r="G281" s="222"/>
      <c r="H281" s="222"/>
      <c r="I281" s="222"/>
      <c r="J281" s="222"/>
      <c r="K281" s="222"/>
      <c r="L281" s="222"/>
      <c r="M281" s="222"/>
      <c r="N281" s="222"/>
      <c r="O281" s="222"/>
      <c r="P281" s="222"/>
      <c r="Q281" s="223"/>
      <c r="R281" s="222"/>
      <c r="S281" s="222"/>
      <c r="T281" s="222"/>
      <c r="U281" s="222"/>
      <c r="V281" s="222"/>
      <c r="W281" s="223"/>
      <c r="X281" s="223"/>
      <c r="Y281" s="222"/>
      <c r="Z281" s="222"/>
      <c r="AA281" s="222"/>
      <c r="AB281" s="224"/>
    </row>
    <row r="282" spans="1:28" ht="13.5" customHeight="1">
      <c r="A282" s="222"/>
      <c r="B282" s="222"/>
      <c r="C282" s="222"/>
      <c r="D282" s="222"/>
      <c r="E282" s="222"/>
      <c r="F282" s="222"/>
      <c r="G282" s="222"/>
      <c r="H282" s="222"/>
      <c r="I282" s="222"/>
      <c r="J282" s="222"/>
      <c r="K282" s="222"/>
      <c r="L282" s="222"/>
      <c r="M282" s="222"/>
      <c r="N282" s="222"/>
      <c r="O282" s="222"/>
      <c r="P282" s="222"/>
      <c r="Q282" s="223"/>
      <c r="R282" s="222"/>
      <c r="S282" s="222"/>
      <c r="T282" s="222"/>
      <c r="U282" s="222"/>
      <c r="V282" s="222"/>
      <c r="W282" s="223"/>
      <c r="X282" s="223"/>
      <c r="Y282" s="222"/>
      <c r="Z282" s="222"/>
      <c r="AA282" s="222"/>
      <c r="AB282" s="224"/>
    </row>
    <row r="283" spans="1:28" ht="13.5" customHeight="1">
      <c r="A283" s="222"/>
      <c r="B283" s="222"/>
      <c r="C283" s="222"/>
      <c r="D283" s="222"/>
      <c r="E283" s="222"/>
      <c r="F283" s="222"/>
      <c r="G283" s="222"/>
      <c r="H283" s="222"/>
      <c r="I283" s="222"/>
      <c r="J283" s="222"/>
      <c r="K283" s="222"/>
      <c r="L283" s="222"/>
      <c r="M283" s="222"/>
      <c r="N283" s="222"/>
      <c r="O283" s="222"/>
      <c r="P283" s="222"/>
      <c r="Q283" s="223"/>
      <c r="R283" s="222"/>
      <c r="S283" s="222"/>
      <c r="T283" s="222"/>
      <c r="U283" s="222"/>
      <c r="V283" s="222"/>
      <c r="W283" s="223"/>
      <c r="X283" s="223"/>
      <c r="Y283" s="222"/>
      <c r="Z283" s="222"/>
      <c r="AA283" s="222"/>
      <c r="AB283" s="224"/>
    </row>
    <row r="284" spans="1:28" ht="13.5" customHeight="1">
      <c r="A284" s="222"/>
      <c r="B284" s="222"/>
      <c r="C284" s="222"/>
      <c r="D284" s="222"/>
      <c r="E284" s="222"/>
      <c r="F284" s="222"/>
      <c r="G284" s="222"/>
      <c r="H284" s="222"/>
      <c r="I284" s="222"/>
      <c r="J284" s="222"/>
      <c r="K284" s="222"/>
      <c r="L284" s="222"/>
      <c r="M284" s="222"/>
      <c r="N284" s="222"/>
      <c r="O284" s="222"/>
      <c r="P284" s="222"/>
      <c r="Q284" s="223"/>
      <c r="R284" s="222"/>
      <c r="S284" s="222"/>
      <c r="T284" s="222"/>
      <c r="U284" s="222"/>
      <c r="V284" s="222"/>
      <c r="W284" s="223"/>
      <c r="X284" s="223"/>
      <c r="Y284" s="222"/>
      <c r="Z284" s="222"/>
      <c r="AA284" s="222"/>
      <c r="AB284" s="224"/>
    </row>
    <row r="285" spans="1:28" ht="13.5" customHeight="1">
      <c r="A285" s="222"/>
      <c r="B285" s="222"/>
      <c r="C285" s="222"/>
      <c r="D285" s="222"/>
      <c r="E285" s="222"/>
      <c r="F285" s="222"/>
      <c r="G285" s="222"/>
      <c r="H285" s="222"/>
      <c r="I285" s="222"/>
      <c r="J285" s="222"/>
      <c r="K285" s="222"/>
      <c r="L285" s="222"/>
      <c r="M285" s="222"/>
      <c r="N285" s="222"/>
      <c r="O285" s="222"/>
      <c r="P285" s="222"/>
      <c r="Q285" s="223"/>
      <c r="R285" s="222"/>
      <c r="S285" s="222"/>
      <c r="T285" s="222"/>
      <c r="U285" s="222"/>
      <c r="V285" s="222"/>
      <c r="W285" s="223"/>
      <c r="X285" s="223"/>
      <c r="Y285" s="222"/>
      <c r="Z285" s="222"/>
      <c r="AA285" s="222"/>
      <c r="AB285" s="224"/>
    </row>
    <row r="286" spans="1:28" ht="13.5" customHeight="1">
      <c r="A286" s="222"/>
      <c r="B286" s="222"/>
      <c r="C286" s="222"/>
      <c r="D286" s="222"/>
      <c r="E286" s="222"/>
      <c r="F286" s="222"/>
      <c r="G286" s="222"/>
      <c r="H286" s="222"/>
      <c r="I286" s="222"/>
      <c r="J286" s="222"/>
      <c r="K286" s="222"/>
      <c r="L286" s="222"/>
      <c r="M286" s="222"/>
      <c r="N286" s="222"/>
      <c r="O286" s="222"/>
      <c r="P286" s="222"/>
      <c r="Q286" s="223"/>
      <c r="R286" s="222"/>
      <c r="S286" s="222"/>
      <c r="T286" s="222"/>
      <c r="U286" s="222"/>
      <c r="V286" s="222"/>
      <c r="W286" s="223"/>
      <c r="X286" s="223"/>
      <c r="Y286" s="222"/>
      <c r="Z286" s="222"/>
      <c r="AA286" s="222"/>
      <c r="AB286" s="224"/>
    </row>
    <row r="287" spans="1:28" ht="13.5" customHeight="1">
      <c r="A287" s="222"/>
      <c r="B287" s="222"/>
      <c r="C287" s="222"/>
      <c r="D287" s="222"/>
      <c r="E287" s="222"/>
      <c r="F287" s="222"/>
      <c r="G287" s="222"/>
      <c r="H287" s="222"/>
      <c r="I287" s="222"/>
      <c r="J287" s="222"/>
      <c r="K287" s="222"/>
      <c r="L287" s="222"/>
      <c r="M287" s="222"/>
      <c r="N287" s="222"/>
      <c r="O287" s="222"/>
      <c r="P287" s="222"/>
      <c r="Q287" s="223"/>
      <c r="R287" s="222"/>
      <c r="S287" s="222"/>
      <c r="T287" s="222"/>
      <c r="U287" s="222"/>
      <c r="V287" s="222"/>
      <c r="W287" s="223"/>
      <c r="X287" s="223"/>
      <c r="Y287" s="222"/>
      <c r="Z287" s="222"/>
      <c r="AA287" s="222"/>
      <c r="AB287" s="224"/>
    </row>
    <row r="288" spans="1:28" ht="13.5" customHeight="1">
      <c r="A288" s="222"/>
      <c r="B288" s="222"/>
      <c r="C288" s="222"/>
      <c r="D288" s="222"/>
      <c r="E288" s="222"/>
      <c r="F288" s="222"/>
      <c r="G288" s="222"/>
      <c r="H288" s="222"/>
      <c r="I288" s="222"/>
      <c r="J288" s="222"/>
      <c r="K288" s="222"/>
      <c r="L288" s="222"/>
      <c r="M288" s="222"/>
      <c r="N288" s="222"/>
      <c r="O288" s="222"/>
      <c r="P288" s="222"/>
      <c r="Q288" s="223"/>
      <c r="R288" s="222"/>
      <c r="S288" s="222"/>
      <c r="T288" s="222"/>
      <c r="U288" s="222"/>
      <c r="V288" s="222"/>
      <c r="W288" s="223"/>
      <c r="X288" s="223"/>
      <c r="Y288" s="222"/>
      <c r="Z288" s="222"/>
      <c r="AA288" s="222"/>
      <c r="AB288" s="224"/>
    </row>
    <row r="289" spans="1:28" ht="13.5" customHeight="1">
      <c r="A289" s="222"/>
      <c r="B289" s="222"/>
      <c r="C289" s="222"/>
      <c r="D289" s="222"/>
      <c r="E289" s="222"/>
      <c r="F289" s="222"/>
      <c r="G289" s="222"/>
      <c r="H289" s="222"/>
      <c r="I289" s="222"/>
      <c r="J289" s="222"/>
      <c r="K289" s="222"/>
      <c r="L289" s="222"/>
      <c r="M289" s="222"/>
      <c r="N289" s="222"/>
      <c r="O289" s="222"/>
      <c r="P289" s="222"/>
      <c r="Q289" s="223"/>
      <c r="R289" s="222"/>
      <c r="S289" s="222"/>
      <c r="T289" s="222"/>
      <c r="U289" s="222"/>
      <c r="V289" s="222"/>
      <c r="W289" s="223"/>
      <c r="X289" s="223"/>
      <c r="Y289" s="222"/>
      <c r="Z289" s="222"/>
      <c r="AA289" s="222"/>
      <c r="AB289" s="224"/>
    </row>
    <row r="290" spans="1:28" ht="13.5" customHeight="1">
      <c r="A290" s="222"/>
      <c r="B290" s="222"/>
      <c r="C290" s="222"/>
      <c r="D290" s="222"/>
      <c r="E290" s="222"/>
      <c r="F290" s="222"/>
      <c r="G290" s="222"/>
      <c r="H290" s="222"/>
      <c r="I290" s="222"/>
      <c r="J290" s="222"/>
      <c r="K290" s="222"/>
      <c r="L290" s="222"/>
      <c r="M290" s="222"/>
      <c r="N290" s="222"/>
      <c r="O290" s="222"/>
      <c r="P290" s="222"/>
      <c r="Q290" s="223"/>
      <c r="R290" s="222"/>
      <c r="S290" s="222"/>
      <c r="T290" s="222"/>
      <c r="U290" s="222"/>
      <c r="V290" s="222"/>
      <c r="W290" s="223"/>
      <c r="X290" s="223"/>
      <c r="Y290" s="222"/>
      <c r="Z290" s="222"/>
      <c r="AA290" s="222"/>
      <c r="AB290" s="224"/>
    </row>
    <row r="291" spans="1:28" ht="13.5" customHeight="1">
      <c r="A291" s="222"/>
      <c r="B291" s="222"/>
      <c r="C291" s="222"/>
      <c r="D291" s="222"/>
      <c r="E291" s="222"/>
      <c r="F291" s="222"/>
      <c r="G291" s="222"/>
      <c r="H291" s="222"/>
      <c r="I291" s="222"/>
      <c r="J291" s="222"/>
      <c r="K291" s="222"/>
      <c r="L291" s="222"/>
      <c r="M291" s="222"/>
      <c r="N291" s="222"/>
      <c r="O291" s="222"/>
      <c r="P291" s="222"/>
      <c r="Q291" s="223"/>
      <c r="R291" s="222"/>
      <c r="S291" s="222"/>
      <c r="T291" s="222"/>
      <c r="U291" s="222"/>
      <c r="V291" s="222"/>
      <c r="W291" s="223"/>
      <c r="X291" s="223"/>
      <c r="Y291" s="222"/>
      <c r="Z291" s="222"/>
      <c r="AA291" s="222"/>
      <c r="AB291" s="224"/>
    </row>
    <row r="292" spans="1:28" ht="13.5" customHeight="1">
      <c r="A292" s="222"/>
      <c r="B292" s="222"/>
      <c r="C292" s="222"/>
      <c r="D292" s="222"/>
      <c r="E292" s="222"/>
      <c r="F292" s="222"/>
      <c r="G292" s="222"/>
      <c r="H292" s="222"/>
      <c r="I292" s="222"/>
      <c r="J292" s="222"/>
      <c r="K292" s="222"/>
      <c r="L292" s="222"/>
      <c r="M292" s="222"/>
      <c r="N292" s="222"/>
      <c r="O292" s="222"/>
      <c r="P292" s="222"/>
      <c r="Q292" s="223"/>
      <c r="R292" s="222"/>
      <c r="S292" s="222"/>
      <c r="T292" s="222"/>
      <c r="U292" s="222"/>
      <c r="V292" s="222"/>
      <c r="W292" s="223"/>
      <c r="X292" s="223"/>
      <c r="Y292" s="222"/>
      <c r="Z292" s="222"/>
      <c r="AA292" s="222"/>
      <c r="AB292" s="224"/>
    </row>
    <row r="293" spans="1:28" ht="13.5" customHeight="1">
      <c r="A293" s="222"/>
      <c r="B293" s="222"/>
      <c r="C293" s="222"/>
      <c r="D293" s="222"/>
      <c r="E293" s="222"/>
      <c r="F293" s="222"/>
      <c r="G293" s="222"/>
      <c r="H293" s="222"/>
      <c r="I293" s="222"/>
      <c r="J293" s="222"/>
      <c r="K293" s="222"/>
      <c r="L293" s="222"/>
      <c r="M293" s="222"/>
      <c r="N293" s="222"/>
      <c r="O293" s="222"/>
      <c r="P293" s="222"/>
      <c r="Q293" s="223"/>
      <c r="R293" s="222"/>
      <c r="S293" s="222"/>
      <c r="T293" s="222"/>
      <c r="U293" s="222"/>
      <c r="V293" s="222"/>
      <c r="W293" s="223"/>
      <c r="X293" s="223"/>
      <c r="Y293" s="222"/>
      <c r="Z293" s="222"/>
      <c r="AA293" s="222"/>
      <c r="AB293" s="224"/>
    </row>
    <row r="294" spans="1:28" ht="13.5" customHeight="1">
      <c r="A294" s="222"/>
      <c r="B294" s="222"/>
      <c r="C294" s="222"/>
      <c r="D294" s="222"/>
      <c r="E294" s="222"/>
      <c r="F294" s="222"/>
      <c r="G294" s="222"/>
      <c r="H294" s="222"/>
      <c r="I294" s="222"/>
      <c r="J294" s="222"/>
      <c r="K294" s="222"/>
      <c r="L294" s="222"/>
      <c r="M294" s="222"/>
      <c r="N294" s="222"/>
      <c r="O294" s="222"/>
      <c r="P294" s="222"/>
      <c r="Q294" s="223"/>
      <c r="R294" s="222"/>
      <c r="S294" s="222"/>
      <c r="T294" s="222"/>
      <c r="U294" s="222"/>
      <c r="V294" s="222"/>
      <c r="W294" s="223"/>
      <c r="X294" s="223"/>
      <c r="Y294" s="222"/>
      <c r="Z294" s="222"/>
      <c r="AA294" s="222"/>
      <c r="AB294" s="224"/>
    </row>
    <row r="295" spans="1:28" ht="13.5" customHeight="1">
      <c r="A295" s="222"/>
      <c r="B295" s="222"/>
      <c r="C295" s="222"/>
      <c r="D295" s="222"/>
      <c r="E295" s="222"/>
      <c r="F295" s="222"/>
      <c r="G295" s="222"/>
      <c r="H295" s="222"/>
      <c r="I295" s="222"/>
      <c r="J295" s="222"/>
      <c r="K295" s="222"/>
      <c r="L295" s="222"/>
      <c r="M295" s="222"/>
      <c r="N295" s="222"/>
      <c r="O295" s="222"/>
      <c r="P295" s="222"/>
      <c r="Q295" s="223"/>
      <c r="R295" s="222"/>
      <c r="S295" s="222"/>
      <c r="T295" s="222"/>
      <c r="U295" s="222"/>
      <c r="V295" s="222"/>
      <c r="W295" s="223"/>
      <c r="X295" s="223"/>
      <c r="Y295" s="222"/>
      <c r="Z295" s="222"/>
      <c r="AA295" s="222"/>
      <c r="AB295" s="224"/>
    </row>
    <row r="296" spans="1:28" ht="13.5" customHeight="1">
      <c r="A296" s="222"/>
      <c r="B296" s="222"/>
      <c r="C296" s="222"/>
      <c r="D296" s="222"/>
      <c r="E296" s="222"/>
      <c r="F296" s="222"/>
      <c r="G296" s="222"/>
      <c r="H296" s="222"/>
      <c r="I296" s="222"/>
      <c r="J296" s="222"/>
      <c r="K296" s="222"/>
      <c r="L296" s="222"/>
      <c r="M296" s="222"/>
      <c r="N296" s="222"/>
      <c r="O296" s="222"/>
      <c r="P296" s="222"/>
      <c r="Q296" s="223"/>
      <c r="R296" s="222"/>
      <c r="S296" s="222"/>
      <c r="T296" s="222"/>
      <c r="U296" s="222"/>
      <c r="V296" s="222"/>
      <c r="W296" s="223"/>
      <c r="X296" s="223"/>
      <c r="Y296" s="222"/>
      <c r="Z296" s="222"/>
      <c r="AA296" s="222"/>
      <c r="AB296" s="224"/>
    </row>
    <row r="297" spans="1:28" ht="13.5" customHeight="1">
      <c r="A297" s="222"/>
      <c r="B297" s="222"/>
      <c r="C297" s="222"/>
      <c r="D297" s="222"/>
      <c r="E297" s="222"/>
      <c r="F297" s="222"/>
      <c r="G297" s="222"/>
      <c r="H297" s="222"/>
      <c r="I297" s="222"/>
      <c r="J297" s="222"/>
      <c r="K297" s="222"/>
      <c r="L297" s="222"/>
      <c r="M297" s="222"/>
      <c r="N297" s="222"/>
      <c r="O297" s="222"/>
      <c r="P297" s="222"/>
      <c r="Q297" s="223"/>
      <c r="R297" s="222"/>
      <c r="S297" s="222"/>
      <c r="T297" s="222"/>
      <c r="U297" s="222"/>
      <c r="V297" s="222"/>
      <c r="W297" s="223"/>
      <c r="X297" s="223"/>
      <c r="Y297" s="222"/>
      <c r="Z297" s="222"/>
      <c r="AA297" s="222"/>
      <c r="AB297" s="224"/>
    </row>
    <row r="298" spans="1:28" ht="13.5" customHeight="1">
      <c r="A298" s="222"/>
      <c r="B298" s="222"/>
      <c r="C298" s="222"/>
      <c r="D298" s="222"/>
      <c r="E298" s="222"/>
      <c r="F298" s="222"/>
      <c r="G298" s="222"/>
      <c r="H298" s="222"/>
      <c r="I298" s="222"/>
      <c r="J298" s="222"/>
      <c r="K298" s="222"/>
      <c r="L298" s="222"/>
      <c r="M298" s="222"/>
      <c r="N298" s="222"/>
      <c r="O298" s="222"/>
      <c r="P298" s="222"/>
      <c r="Q298" s="223"/>
      <c r="R298" s="222"/>
      <c r="S298" s="222"/>
      <c r="T298" s="222"/>
      <c r="U298" s="222"/>
      <c r="V298" s="222"/>
      <c r="W298" s="223"/>
      <c r="X298" s="223"/>
      <c r="Y298" s="222"/>
      <c r="Z298" s="222"/>
      <c r="AA298" s="222"/>
      <c r="AB298" s="224"/>
    </row>
    <row r="299" spans="1:28" ht="13.5" customHeight="1">
      <c r="A299" s="222"/>
      <c r="B299" s="222"/>
      <c r="C299" s="222"/>
      <c r="D299" s="222"/>
      <c r="E299" s="222"/>
      <c r="F299" s="222"/>
      <c r="G299" s="222"/>
      <c r="H299" s="222"/>
      <c r="I299" s="222"/>
      <c r="J299" s="222"/>
      <c r="K299" s="222"/>
      <c r="L299" s="222"/>
      <c r="M299" s="222"/>
      <c r="N299" s="222"/>
      <c r="O299" s="222"/>
      <c r="P299" s="222"/>
      <c r="Q299" s="223"/>
      <c r="R299" s="222"/>
      <c r="S299" s="222"/>
      <c r="T299" s="222"/>
      <c r="U299" s="222"/>
      <c r="V299" s="222"/>
      <c r="W299" s="223"/>
      <c r="X299" s="223"/>
      <c r="Y299" s="222"/>
      <c r="Z299" s="222"/>
      <c r="AA299" s="222"/>
      <c r="AB299" s="224"/>
    </row>
    <row r="300" spans="1:28" ht="13.5" customHeight="1">
      <c r="A300" s="222"/>
      <c r="B300" s="222"/>
      <c r="C300" s="222"/>
      <c r="D300" s="222"/>
      <c r="E300" s="222"/>
      <c r="F300" s="222"/>
      <c r="G300" s="222"/>
      <c r="H300" s="222"/>
      <c r="I300" s="222"/>
      <c r="J300" s="222"/>
      <c r="K300" s="222"/>
      <c r="L300" s="222"/>
      <c r="M300" s="222"/>
      <c r="N300" s="222"/>
      <c r="O300" s="222"/>
      <c r="P300" s="222"/>
      <c r="Q300" s="223"/>
      <c r="R300" s="222"/>
      <c r="S300" s="222"/>
      <c r="T300" s="222"/>
      <c r="U300" s="222"/>
      <c r="V300" s="222"/>
      <c r="W300" s="223"/>
      <c r="X300" s="223"/>
      <c r="Y300" s="222"/>
      <c r="Z300" s="222"/>
      <c r="AA300" s="222"/>
      <c r="AB300" s="224"/>
    </row>
    <row r="301" spans="1:28" ht="13.5" customHeight="1">
      <c r="A301" s="222"/>
      <c r="B301" s="222"/>
      <c r="C301" s="222"/>
      <c r="D301" s="222"/>
      <c r="E301" s="222"/>
      <c r="F301" s="222"/>
      <c r="G301" s="222"/>
      <c r="H301" s="222"/>
      <c r="I301" s="222"/>
      <c r="J301" s="222"/>
      <c r="K301" s="222"/>
      <c r="L301" s="222"/>
      <c r="M301" s="222"/>
      <c r="N301" s="222"/>
      <c r="O301" s="222"/>
      <c r="P301" s="222"/>
      <c r="Q301" s="223"/>
      <c r="R301" s="222"/>
      <c r="S301" s="222"/>
      <c r="T301" s="222"/>
      <c r="U301" s="222"/>
      <c r="V301" s="222"/>
      <c r="W301" s="223"/>
      <c r="X301" s="223"/>
      <c r="Y301" s="222"/>
      <c r="Z301" s="222"/>
      <c r="AA301" s="222"/>
      <c r="AB301" s="224"/>
    </row>
    <row r="302" spans="1:28" ht="13.5" customHeight="1">
      <c r="A302" s="222"/>
      <c r="B302" s="222"/>
      <c r="C302" s="222"/>
      <c r="D302" s="222"/>
      <c r="E302" s="222"/>
      <c r="F302" s="222"/>
      <c r="G302" s="222"/>
      <c r="H302" s="222"/>
      <c r="I302" s="222"/>
      <c r="J302" s="222"/>
      <c r="K302" s="222"/>
      <c r="L302" s="222"/>
      <c r="M302" s="222"/>
      <c r="N302" s="222"/>
      <c r="O302" s="222"/>
      <c r="P302" s="222"/>
      <c r="Q302" s="223"/>
      <c r="R302" s="222"/>
      <c r="S302" s="222"/>
      <c r="T302" s="222"/>
      <c r="U302" s="222"/>
      <c r="V302" s="222"/>
      <c r="W302" s="223"/>
      <c r="X302" s="223"/>
      <c r="Y302" s="222"/>
      <c r="Z302" s="222"/>
      <c r="AA302" s="222"/>
      <c r="AB302" s="224"/>
    </row>
    <row r="303" spans="1:28" ht="13.5" customHeight="1">
      <c r="A303" s="222"/>
      <c r="B303" s="222"/>
      <c r="C303" s="222"/>
      <c r="D303" s="222"/>
      <c r="E303" s="222"/>
      <c r="F303" s="222"/>
      <c r="G303" s="222"/>
      <c r="H303" s="222"/>
      <c r="I303" s="222"/>
      <c r="J303" s="222"/>
      <c r="K303" s="222"/>
      <c r="L303" s="222"/>
      <c r="M303" s="222"/>
      <c r="N303" s="222"/>
      <c r="O303" s="222"/>
      <c r="P303" s="222"/>
      <c r="Q303" s="223"/>
      <c r="R303" s="222"/>
      <c r="S303" s="222"/>
      <c r="T303" s="222"/>
      <c r="U303" s="222"/>
      <c r="V303" s="222"/>
      <c r="W303" s="223"/>
      <c r="X303" s="223"/>
      <c r="Y303" s="222"/>
      <c r="Z303" s="222"/>
      <c r="AA303" s="222"/>
      <c r="AB303" s="224"/>
    </row>
    <row r="304" spans="1:28" ht="13.5" customHeight="1">
      <c r="A304" s="222"/>
      <c r="B304" s="222"/>
      <c r="C304" s="222"/>
      <c r="D304" s="222"/>
      <c r="E304" s="222"/>
      <c r="F304" s="222"/>
      <c r="G304" s="222"/>
      <c r="H304" s="222"/>
      <c r="I304" s="222"/>
      <c r="J304" s="222"/>
      <c r="K304" s="222"/>
      <c r="L304" s="222"/>
      <c r="M304" s="222"/>
      <c r="N304" s="222"/>
      <c r="O304" s="222"/>
      <c r="P304" s="222"/>
      <c r="Q304" s="223"/>
      <c r="R304" s="222"/>
      <c r="S304" s="222"/>
      <c r="T304" s="222"/>
      <c r="U304" s="222"/>
      <c r="V304" s="222"/>
      <c r="W304" s="223"/>
      <c r="X304" s="223"/>
      <c r="Y304" s="222"/>
      <c r="Z304" s="222"/>
      <c r="AA304" s="222"/>
      <c r="AB304" s="224"/>
    </row>
    <row r="305" spans="1:28" ht="13.5" customHeight="1">
      <c r="A305" s="222"/>
      <c r="B305" s="222"/>
      <c r="C305" s="222"/>
      <c r="D305" s="222"/>
      <c r="E305" s="222"/>
      <c r="F305" s="222"/>
      <c r="G305" s="222"/>
      <c r="H305" s="222"/>
      <c r="I305" s="222"/>
      <c r="J305" s="222"/>
      <c r="K305" s="222"/>
      <c r="L305" s="222"/>
      <c r="M305" s="222"/>
      <c r="N305" s="222"/>
      <c r="O305" s="222"/>
      <c r="P305" s="222"/>
      <c r="Q305" s="223"/>
      <c r="R305" s="222"/>
      <c r="S305" s="222"/>
      <c r="T305" s="222"/>
      <c r="U305" s="222"/>
      <c r="V305" s="222"/>
      <c r="W305" s="223"/>
      <c r="X305" s="223"/>
      <c r="Y305" s="222"/>
      <c r="Z305" s="222"/>
      <c r="AA305" s="222"/>
      <c r="AB305" s="224"/>
    </row>
    <row r="306" spans="1:28" ht="13.5" customHeight="1">
      <c r="A306" s="222"/>
      <c r="B306" s="222"/>
      <c r="C306" s="222"/>
      <c r="D306" s="222"/>
      <c r="E306" s="222"/>
      <c r="F306" s="222"/>
      <c r="G306" s="222"/>
      <c r="H306" s="222"/>
      <c r="I306" s="222"/>
      <c r="J306" s="222"/>
      <c r="K306" s="222"/>
      <c r="L306" s="222"/>
      <c r="M306" s="222"/>
      <c r="N306" s="222"/>
      <c r="O306" s="222"/>
      <c r="P306" s="222"/>
      <c r="Q306" s="223"/>
      <c r="R306" s="222"/>
      <c r="S306" s="222"/>
      <c r="T306" s="222"/>
      <c r="U306" s="222"/>
      <c r="V306" s="222"/>
      <c r="W306" s="223"/>
      <c r="X306" s="223"/>
      <c r="Y306" s="222"/>
      <c r="Z306" s="222"/>
      <c r="AA306" s="222"/>
      <c r="AB306" s="224"/>
    </row>
    <row r="307" spans="1:28" ht="13.5" customHeight="1">
      <c r="A307" s="222"/>
      <c r="B307" s="222"/>
      <c r="C307" s="222"/>
      <c r="D307" s="222"/>
      <c r="E307" s="222"/>
      <c r="F307" s="222"/>
      <c r="G307" s="222"/>
      <c r="H307" s="222"/>
      <c r="I307" s="222"/>
      <c r="J307" s="222"/>
      <c r="K307" s="222"/>
      <c r="L307" s="222"/>
      <c r="M307" s="222"/>
      <c r="N307" s="222"/>
      <c r="O307" s="222"/>
      <c r="P307" s="222"/>
      <c r="Q307" s="223"/>
      <c r="R307" s="222"/>
      <c r="S307" s="222"/>
      <c r="T307" s="222"/>
      <c r="U307" s="222"/>
      <c r="V307" s="222"/>
      <c r="W307" s="223"/>
      <c r="X307" s="223"/>
      <c r="Y307" s="222"/>
      <c r="Z307" s="222"/>
      <c r="AA307" s="222"/>
      <c r="AB307" s="224"/>
    </row>
    <row r="308" spans="1:28" ht="13.5" customHeight="1">
      <c r="A308" s="222"/>
      <c r="B308" s="222"/>
      <c r="C308" s="222"/>
      <c r="D308" s="222"/>
      <c r="E308" s="222"/>
      <c r="F308" s="222"/>
      <c r="G308" s="222"/>
      <c r="H308" s="222"/>
      <c r="I308" s="222"/>
      <c r="J308" s="222"/>
      <c r="K308" s="222"/>
      <c r="L308" s="222"/>
      <c r="M308" s="222"/>
      <c r="N308" s="222"/>
      <c r="O308" s="222"/>
      <c r="P308" s="222"/>
      <c r="Q308" s="223"/>
      <c r="R308" s="222"/>
      <c r="S308" s="222"/>
      <c r="T308" s="222"/>
      <c r="U308" s="222"/>
      <c r="V308" s="222"/>
      <c r="W308" s="223"/>
      <c r="X308" s="223"/>
      <c r="Y308" s="222"/>
      <c r="Z308" s="222"/>
      <c r="AA308" s="222"/>
      <c r="AB308" s="224"/>
    </row>
    <row r="309" spans="1:28" ht="13.5" customHeight="1">
      <c r="A309" s="222"/>
      <c r="B309" s="222"/>
      <c r="C309" s="222"/>
      <c r="D309" s="222"/>
      <c r="E309" s="222"/>
      <c r="F309" s="222"/>
      <c r="G309" s="222"/>
      <c r="H309" s="222"/>
      <c r="I309" s="222"/>
      <c r="J309" s="222"/>
      <c r="K309" s="222"/>
      <c r="L309" s="222"/>
      <c r="M309" s="222"/>
      <c r="N309" s="222"/>
      <c r="O309" s="222"/>
      <c r="P309" s="222"/>
      <c r="Q309" s="223"/>
      <c r="R309" s="222"/>
      <c r="S309" s="222"/>
      <c r="T309" s="222"/>
      <c r="U309" s="222"/>
      <c r="V309" s="222"/>
      <c r="W309" s="223"/>
      <c r="X309" s="223"/>
      <c r="Y309" s="222"/>
      <c r="Z309" s="222"/>
      <c r="AA309" s="222"/>
      <c r="AB309" s="224"/>
    </row>
    <row r="310" spans="1:28" ht="13.5" customHeight="1">
      <c r="A310" s="222"/>
      <c r="B310" s="222"/>
      <c r="C310" s="222"/>
      <c r="D310" s="222"/>
      <c r="E310" s="222"/>
      <c r="F310" s="222"/>
      <c r="G310" s="222"/>
      <c r="H310" s="222"/>
      <c r="I310" s="222"/>
      <c r="J310" s="222"/>
      <c r="K310" s="222"/>
      <c r="L310" s="222"/>
      <c r="M310" s="222"/>
      <c r="N310" s="222"/>
      <c r="O310" s="222"/>
      <c r="P310" s="222"/>
      <c r="Q310" s="223"/>
      <c r="R310" s="222"/>
      <c r="S310" s="222"/>
      <c r="T310" s="222"/>
      <c r="U310" s="222"/>
      <c r="V310" s="222"/>
      <c r="W310" s="223"/>
      <c r="X310" s="223"/>
      <c r="Y310" s="222"/>
      <c r="Z310" s="222"/>
      <c r="AA310" s="222"/>
      <c r="AB310" s="224"/>
    </row>
    <row r="311" spans="1:28" ht="13.5" customHeight="1">
      <c r="A311" s="222"/>
      <c r="B311" s="222"/>
      <c r="C311" s="222"/>
      <c r="D311" s="222"/>
      <c r="E311" s="222"/>
      <c r="F311" s="222"/>
      <c r="G311" s="222"/>
      <c r="H311" s="222"/>
      <c r="I311" s="222"/>
      <c r="J311" s="222"/>
      <c r="K311" s="222"/>
      <c r="L311" s="222"/>
      <c r="M311" s="222"/>
      <c r="N311" s="222"/>
      <c r="O311" s="222"/>
      <c r="P311" s="222"/>
      <c r="Q311" s="223"/>
      <c r="R311" s="222"/>
      <c r="S311" s="222"/>
      <c r="T311" s="222"/>
      <c r="U311" s="222"/>
      <c r="V311" s="222"/>
      <c r="W311" s="223"/>
      <c r="X311" s="223"/>
      <c r="Y311" s="222"/>
      <c r="Z311" s="222"/>
      <c r="AA311" s="222"/>
      <c r="AB311" s="224"/>
    </row>
    <row r="312" spans="1:28" ht="13.5" customHeight="1">
      <c r="A312" s="222"/>
      <c r="B312" s="222"/>
      <c r="C312" s="222"/>
      <c r="D312" s="222"/>
      <c r="E312" s="222"/>
      <c r="F312" s="222"/>
      <c r="G312" s="222"/>
      <c r="H312" s="222"/>
      <c r="I312" s="222"/>
      <c r="J312" s="222"/>
      <c r="K312" s="222"/>
      <c r="L312" s="222"/>
      <c r="M312" s="222"/>
      <c r="N312" s="222"/>
      <c r="O312" s="222"/>
      <c r="P312" s="222"/>
      <c r="Q312" s="223"/>
      <c r="R312" s="222"/>
      <c r="S312" s="222"/>
      <c r="T312" s="222"/>
      <c r="U312" s="222"/>
      <c r="V312" s="222"/>
      <c r="W312" s="223"/>
      <c r="X312" s="223"/>
      <c r="Y312" s="222"/>
      <c r="Z312" s="222"/>
      <c r="AA312" s="222"/>
      <c r="AB312" s="224"/>
    </row>
    <row r="313" spans="1:28" ht="13.5" customHeight="1">
      <c r="A313" s="222"/>
      <c r="B313" s="222"/>
      <c r="C313" s="222"/>
      <c r="D313" s="222"/>
      <c r="E313" s="222"/>
      <c r="F313" s="222"/>
      <c r="G313" s="222"/>
      <c r="H313" s="222"/>
      <c r="I313" s="222"/>
      <c r="J313" s="222"/>
      <c r="K313" s="222"/>
      <c r="L313" s="222"/>
      <c r="M313" s="222"/>
      <c r="N313" s="222"/>
      <c r="O313" s="222"/>
      <c r="P313" s="222"/>
      <c r="Q313" s="223"/>
      <c r="R313" s="222"/>
      <c r="S313" s="222"/>
      <c r="T313" s="222"/>
      <c r="U313" s="222"/>
      <c r="V313" s="222"/>
      <c r="W313" s="223"/>
      <c r="X313" s="223"/>
      <c r="Y313" s="222"/>
      <c r="Z313" s="222"/>
      <c r="AA313" s="222"/>
      <c r="AB313" s="224"/>
    </row>
    <row r="314" spans="1:28" ht="13.5" customHeight="1">
      <c r="A314" s="222"/>
      <c r="B314" s="222"/>
      <c r="C314" s="222"/>
      <c r="D314" s="222"/>
      <c r="E314" s="222"/>
      <c r="F314" s="222"/>
      <c r="G314" s="222"/>
      <c r="H314" s="222"/>
      <c r="I314" s="222"/>
      <c r="J314" s="222"/>
      <c r="K314" s="222"/>
      <c r="L314" s="222"/>
      <c r="M314" s="222"/>
      <c r="N314" s="222"/>
      <c r="O314" s="222"/>
      <c r="P314" s="222"/>
      <c r="Q314" s="223"/>
      <c r="R314" s="222"/>
      <c r="S314" s="222"/>
      <c r="T314" s="222"/>
      <c r="U314" s="222"/>
      <c r="V314" s="222"/>
      <c r="W314" s="223"/>
      <c r="X314" s="223"/>
      <c r="Y314" s="222"/>
      <c r="Z314" s="222"/>
      <c r="AA314" s="222"/>
      <c r="AB314" s="224"/>
    </row>
    <row r="315" spans="1:28" ht="13.5" customHeight="1">
      <c r="A315" s="222"/>
      <c r="B315" s="222"/>
      <c r="C315" s="222"/>
      <c r="D315" s="222"/>
      <c r="E315" s="222"/>
      <c r="F315" s="222"/>
      <c r="G315" s="222"/>
      <c r="H315" s="222"/>
      <c r="I315" s="222"/>
      <c r="J315" s="222"/>
      <c r="K315" s="222"/>
      <c r="L315" s="222"/>
      <c r="M315" s="222"/>
      <c r="N315" s="222"/>
      <c r="O315" s="222"/>
      <c r="P315" s="222"/>
      <c r="Q315" s="223"/>
      <c r="R315" s="222"/>
      <c r="S315" s="222"/>
      <c r="T315" s="222"/>
      <c r="U315" s="222"/>
      <c r="V315" s="222"/>
      <c r="W315" s="223"/>
      <c r="X315" s="223"/>
      <c r="Y315" s="222"/>
      <c r="Z315" s="222"/>
      <c r="AA315" s="222"/>
      <c r="AB315" s="224"/>
    </row>
    <row r="316" spans="1:28" ht="13.5" customHeight="1">
      <c r="A316" s="222"/>
      <c r="B316" s="222"/>
      <c r="C316" s="222"/>
      <c r="D316" s="222"/>
      <c r="E316" s="222"/>
      <c r="F316" s="222"/>
      <c r="G316" s="222"/>
      <c r="H316" s="222"/>
      <c r="I316" s="222"/>
      <c r="J316" s="222"/>
      <c r="K316" s="222"/>
      <c r="L316" s="222"/>
      <c r="M316" s="222"/>
      <c r="N316" s="222"/>
      <c r="O316" s="222"/>
      <c r="P316" s="222"/>
      <c r="Q316" s="223"/>
      <c r="R316" s="222"/>
      <c r="S316" s="222"/>
      <c r="T316" s="222"/>
      <c r="U316" s="222"/>
      <c r="V316" s="222"/>
      <c r="W316" s="223"/>
      <c r="X316" s="223"/>
      <c r="Y316" s="222"/>
      <c r="Z316" s="222"/>
      <c r="AA316" s="222"/>
      <c r="AB316" s="224"/>
    </row>
    <row r="317" spans="1:28" ht="13.5" customHeight="1">
      <c r="A317" s="222"/>
      <c r="B317" s="222"/>
      <c r="C317" s="222"/>
      <c r="D317" s="222"/>
      <c r="E317" s="222"/>
      <c r="F317" s="222"/>
      <c r="G317" s="222"/>
      <c r="H317" s="222"/>
      <c r="I317" s="222"/>
      <c r="J317" s="222"/>
      <c r="K317" s="222"/>
      <c r="L317" s="222"/>
      <c r="M317" s="222"/>
      <c r="N317" s="222"/>
      <c r="O317" s="222"/>
      <c r="P317" s="222"/>
      <c r="Q317" s="223"/>
      <c r="R317" s="222"/>
      <c r="S317" s="222"/>
      <c r="T317" s="222"/>
      <c r="U317" s="222"/>
      <c r="V317" s="222"/>
      <c r="W317" s="223"/>
      <c r="X317" s="223"/>
      <c r="Y317" s="222"/>
      <c r="Z317" s="222"/>
      <c r="AA317" s="222"/>
      <c r="AB317" s="224"/>
    </row>
    <row r="318" spans="1:28" ht="13.5" customHeight="1">
      <c r="A318" s="222"/>
      <c r="B318" s="222"/>
      <c r="C318" s="222"/>
      <c r="D318" s="222"/>
      <c r="E318" s="222"/>
      <c r="F318" s="222"/>
      <c r="G318" s="222"/>
      <c r="H318" s="222"/>
      <c r="I318" s="222"/>
      <c r="J318" s="222"/>
      <c r="K318" s="222"/>
      <c r="L318" s="222"/>
      <c r="M318" s="222"/>
      <c r="N318" s="222"/>
      <c r="O318" s="222"/>
      <c r="P318" s="222"/>
      <c r="Q318" s="223"/>
      <c r="R318" s="222"/>
      <c r="S318" s="222"/>
      <c r="T318" s="222"/>
      <c r="U318" s="222"/>
      <c r="V318" s="222"/>
      <c r="W318" s="223"/>
      <c r="X318" s="223"/>
      <c r="Y318" s="222"/>
      <c r="Z318" s="222"/>
      <c r="AA318" s="222"/>
      <c r="AB318" s="224"/>
    </row>
    <row r="319" spans="1:28" ht="13.5" customHeight="1">
      <c r="A319" s="222"/>
      <c r="B319" s="222"/>
      <c r="C319" s="222"/>
      <c r="D319" s="222"/>
      <c r="E319" s="222"/>
      <c r="F319" s="222"/>
      <c r="G319" s="222"/>
      <c r="H319" s="222"/>
      <c r="I319" s="222"/>
      <c r="J319" s="222"/>
      <c r="K319" s="222"/>
      <c r="L319" s="222"/>
      <c r="M319" s="222"/>
      <c r="N319" s="222"/>
      <c r="O319" s="222"/>
      <c r="P319" s="222"/>
      <c r="Q319" s="223"/>
      <c r="R319" s="222"/>
      <c r="S319" s="222"/>
      <c r="T319" s="222"/>
      <c r="U319" s="222"/>
      <c r="V319" s="222"/>
      <c r="W319" s="223"/>
      <c r="X319" s="223"/>
      <c r="Y319" s="222"/>
      <c r="Z319" s="222"/>
      <c r="AA319" s="222"/>
      <c r="AB319" s="224"/>
    </row>
    <row r="320" spans="1:28" ht="13.5" customHeight="1">
      <c r="A320" s="222"/>
      <c r="B320" s="222"/>
      <c r="C320" s="222"/>
      <c r="D320" s="222"/>
      <c r="E320" s="222"/>
      <c r="F320" s="222"/>
      <c r="G320" s="222"/>
      <c r="H320" s="222"/>
      <c r="I320" s="222"/>
      <c r="J320" s="222"/>
      <c r="K320" s="222"/>
      <c r="L320" s="222"/>
      <c r="M320" s="222"/>
      <c r="N320" s="222"/>
      <c r="O320" s="222"/>
      <c r="P320" s="222"/>
      <c r="Q320" s="223"/>
      <c r="R320" s="222"/>
      <c r="S320" s="222"/>
      <c r="T320" s="222"/>
      <c r="U320" s="222"/>
      <c r="V320" s="222"/>
      <c r="W320" s="223"/>
      <c r="X320" s="223"/>
      <c r="Y320" s="222"/>
      <c r="Z320" s="222"/>
      <c r="AA320" s="222"/>
      <c r="AB320" s="224"/>
    </row>
    <row r="321" spans="1:28" ht="13.5" customHeight="1">
      <c r="A321" s="222"/>
      <c r="B321" s="222"/>
      <c r="C321" s="222"/>
      <c r="D321" s="222"/>
      <c r="E321" s="222"/>
      <c r="F321" s="222"/>
      <c r="G321" s="222"/>
      <c r="H321" s="222"/>
      <c r="I321" s="222"/>
      <c r="J321" s="222"/>
      <c r="K321" s="222"/>
      <c r="L321" s="222"/>
      <c r="M321" s="222"/>
      <c r="N321" s="222"/>
      <c r="O321" s="222"/>
      <c r="P321" s="222"/>
      <c r="Q321" s="223"/>
      <c r="R321" s="222"/>
      <c r="S321" s="222"/>
      <c r="T321" s="222"/>
      <c r="U321" s="222"/>
      <c r="V321" s="222"/>
      <c r="W321" s="223"/>
      <c r="X321" s="223"/>
      <c r="Y321" s="222"/>
      <c r="Z321" s="222"/>
      <c r="AA321" s="222"/>
      <c r="AB321" s="224"/>
    </row>
    <row r="322" spans="1:28" ht="13.5" customHeight="1">
      <c r="A322" s="222"/>
      <c r="B322" s="222"/>
      <c r="C322" s="222"/>
      <c r="D322" s="222"/>
      <c r="E322" s="222"/>
      <c r="F322" s="222"/>
      <c r="G322" s="222"/>
      <c r="H322" s="222"/>
      <c r="I322" s="222"/>
      <c r="J322" s="222"/>
      <c r="K322" s="222"/>
      <c r="L322" s="222"/>
      <c r="M322" s="222"/>
      <c r="N322" s="222"/>
      <c r="O322" s="222"/>
      <c r="P322" s="222"/>
      <c r="Q322" s="223"/>
      <c r="R322" s="222"/>
      <c r="S322" s="222"/>
      <c r="T322" s="222"/>
      <c r="U322" s="222"/>
      <c r="V322" s="222"/>
      <c r="W322" s="223"/>
      <c r="X322" s="223"/>
      <c r="Y322" s="222"/>
      <c r="Z322" s="222"/>
      <c r="AA322" s="222"/>
      <c r="AB322" s="224"/>
    </row>
    <row r="323" spans="1:28" ht="13.5" customHeight="1">
      <c r="A323" s="222"/>
      <c r="B323" s="222"/>
      <c r="C323" s="222"/>
      <c r="D323" s="222"/>
      <c r="E323" s="222"/>
      <c r="F323" s="222"/>
      <c r="G323" s="222"/>
      <c r="H323" s="222"/>
      <c r="I323" s="222"/>
      <c r="J323" s="222"/>
      <c r="K323" s="222"/>
      <c r="L323" s="222"/>
      <c r="M323" s="222"/>
      <c r="N323" s="222"/>
      <c r="O323" s="222"/>
      <c r="P323" s="222"/>
      <c r="Q323" s="223"/>
      <c r="R323" s="222"/>
      <c r="S323" s="222"/>
      <c r="T323" s="222"/>
      <c r="U323" s="222"/>
      <c r="V323" s="222"/>
      <c r="W323" s="223"/>
      <c r="X323" s="223"/>
      <c r="Y323" s="222"/>
      <c r="Z323" s="222"/>
      <c r="AA323" s="222"/>
      <c r="AB323" s="224"/>
    </row>
    <row r="324" spans="1:28" ht="13.5" customHeight="1">
      <c r="A324" s="222"/>
      <c r="B324" s="222"/>
      <c r="C324" s="222"/>
      <c r="D324" s="222"/>
      <c r="E324" s="222"/>
      <c r="F324" s="222"/>
      <c r="G324" s="222"/>
      <c r="H324" s="222"/>
      <c r="I324" s="222"/>
      <c r="J324" s="222"/>
      <c r="K324" s="222"/>
      <c r="L324" s="222"/>
      <c r="M324" s="222"/>
      <c r="N324" s="222"/>
      <c r="O324" s="222"/>
      <c r="P324" s="222"/>
      <c r="Q324" s="223"/>
      <c r="R324" s="222"/>
      <c r="S324" s="222"/>
      <c r="T324" s="222"/>
      <c r="U324" s="222"/>
      <c r="V324" s="222"/>
      <c r="W324" s="223"/>
      <c r="X324" s="223"/>
      <c r="Y324" s="222"/>
      <c r="Z324" s="222"/>
      <c r="AA324" s="222"/>
      <c r="AB324" s="224"/>
    </row>
    <row r="325" spans="1:28" ht="13.5" customHeight="1">
      <c r="A325" s="222"/>
      <c r="B325" s="222"/>
      <c r="C325" s="222"/>
      <c r="D325" s="222"/>
      <c r="E325" s="222"/>
      <c r="F325" s="222"/>
      <c r="G325" s="222"/>
      <c r="H325" s="222"/>
      <c r="I325" s="222"/>
      <c r="J325" s="222"/>
      <c r="K325" s="222"/>
      <c r="L325" s="222"/>
      <c r="M325" s="222"/>
      <c r="N325" s="222"/>
      <c r="O325" s="222"/>
      <c r="P325" s="222"/>
      <c r="Q325" s="223"/>
      <c r="R325" s="222"/>
      <c r="S325" s="222"/>
      <c r="T325" s="222"/>
      <c r="U325" s="222"/>
      <c r="V325" s="222"/>
      <c r="W325" s="223"/>
      <c r="X325" s="223"/>
      <c r="Y325" s="222"/>
      <c r="Z325" s="222"/>
      <c r="AA325" s="222"/>
      <c r="AB325" s="224"/>
    </row>
    <row r="326" spans="1:28" ht="13.5" customHeight="1">
      <c r="A326" s="222"/>
      <c r="B326" s="222"/>
      <c r="C326" s="222"/>
      <c r="D326" s="222"/>
      <c r="E326" s="222"/>
      <c r="F326" s="222"/>
      <c r="G326" s="222"/>
      <c r="H326" s="222"/>
      <c r="I326" s="222"/>
      <c r="J326" s="222"/>
      <c r="K326" s="222"/>
      <c r="L326" s="222"/>
      <c r="M326" s="222"/>
      <c r="N326" s="222"/>
      <c r="O326" s="222"/>
      <c r="P326" s="222"/>
      <c r="Q326" s="223"/>
      <c r="R326" s="222"/>
      <c r="S326" s="222"/>
      <c r="T326" s="222"/>
      <c r="U326" s="222"/>
      <c r="V326" s="222"/>
      <c r="W326" s="223"/>
      <c r="X326" s="223"/>
      <c r="Y326" s="222"/>
      <c r="Z326" s="222"/>
      <c r="AA326" s="222"/>
      <c r="AB326" s="224"/>
    </row>
    <row r="327" spans="1:28" ht="13.5" customHeight="1">
      <c r="A327" s="222"/>
      <c r="B327" s="222"/>
      <c r="C327" s="222"/>
      <c r="D327" s="222"/>
      <c r="E327" s="222"/>
      <c r="F327" s="222"/>
      <c r="G327" s="222"/>
      <c r="H327" s="222"/>
      <c r="I327" s="222"/>
      <c r="J327" s="222"/>
      <c r="K327" s="222"/>
      <c r="L327" s="222"/>
      <c r="M327" s="222"/>
      <c r="N327" s="222"/>
      <c r="O327" s="222"/>
      <c r="P327" s="222"/>
      <c r="Q327" s="223"/>
      <c r="R327" s="222"/>
      <c r="S327" s="222"/>
      <c r="T327" s="222"/>
      <c r="U327" s="222"/>
      <c r="V327" s="222"/>
      <c r="W327" s="223"/>
      <c r="X327" s="223"/>
      <c r="Y327" s="222"/>
      <c r="Z327" s="222"/>
      <c r="AA327" s="222"/>
      <c r="AB327" s="224"/>
    </row>
    <row r="328" spans="1:28" ht="13.5" customHeight="1">
      <c r="A328" s="222"/>
      <c r="B328" s="222"/>
      <c r="C328" s="222"/>
      <c r="D328" s="222"/>
      <c r="E328" s="222"/>
      <c r="F328" s="222"/>
      <c r="G328" s="222"/>
      <c r="H328" s="222"/>
      <c r="I328" s="222"/>
      <c r="J328" s="222"/>
      <c r="K328" s="222"/>
      <c r="L328" s="222"/>
      <c r="M328" s="222"/>
      <c r="N328" s="222"/>
      <c r="O328" s="222"/>
      <c r="P328" s="222"/>
      <c r="Q328" s="223"/>
      <c r="R328" s="222"/>
      <c r="S328" s="222"/>
      <c r="T328" s="222"/>
      <c r="U328" s="222"/>
      <c r="V328" s="222"/>
      <c r="W328" s="223"/>
      <c r="X328" s="223"/>
      <c r="Y328" s="222"/>
      <c r="Z328" s="222"/>
      <c r="AA328" s="222"/>
      <c r="AB328" s="224"/>
    </row>
    <row r="329" spans="1:28" ht="13.5" customHeight="1">
      <c r="A329" s="222"/>
      <c r="B329" s="222"/>
      <c r="C329" s="222"/>
      <c r="D329" s="222"/>
      <c r="E329" s="222"/>
      <c r="F329" s="222"/>
      <c r="G329" s="222"/>
      <c r="H329" s="222"/>
      <c r="I329" s="222"/>
      <c r="J329" s="222"/>
      <c r="K329" s="222"/>
      <c r="L329" s="222"/>
      <c r="M329" s="222"/>
      <c r="N329" s="222"/>
      <c r="O329" s="222"/>
      <c r="P329" s="222"/>
      <c r="Q329" s="223"/>
      <c r="R329" s="222"/>
      <c r="S329" s="222"/>
      <c r="T329" s="222"/>
      <c r="U329" s="222"/>
      <c r="V329" s="222"/>
      <c r="W329" s="223"/>
      <c r="X329" s="223"/>
      <c r="Y329" s="222"/>
      <c r="Z329" s="222"/>
      <c r="AA329" s="222"/>
      <c r="AB329" s="224"/>
    </row>
    <row r="330" spans="1:28" ht="13.5" customHeight="1">
      <c r="A330" s="222"/>
      <c r="B330" s="222"/>
      <c r="C330" s="222"/>
      <c r="D330" s="222"/>
      <c r="E330" s="222"/>
      <c r="F330" s="222"/>
      <c r="G330" s="222"/>
      <c r="H330" s="222"/>
      <c r="I330" s="222"/>
      <c r="J330" s="222"/>
      <c r="K330" s="222"/>
      <c r="L330" s="222"/>
      <c r="M330" s="222"/>
      <c r="N330" s="222"/>
      <c r="O330" s="222"/>
      <c r="P330" s="222"/>
      <c r="Q330" s="223"/>
      <c r="R330" s="222"/>
      <c r="S330" s="222"/>
      <c r="T330" s="222"/>
      <c r="U330" s="222"/>
      <c r="V330" s="222"/>
      <c r="W330" s="223"/>
      <c r="X330" s="223"/>
      <c r="Y330" s="222"/>
      <c r="Z330" s="222"/>
      <c r="AA330" s="222"/>
      <c r="AB330" s="224"/>
    </row>
    <row r="331" spans="1:28" ht="13.5" customHeight="1">
      <c r="A331" s="222"/>
      <c r="B331" s="222"/>
      <c r="C331" s="222"/>
      <c r="D331" s="222"/>
      <c r="E331" s="222"/>
      <c r="F331" s="222"/>
      <c r="G331" s="222"/>
      <c r="H331" s="222"/>
      <c r="I331" s="222"/>
      <c r="J331" s="222"/>
      <c r="K331" s="222"/>
      <c r="L331" s="222"/>
      <c r="M331" s="222"/>
      <c r="N331" s="222"/>
      <c r="O331" s="222"/>
      <c r="P331" s="222"/>
      <c r="Q331" s="223"/>
      <c r="R331" s="222"/>
      <c r="S331" s="222"/>
      <c r="T331" s="222"/>
      <c r="U331" s="222"/>
      <c r="V331" s="222"/>
      <c r="W331" s="223"/>
      <c r="X331" s="223"/>
      <c r="Y331" s="222"/>
      <c r="Z331" s="222"/>
      <c r="AA331" s="222"/>
      <c r="AB331" s="224"/>
    </row>
    <row r="332" spans="1:28" ht="13.5" customHeight="1">
      <c r="A332" s="222"/>
      <c r="B332" s="222"/>
      <c r="C332" s="222"/>
      <c r="D332" s="222"/>
      <c r="E332" s="222"/>
      <c r="F332" s="222"/>
      <c r="G332" s="222"/>
      <c r="H332" s="222"/>
      <c r="I332" s="222"/>
      <c r="J332" s="222"/>
      <c r="K332" s="222"/>
      <c r="L332" s="222"/>
      <c r="M332" s="222"/>
      <c r="N332" s="222"/>
      <c r="O332" s="222"/>
      <c r="P332" s="222"/>
      <c r="Q332" s="223"/>
      <c r="R332" s="222"/>
      <c r="S332" s="222"/>
      <c r="T332" s="222"/>
      <c r="U332" s="222"/>
      <c r="V332" s="222"/>
      <c r="W332" s="223"/>
      <c r="X332" s="223"/>
      <c r="Y332" s="222"/>
      <c r="Z332" s="222"/>
      <c r="AA332" s="222"/>
      <c r="AB332" s="224"/>
    </row>
    <row r="333" spans="1:28" ht="13.5" customHeight="1">
      <c r="A333" s="222"/>
      <c r="B333" s="222"/>
      <c r="C333" s="222"/>
      <c r="D333" s="222"/>
      <c r="E333" s="222"/>
      <c r="F333" s="222"/>
      <c r="G333" s="222"/>
      <c r="H333" s="222"/>
      <c r="I333" s="222"/>
      <c r="J333" s="222"/>
      <c r="K333" s="222"/>
      <c r="L333" s="222"/>
      <c r="M333" s="222"/>
      <c r="N333" s="222"/>
      <c r="O333" s="222"/>
      <c r="P333" s="222"/>
      <c r="Q333" s="223"/>
      <c r="R333" s="222"/>
      <c r="S333" s="222"/>
      <c r="T333" s="222"/>
      <c r="U333" s="222"/>
      <c r="V333" s="222"/>
      <c r="W333" s="223"/>
      <c r="X333" s="223"/>
      <c r="Y333" s="222"/>
      <c r="Z333" s="222"/>
      <c r="AA333" s="222"/>
      <c r="AB333" s="224"/>
    </row>
    <row r="334" spans="1:28" ht="13.5" customHeight="1">
      <c r="A334" s="222"/>
      <c r="B334" s="222"/>
      <c r="C334" s="222"/>
      <c r="D334" s="222"/>
      <c r="E334" s="222"/>
      <c r="F334" s="222"/>
      <c r="G334" s="222"/>
      <c r="H334" s="222"/>
      <c r="I334" s="222"/>
      <c r="J334" s="222"/>
      <c r="K334" s="222"/>
      <c r="L334" s="222"/>
      <c r="M334" s="222"/>
      <c r="N334" s="222"/>
      <c r="O334" s="222"/>
      <c r="P334" s="222"/>
      <c r="Q334" s="223"/>
      <c r="R334" s="222"/>
      <c r="S334" s="222"/>
      <c r="T334" s="222"/>
      <c r="U334" s="222"/>
      <c r="V334" s="222"/>
      <c r="W334" s="223"/>
      <c r="X334" s="223"/>
      <c r="Y334" s="222"/>
      <c r="Z334" s="222"/>
      <c r="AA334" s="222"/>
      <c r="AB334" s="224"/>
    </row>
    <row r="335" spans="1:28" ht="13.5" customHeight="1">
      <c r="A335" s="222"/>
      <c r="B335" s="222"/>
      <c r="C335" s="222"/>
      <c r="D335" s="222"/>
      <c r="E335" s="222"/>
      <c r="F335" s="222"/>
      <c r="G335" s="222"/>
      <c r="H335" s="222"/>
      <c r="I335" s="222"/>
      <c r="J335" s="222"/>
      <c r="K335" s="222"/>
      <c r="L335" s="222"/>
      <c r="M335" s="222"/>
      <c r="N335" s="222"/>
      <c r="O335" s="222"/>
      <c r="P335" s="222"/>
      <c r="Q335" s="223"/>
      <c r="R335" s="222"/>
      <c r="S335" s="222"/>
      <c r="T335" s="222"/>
      <c r="U335" s="222"/>
      <c r="V335" s="222"/>
      <c r="W335" s="223"/>
      <c r="X335" s="223"/>
      <c r="Y335" s="222"/>
      <c r="Z335" s="222"/>
      <c r="AA335" s="222"/>
      <c r="AB335" s="224"/>
    </row>
    <row r="336" spans="1:28" ht="13.5" customHeight="1">
      <c r="A336" s="222"/>
      <c r="B336" s="222"/>
      <c r="C336" s="222"/>
      <c r="D336" s="222"/>
      <c r="E336" s="222"/>
      <c r="F336" s="222"/>
      <c r="G336" s="222"/>
      <c r="H336" s="222"/>
      <c r="I336" s="222"/>
      <c r="J336" s="222"/>
      <c r="K336" s="222"/>
      <c r="L336" s="222"/>
      <c r="M336" s="222"/>
      <c r="N336" s="222"/>
      <c r="O336" s="222"/>
      <c r="P336" s="222"/>
      <c r="Q336" s="223"/>
      <c r="R336" s="222"/>
      <c r="S336" s="222"/>
      <c r="T336" s="222"/>
      <c r="U336" s="222"/>
      <c r="V336" s="222"/>
      <c r="W336" s="223"/>
      <c r="X336" s="223"/>
      <c r="Y336" s="222"/>
      <c r="Z336" s="222"/>
      <c r="AA336" s="222"/>
      <c r="AB336" s="224"/>
    </row>
    <row r="337" spans="1:28" ht="13.5" customHeight="1">
      <c r="A337" s="222"/>
      <c r="B337" s="222"/>
      <c r="C337" s="222"/>
      <c r="D337" s="222"/>
      <c r="E337" s="222"/>
      <c r="F337" s="222"/>
      <c r="G337" s="222"/>
      <c r="H337" s="222"/>
      <c r="I337" s="222"/>
      <c r="J337" s="222"/>
      <c r="K337" s="222"/>
      <c r="L337" s="222"/>
      <c r="M337" s="222"/>
      <c r="N337" s="222"/>
      <c r="O337" s="222"/>
      <c r="P337" s="222"/>
      <c r="Q337" s="223"/>
      <c r="R337" s="222"/>
      <c r="S337" s="222"/>
      <c r="T337" s="222"/>
      <c r="U337" s="222"/>
      <c r="V337" s="222"/>
      <c r="W337" s="223"/>
      <c r="X337" s="223"/>
      <c r="Y337" s="222"/>
      <c r="Z337" s="222"/>
      <c r="AA337" s="222"/>
      <c r="AB337" s="224"/>
    </row>
    <row r="338" spans="1:28" ht="13.5" customHeight="1">
      <c r="A338" s="222"/>
      <c r="B338" s="222"/>
      <c r="C338" s="222"/>
      <c r="D338" s="222"/>
      <c r="E338" s="222"/>
      <c r="F338" s="222"/>
      <c r="G338" s="222"/>
      <c r="H338" s="222"/>
      <c r="I338" s="222"/>
      <c r="J338" s="222"/>
      <c r="K338" s="222"/>
      <c r="L338" s="222"/>
      <c r="M338" s="222"/>
      <c r="N338" s="222"/>
      <c r="O338" s="222"/>
      <c r="P338" s="222"/>
      <c r="Q338" s="223"/>
      <c r="R338" s="222"/>
      <c r="S338" s="222"/>
      <c r="T338" s="222"/>
      <c r="U338" s="222"/>
      <c r="V338" s="222"/>
      <c r="W338" s="223"/>
      <c r="X338" s="223"/>
      <c r="Y338" s="222"/>
      <c r="Z338" s="222"/>
      <c r="AA338" s="222"/>
      <c r="AB338" s="224"/>
    </row>
    <row r="339" spans="1:28" ht="13.5" customHeight="1">
      <c r="A339" s="222"/>
      <c r="B339" s="222"/>
      <c r="C339" s="222"/>
      <c r="D339" s="222"/>
      <c r="E339" s="222"/>
      <c r="F339" s="222"/>
      <c r="G339" s="222"/>
      <c r="H339" s="222"/>
      <c r="I339" s="222"/>
      <c r="J339" s="222"/>
      <c r="K339" s="222"/>
      <c r="L339" s="222"/>
      <c r="M339" s="222"/>
      <c r="N339" s="222"/>
      <c r="O339" s="222"/>
      <c r="P339" s="222"/>
      <c r="Q339" s="223"/>
      <c r="R339" s="222"/>
      <c r="S339" s="222"/>
      <c r="T339" s="222"/>
      <c r="U339" s="222"/>
      <c r="V339" s="222"/>
      <c r="W339" s="223"/>
      <c r="X339" s="223"/>
      <c r="Y339" s="222"/>
      <c r="Z339" s="222"/>
      <c r="AA339" s="222"/>
      <c r="AB339" s="224"/>
    </row>
    <row r="340" spans="1:28" ht="13.5" customHeight="1">
      <c r="A340" s="222"/>
      <c r="B340" s="222"/>
      <c r="C340" s="222"/>
      <c r="D340" s="222"/>
      <c r="E340" s="222"/>
      <c r="F340" s="222"/>
      <c r="G340" s="222"/>
      <c r="H340" s="222"/>
      <c r="I340" s="222"/>
      <c r="J340" s="222"/>
      <c r="K340" s="222"/>
      <c r="L340" s="222"/>
      <c r="M340" s="222"/>
      <c r="N340" s="222"/>
      <c r="O340" s="222"/>
      <c r="P340" s="222"/>
      <c r="Q340" s="223"/>
      <c r="R340" s="222"/>
      <c r="S340" s="222"/>
      <c r="T340" s="222"/>
      <c r="U340" s="222"/>
      <c r="V340" s="222"/>
      <c r="W340" s="223"/>
      <c r="X340" s="223"/>
      <c r="Y340" s="222"/>
      <c r="Z340" s="222"/>
      <c r="AA340" s="222"/>
      <c r="AB340" s="224"/>
    </row>
    <row r="341" spans="1:28" ht="13.5" customHeight="1">
      <c r="A341" s="222"/>
      <c r="B341" s="222"/>
      <c r="C341" s="222"/>
      <c r="D341" s="222"/>
      <c r="E341" s="222"/>
      <c r="F341" s="222"/>
      <c r="G341" s="222"/>
      <c r="H341" s="222"/>
      <c r="I341" s="222"/>
      <c r="J341" s="222"/>
      <c r="K341" s="222"/>
      <c r="L341" s="222"/>
      <c r="M341" s="222"/>
      <c r="N341" s="222"/>
      <c r="O341" s="222"/>
      <c r="P341" s="222"/>
      <c r="Q341" s="223"/>
      <c r="R341" s="222"/>
      <c r="S341" s="222"/>
      <c r="T341" s="222"/>
      <c r="U341" s="222"/>
      <c r="V341" s="222"/>
      <c r="W341" s="223"/>
      <c r="X341" s="223"/>
      <c r="Y341" s="222"/>
      <c r="Z341" s="222"/>
      <c r="AA341" s="222"/>
      <c r="AB341" s="224"/>
    </row>
    <row r="342" spans="1:28" ht="13.5" customHeight="1">
      <c r="A342" s="222"/>
      <c r="B342" s="222"/>
      <c r="C342" s="222"/>
      <c r="D342" s="222"/>
      <c r="E342" s="222"/>
      <c r="F342" s="222"/>
      <c r="G342" s="222"/>
      <c r="H342" s="222"/>
      <c r="I342" s="222"/>
      <c r="J342" s="222"/>
      <c r="K342" s="222"/>
      <c r="L342" s="222"/>
      <c r="M342" s="222"/>
      <c r="N342" s="222"/>
      <c r="O342" s="222"/>
      <c r="P342" s="222"/>
      <c r="Q342" s="223"/>
      <c r="R342" s="222"/>
      <c r="S342" s="222"/>
      <c r="T342" s="222"/>
      <c r="U342" s="222"/>
      <c r="V342" s="222"/>
      <c r="W342" s="223"/>
      <c r="X342" s="223"/>
      <c r="Y342" s="222"/>
      <c r="Z342" s="222"/>
      <c r="AA342" s="222"/>
      <c r="AB342" s="224"/>
    </row>
    <row r="343" spans="1:28" ht="13.5" customHeight="1">
      <c r="A343" s="222"/>
      <c r="B343" s="222"/>
      <c r="C343" s="222"/>
      <c r="D343" s="222"/>
      <c r="E343" s="222"/>
      <c r="F343" s="222"/>
      <c r="G343" s="222"/>
      <c r="H343" s="222"/>
      <c r="I343" s="222"/>
      <c r="J343" s="222"/>
      <c r="K343" s="222"/>
      <c r="L343" s="222"/>
      <c r="M343" s="222"/>
      <c r="N343" s="222"/>
      <c r="O343" s="222"/>
      <c r="P343" s="222"/>
      <c r="Q343" s="223"/>
      <c r="R343" s="222"/>
      <c r="S343" s="222"/>
      <c r="T343" s="222"/>
      <c r="U343" s="222"/>
      <c r="V343" s="222"/>
      <c r="W343" s="223"/>
      <c r="X343" s="223"/>
      <c r="Y343" s="222"/>
      <c r="Z343" s="222"/>
      <c r="AA343" s="222"/>
      <c r="AB343" s="224"/>
    </row>
    <row r="344" spans="1:28" ht="13.5" customHeight="1">
      <c r="A344" s="222"/>
      <c r="B344" s="222"/>
      <c r="C344" s="222"/>
      <c r="D344" s="222"/>
      <c r="E344" s="222"/>
      <c r="F344" s="222"/>
      <c r="G344" s="222"/>
      <c r="H344" s="222"/>
      <c r="I344" s="222"/>
      <c r="J344" s="222"/>
      <c r="K344" s="222"/>
      <c r="L344" s="222"/>
      <c r="M344" s="222"/>
      <c r="N344" s="222"/>
      <c r="O344" s="222"/>
      <c r="P344" s="222"/>
      <c r="Q344" s="223"/>
      <c r="R344" s="222"/>
      <c r="S344" s="222"/>
      <c r="T344" s="222"/>
      <c r="U344" s="222"/>
      <c r="V344" s="222"/>
      <c r="W344" s="223"/>
      <c r="X344" s="223"/>
      <c r="Y344" s="222"/>
      <c r="Z344" s="222"/>
      <c r="AA344" s="222"/>
      <c r="AB344" s="224"/>
    </row>
    <row r="345" spans="1:28" ht="13.5" customHeight="1">
      <c r="A345" s="222"/>
      <c r="B345" s="222"/>
      <c r="C345" s="222"/>
      <c r="D345" s="222"/>
      <c r="E345" s="222"/>
      <c r="F345" s="222"/>
      <c r="G345" s="222"/>
      <c r="H345" s="222"/>
      <c r="I345" s="222"/>
      <c r="J345" s="222"/>
      <c r="K345" s="222"/>
      <c r="L345" s="222"/>
      <c r="M345" s="222"/>
      <c r="N345" s="222"/>
      <c r="O345" s="222"/>
      <c r="P345" s="222"/>
      <c r="Q345" s="223"/>
      <c r="R345" s="222"/>
      <c r="S345" s="222"/>
      <c r="T345" s="222"/>
      <c r="U345" s="222"/>
      <c r="V345" s="222"/>
      <c r="W345" s="223"/>
      <c r="X345" s="223"/>
      <c r="Y345" s="222"/>
      <c r="Z345" s="222"/>
      <c r="AA345" s="222"/>
      <c r="AB345" s="224"/>
    </row>
    <row r="346" spans="1:28" ht="13.5" customHeight="1">
      <c r="A346" s="222"/>
      <c r="B346" s="222"/>
      <c r="C346" s="222"/>
      <c r="D346" s="222"/>
      <c r="E346" s="222"/>
      <c r="F346" s="222"/>
      <c r="G346" s="222"/>
      <c r="H346" s="222"/>
      <c r="I346" s="222"/>
      <c r="J346" s="222"/>
      <c r="K346" s="222"/>
      <c r="L346" s="222"/>
      <c r="M346" s="222"/>
      <c r="N346" s="222"/>
      <c r="O346" s="222"/>
      <c r="P346" s="222"/>
      <c r="Q346" s="223"/>
      <c r="R346" s="222"/>
      <c r="S346" s="222"/>
      <c r="T346" s="222"/>
      <c r="U346" s="222"/>
      <c r="V346" s="222"/>
      <c r="W346" s="223"/>
      <c r="X346" s="223"/>
      <c r="Y346" s="222"/>
      <c r="Z346" s="222"/>
      <c r="AA346" s="222"/>
      <c r="AB346" s="224"/>
    </row>
    <row r="347" spans="1:28" ht="13.5" customHeight="1">
      <c r="A347" s="222"/>
      <c r="B347" s="222"/>
      <c r="C347" s="222"/>
      <c r="D347" s="222"/>
      <c r="E347" s="222"/>
      <c r="F347" s="222"/>
      <c r="G347" s="222"/>
      <c r="H347" s="222"/>
      <c r="I347" s="222"/>
      <c r="J347" s="222"/>
      <c r="K347" s="222"/>
      <c r="L347" s="222"/>
      <c r="M347" s="222"/>
      <c r="N347" s="222"/>
      <c r="O347" s="222"/>
      <c r="P347" s="222"/>
      <c r="Q347" s="223"/>
      <c r="R347" s="222"/>
      <c r="S347" s="222"/>
      <c r="T347" s="222"/>
      <c r="U347" s="222"/>
      <c r="V347" s="222"/>
      <c r="W347" s="223"/>
      <c r="X347" s="223"/>
      <c r="Y347" s="222"/>
      <c r="Z347" s="222"/>
      <c r="AA347" s="222"/>
      <c r="AB347" s="224"/>
    </row>
    <row r="348" spans="1:28" ht="13.5" customHeight="1">
      <c r="A348" s="222"/>
      <c r="B348" s="222"/>
      <c r="C348" s="222"/>
      <c r="D348" s="222"/>
      <c r="E348" s="222"/>
      <c r="F348" s="222"/>
      <c r="G348" s="222"/>
      <c r="H348" s="222"/>
      <c r="I348" s="222"/>
      <c r="J348" s="222"/>
      <c r="K348" s="222"/>
      <c r="L348" s="222"/>
      <c r="M348" s="222"/>
      <c r="N348" s="222"/>
      <c r="O348" s="222"/>
      <c r="P348" s="222"/>
      <c r="Q348" s="223"/>
      <c r="R348" s="222"/>
      <c r="S348" s="222"/>
      <c r="T348" s="222"/>
      <c r="U348" s="222"/>
      <c r="V348" s="222"/>
      <c r="W348" s="223"/>
      <c r="X348" s="223"/>
      <c r="Y348" s="222"/>
      <c r="Z348" s="222"/>
      <c r="AA348" s="222"/>
      <c r="AB348" s="224"/>
    </row>
    <row r="349" spans="1:28" ht="13.5" customHeight="1">
      <c r="A349" s="222"/>
      <c r="B349" s="222"/>
      <c r="C349" s="222"/>
      <c r="D349" s="222"/>
      <c r="E349" s="222"/>
      <c r="F349" s="222"/>
      <c r="G349" s="222"/>
      <c r="H349" s="222"/>
      <c r="I349" s="222"/>
      <c r="J349" s="222"/>
      <c r="K349" s="222"/>
      <c r="L349" s="222"/>
      <c r="M349" s="222"/>
      <c r="N349" s="222"/>
      <c r="O349" s="222"/>
      <c r="P349" s="222"/>
      <c r="Q349" s="223"/>
      <c r="R349" s="222"/>
      <c r="S349" s="222"/>
      <c r="T349" s="222"/>
      <c r="U349" s="222"/>
      <c r="V349" s="222"/>
      <c r="W349" s="223"/>
      <c r="X349" s="223"/>
      <c r="Y349" s="222"/>
      <c r="Z349" s="222"/>
      <c r="AA349" s="222"/>
      <c r="AB349" s="224"/>
    </row>
    <row r="350" spans="1:28" ht="13.5" customHeight="1">
      <c r="A350" s="222"/>
      <c r="B350" s="222"/>
      <c r="C350" s="222"/>
      <c r="D350" s="222"/>
      <c r="E350" s="222"/>
      <c r="F350" s="222"/>
      <c r="G350" s="222"/>
      <c r="H350" s="222"/>
      <c r="I350" s="222"/>
      <c r="J350" s="222"/>
      <c r="K350" s="222"/>
      <c r="L350" s="222"/>
      <c r="M350" s="222"/>
      <c r="N350" s="222"/>
      <c r="O350" s="222"/>
      <c r="P350" s="222"/>
      <c r="Q350" s="223"/>
      <c r="R350" s="222"/>
      <c r="S350" s="222"/>
      <c r="T350" s="222"/>
      <c r="U350" s="222"/>
      <c r="V350" s="222"/>
      <c r="W350" s="223"/>
      <c r="X350" s="223"/>
      <c r="Y350" s="222"/>
      <c r="Z350" s="222"/>
      <c r="AA350" s="222"/>
      <c r="AB350" s="224"/>
    </row>
    <row r="351" spans="1:28" ht="13.5" customHeight="1">
      <c r="A351" s="222"/>
      <c r="B351" s="222"/>
      <c r="C351" s="222"/>
      <c r="D351" s="222"/>
      <c r="E351" s="222"/>
      <c r="F351" s="222"/>
      <c r="G351" s="222"/>
      <c r="H351" s="222"/>
      <c r="I351" s="222"/>
      <c r="J351" s="222"/>
      <c r="K351" s="222"/>
      <c r="L351" s="222"/>
      <c r="M351" s="222"/>
      <c r="N351" s="222"/>
      <c r="O351" s="222"/>
      <c r="P351" s="222"/>
      <c r="Q351" s="223"/>
      <c r="R351" s="222"/>
      <c r="S351" s="222"/>
      <c r="T351" s="222"/>
      <c r="U351" s="222"/>
      <c r="V351" s="222"/>
      <c r="W351" s="223"/>
      <c r="X351" s="223"/>
      <c r="Y351" s="222"/>
      <c r="Z351" s="222"/>
      <c r="AA351" s="222"/>
      <c r="AB351" s="224"/>
    </row>
    <row r="352" spans="1:28" ht="13.5" customHeight="1">
      <c r="A352" s="222"/>
      <c r="B352" s="222"/>
      <c r="C352" s="222"/>
      <c r="D352" s="222"/>
      <c r="E352" s="222"/>
      <c r="F352" s="222"/>
      <c r="G352" s="222"/>
      <c r="H352" s="222"/>
      <c r="I352" s="222"/>
      <c r="J352" s="222"/>
      <c r="K352" s="222"/>
      <c r="L352" s="222"/>
      <c r="M352" s="222"/>
      <c r="N352" s="222"/>
      <c r="O352" s="222"/>
      <c r="P352" s="222"/>
      <c r="Q352" s="223"/>
      <c r="R352" s="222"/>
      <c r="S352" s="222"/>
      <c r="T352" s="222"/>
      <c r="U352" s="222"/>
      <c r="V352" s="222"/>
      <c r="W352" s="223"/>
      <c r="X352" s="223"/>
      <c r="Y352" s="222"/>
      <c r="Z352" s="222"/>
      <c r="AA352" s="222"/>
      <c r="AB352" s="224"/>
    </row>
    <row r="353" spans="1:28" ht="13.5" customHeight="1">
      <c r="A353" s="222"/>
      <c r="B353" s="222"/>
      <c r="C353" s="222"/>
      <c r="D353" s="222"/>
      <c r="E353" s="222"/>
      <c r="F353" s="222"/>
      <c r="G353" s="222"/>
      <c r="H353" s="222"/>
      <c r="I353" s="222"/>
      <c r="J353" s="222"/>
      <c r="K353" s="222"/>
      <c r="L353" s="222"/>
      <c r="M353" s="222"/>
      <c r="N353" s="222"/>
      <c r="O353" s="222"/>
      <c r="P353" s="222"/>
      <c r="Q353" s="223"/>
      <c r="R353" s="222"/>
      <c r="S353" s="222"/>
      <c r="T353" s="222"/>
      <c r="U353" s="222"/>
      <c r="V353" s="222"/>
      <c r="W353" s="223"/>
      <c r="X353" s="223"/>
      <c r="Y353" s="222"/>
      <c r="Z353" s="222"/>
      <c r="AA353" s="222"/>
      <c r="AB353" s="224"/>
    </row>
    <row r="354" spans="1:28" ht="13.5" customHeight="1">
      <c r="A354" s="222"/>
      <c r="B354" s="222"/>
      <c r="C354" s="222"/>
      <c r="D354" s="222"/>
      <c r="E354" s="222"/>
      <c r="F354" s="222"/>
      <c r="G354" s="222"/>
      <c r="H354" s="222"/>
      <c r="I354" s="222"/>
      <c r="J354" s="222"/>
      <c r="K354" s="222"/>
      <c r="L354" s="222"/>
      <c r="M354" s="222"/>
      <c r="N354" s="222"/>
      <c r="O354" s="222"/>
      <c r="P354" s="222"/>
      <c r="Q354" s="223"/>
      <c r="R354" s="222"/>
      <c r="S354" s="222"/>
      <c r="T354" s="222"/>
      <c r="U354" s="222"/>
      <c r="V354" s="222"/>
      <c r="W354" s="223"/>
      <c r="X354" s="223"/>
      <c r="Y354" s="222"/>
      <c r="Z354" s="222"/>
      <c r="AA354" s="222"/>
      <c r="AB354" s="224"/>
    </row>
    <row r="355" spans="1:28" ht="13.5" customHeight="1">
      <c r="A355" s="222"/>
      <c r="B355" s="222"/>
      <c r="C355" s="222"/>
      <c r="D355" s="222"/>
      <c r="E355" s="222"/>
      <c r="F355" s="222"/>
      <c r="G355" s="222"/>
      <c r="H355" s="222"/>
      <c r="I355" s="222"/>
      <c r="J355" s="222"/>
      <c r="K355" s="222"/>
      <c r="L355" s="222"/>
      <c r="M355" s="222"/>
      <c r="N355" s="222"/>
      <c r="O355" s="222"/>
      <c r="P355" s="222"/>
      <c r="Q355" s="223"/>
      <c r="R355" s="222"/>
      <c r="S355" s="222"/>
      <c r="T355" s="222"/>
      <c r="U355" s="222"/>
      <c r="V355" s="222"/>
      <c r="W355" s="223"/>
      <c r="X355" s="223"/>
      <c r="Y355" s="222"/>
      <c r="Z355" s="222"/>
      <c r="AA355" s="222"/>
      <c r="AB355" s="224"/>
    </row>
    <row r="356" spans="1:28" ht="13.5" customHeight="1">
      <c r="A356" s="222"/>
      <c r="B356" s="222"/>
      <c r="C356" s="222"/>
      <c r="D356" s="222"/>
      <c r="E356" s="222"/>
      <c r="F356" s="222"/>
      <c r="G356" s="222"/>
      <c r="H356" s="222"/>
      <c r="I356" s="222"/>
      <c r="J356" s="222"/>
      <c r="K356" s="222"/>
      <c r="L356" s="222"/>
      <c r="M356" s="222"/>
      <c r="N356" s="222"/>
      <c r="O356" s="222"/>
      <c r="P356" s="222"/>
      <c r="Q356" s="223"/>
      <c r="R356" s="222"/>
      <c r="S356" s="222"/>
      <c r="T356" s="222"/>
      <c r="U356" s="222"/>
      <c r="V356" s="222"/>
      <c r="W356" s="223"/>
      <c r="X356" s="223"/>
      <c r="Y356" s="222"/>
      <c r="Z356" s="222"/>
      <c r="AA356" s="222"/>
      <c r="AB356" s="224"/>
    </row>
    <row r="357" spans="1:28" ht="13.5" customHeight="1">
      <c r="A357" s="222"/>
      <c r="B357" s="222"/>
      <c r="C357" s="222"/>
      <c r="D357" s="222"/>
      <c r="E357" s="222"/>
      <c r="F357" s="222"/>
      <c r="G357" s="222"/>
      <c r="H357" s="222"/>
      <c r="I357" s="222"/>
      <c r="J357" s="222"/>
      <c r="K357" s="222"/>
      <c r="L357" s="222"/>
      <c r="M357" s="222"/>
      <c r="N357" s="222"/>
      <c r="O357" s="222"/>
      <c r="P357" s="222"/>
      <c r="Q357" s="223"/>
      <c r="R357" s="222"/>
      <c r="S357" s="222"/>
      <c r="T357" s="222"/>
      <c r="U357" s="222"/>
      <c r="V357" s="222"/>
      <c r="W357" s="223"/>
      <c r="X357" s="223"/>
      <c r="Y357" s="222"/>
      <c r="Z357" s="222"/>
      <c r="AA357" s="222"/>
      <c r="AB357" s="224"/>
    </row>
    <row r="358" spans="1:28" ht="13.5" customHeight="1">
      <c r="A358" s="222"/>
      <c r="B358" s="222"/>
      <c r="C358" s="222"/>
      <c r="D358" s="222"/>
      <c r="E358" s="222"/>
      <c r="F358" s="222"/>
      <c r="G358" s="222"/>
      <c r="H358" s="222"/>
      <c r="I358" s="222"/>
      <c r="J358" s="222"/>
      <c r="K358" s="222"/>
      <c r="L358" s="222"/>
      <c r="M358" s="222"/>
      <c r="N358" s="222"/>
      <c r="O358" s="222"/>
      <c r="P358" s="222"/>
      <c r="Q358" s="223"/>
      <c r="R358" s="222"/>
      <c r="S358" s="222"/>
      <c r="T358" s="222"/>
      <c r="U358" s="222"/>
      <c r="V358" s="222"/>
      <c r="W358" s="223"/>
      <c r="X358" s="223"/>
      <c r="Y358" s="222"/>
      <c r="Z358" s="222"/>
      <c r="AA358" s="222"/>
      <c r="AB358" s="224"/>
    </row>
    <row r="359" spans="1:28" ht="13.5" customHeight="1">
      <c r="A359" s="222"/>
      <c r="B359" s="222"/>
      <c r="C359" s="222"/>
      <c r="D359" s="222"/>
      <c r="E359" s="222"/>
      <c r="F359" s="222"/>
      <c r="G359" s="222"/>
      <c r="H359" s="222"/>
      <c r="I359" s="222"/>
      <c r="J359" s="222"/>
      <c r="K359" s="222"/>
      <c r="L359" s="222"/>
      <c r="M359" s="222"/>
      <c r="N359" s="222"/>
      <c r="O359" s="222"/>
      <c r="P359" s="222"/>
      <c r="Q359" s="223"/>
      <c r="R359" s="222"/>
      <c r="S359" s="222"/>
      <c r="T359" s="222"/>
      <c r="U359" s="222"/>
      <c r="V359" s="222"/>
      <c r="W359" s="223"/>
      <c r="X359" s="223"/>
      <c r="Y359" s="222"/>
      <c r="Z359" s="222"/>
      <c r="AA359" s="222"/>
      <c r="AB359" s="224"/>
    </row>
    <row r="360" spans="1:28" ht="13.5" customHeight="1">
      <c r="A360" s="222"/>
      <c r="B360" s="222"/>
      <c r="C360" s="222"/>
      <c r="D360" s="222"/>
      <c r="E360" s="222"/>
      <c r="F360" s="222"/>
      <c r="G360" s="222"/>
      <c r="H360" s="222"/>
      <c r="I360" s="222"/>
      <c r="J360" s="222"/>
      <c r="K360" s="222"/>
      <c r="L360" s="222"/>
      <c r="M360" s="222"/>
      <c r="N360" s="222"/>
      <c r="O360" s="222"/>
      <c r="P360" s="222"/>
      <c r="Q360" s="223"/>
      <c r="R360" s="222"/>
      <c r="S360" s="222"/>
      <c r="T360" s="222"/>
      <c r="U360" s="222"/>
      <c r="V360" s="222"/>
      <c r="W360" s="223"/>
      <c r="X360" s="223"/>
      <c r="Y360" s="222"/>
      <c r="Z360" s="222"/>
      <c r="AA360" s="222"/>
      <c r="AB360" s="224"/>
    </row>
    <row r="361" spans="1:28" ht="13.5" customHeight="1">
      <c r="A361" s="222"/>
      <c r="B361" s="222"/>
      <c r="C361" s="222"/>
      <c r="D361" s="222"/>
      <c r="E361" s="222"/>
      <c r="F361" s="222"/>
      <c r="G361" s="222"/>
      <c r="H361" s="222"/>
      <c r="I361" s="222"/>
      <c r="J361" s="222"/>
      <c r="K361" s="222"/>
      <c r="L361" s="222"/>
      <c r="M361" s="222"/>
      <c r="N361" s="222"/>
      <c r="O361" s="222"/>
      <c r="P361" s="222"/>
      <c r="Q361" s="223"/>
      <c r="R361" s="222"/>
      <c r="S361" s="222"/>
      <c r="T361" s="222"/>
      <c r="U361" s="222"/>
      <c r="V361" s="222"/>
      <c r="W361" s="223"/>
      <c r="X361" s="223"/>
      <c r="Y361" s="222"/>
      <c r="Z361" s="222"/>
      <c r="AA361" s="222"/>
      <c r="AB361" s="224"/>
    </row>
    <row r="362" spans="1:28" ht="13.5" customHeight="1">
      <c r="A362" s="222"/>
      <c r="B362" s="222"/>
      <c r="C362" s="222"/>
      <c r="D362" s="222"/>
      <c r="E362" s="222"/>
      <c r="F362" s="222"/>
      <c r="G362" s="222"/>
      <c r="H362" s="222"/>
      <c r="I362" s="222"/>
      <c r="J362" s="222"/>
      <c r="K362" s="222"/>
      <c r="L362" s="222"/>
      <c r="M362" s="222"/>
      <c r="N362" s="222"/>
      <c r="O362" s="222"/>
      <c r="P362" s="222"/>
      <c r="Q362" s="223"/>
      <c r="R362" s="222"/>
      <c r="S362" s="222"/>
      <c r="T362" s="222"/>
      <c r="U362" s="222"/>
      <c r="V362" s="222"/>
      <c r="W362" s="223"/>
      <c r="X362" s="223"/>
      <c r="Y362" s="222"/>
      <c r="Z362" s="222"/>
      <c r="AA362" s="222"/>
      <c r="AB362" s="224"/>
    </row>
    <row r="363" spans="1:28" ht="13.5" customHeight="1">
      <c r="A363" s="222"/>
      <c r="B363" s="222"/>
      <c r="C363" s="222"/>
      <c r="D363" s="222"/>
      <c r="E363" s="222"/>
      <c r="F363" s="222"/>
      <c r="G363" s="222"/>
      <c r="H363" s="222"/>
      <c r="I363" s="222"/>
      <c r="J363" s="222"/>
      <c r="K363" s="222"/>
      <c r="L363" s="222"/>
      <c r="M363" s="222"/>
      <c r="N363" s="222"/>
      <c r="O363" s="222"/>
      <c r="P363" s="222"/>
      <c r="Q363" s="223"/>
      <c r="R363" s="222"/>
      <c r="S363" s="222"/>
      <c r="T363" s="222"/>
      <c r="U363" s="222"/>
      <c r="V363" s="222"/>
      <c r="W363" s="223"/>
      <c r="X363" s="223"/>
      <c r="Y363" s="222"/>
      <c r="Z363" s="222"/>
      <c r="AA363" s="222"/>
      <c r="AB363" s="224"/>
    </row>
    <row r="364" spans="1:28" ht="13.5" customHeight="1">
      <c r="A364" s="222"/>
      <c r="B364" s="222"/>
      <c r="C364" s="222"/>
      <c r="D364" s="222"/>
      <c r="E364" s="222"/>
      <c r="F364" s="222"/>
      <c r="G364" s="222"/>
      <c r="H364" s="222"/>
      <c r="I364" s="222"/>
      <c r="J364" s="222"/>
      <c r="K364" s="222"/>
      <c r="L364" s="222"/>
      <c r="M364" s="222"/>
      <c r="N364" s="222"/>
      <c r="O364" s="222"/>
      <c r="P364" s="222"/>
      <c r="Q364" s="223"/>
      <c r="R364" s="222"/>
      <c r="S364" s="222"/>
      <c r="T364" s="222"/>
      <c r="U364" s="222"/>
      <c r="V364" s="222"/>
      <c r="W364" s="223"/>
      <c r="X364" s="223"/>
      <c r="Y364" s="222"/>
      <c r="Z364" s="222"/>
      <c r="AA364" s="222"/>
      <c r="AB364" s="224"/>
    </row>
    <row r="365" spans="1:28" ht="13.5" customHeight="1">
      <c r="A365" s="222"/>
      <c r="B365" s="222"/>
      <c r="C365" s="222"/>
      <c r="D365" s="222"/>
      <c r="E365" s="222"/>
      <c r="F365" s="222"/>
      <c r="G365" s="222"/>
      <c r="H365" s="222"/>
      <c r="I365" s="222"/>
      <c r="J365" s="222"/>
      <c r="K365" s="222"/>
      <c r="L365" s="222"/>
      <c r="M365" s="222"/>
      <c r="N365" s="222"/>
      <c r="O365" s="222"/>
      <c r="P365" s="222"/>
      <c r="Q365" s="223"/>
      <c r="R365" s="222"/>
      <c r="S365" s="222"/>
      <c r="T365" s="222"/>
      <c r="U365" s="222"/>
      <c r="V365" s="222"/>
      <c r="W365" s="223"/>
      <c r="X365" s="223"/>
      <c r="Y365" s="222"/>
      <c r="Z365" s="222"/>
      <c r="AA365" s="222"/>
      <c r="AB365" s="224"/>
    </row>
    <row r="366" spans="1:28" ht="13.5" customHeight="1">
      <c r="A366" s="222"/>
      <c r="B366" s="222"/>
      <c r="C366" s="222"/>
      <c r="D366" s="222"/>
      <c r="E366" s="222"/>
      <c r="F366" s="222"/>
      <c r="G366" s="222"/>
      <c r="H366" s="222"/>
      <c r="I366" s="222"/>
      <c r="J366" s="222"/>
      <c r="K366" s="222"/>
      <c r="L366" s="222"/>
      <c r="M366" s="222"/>
      <c r="N366" s="222"/>
      <c r="O366" s="222"/>
      <c r="P366" s="222"/>
      <c r="Q366" s="223"/>
      <c r="R366" s="222"/>
      <c r="S366" s="222"/>
      <c r="T366" s="222"/>
      <c r="U366" s="222"/>
      <c r="V366" s="222"/>
      <c r="W366" s="223"/>
      <c r="X366" s="223"/>
      <c r="Y366" s="222"/>
      <c r="Z366" s="222"/>
      <c r="AA366" s="222"/>
      <c r="AB366" s="224"/>
    </row>
    <row r="367" spans="1:28" ht="13.5" customHeight="1">
      <c r="A367" s="222"/>
      <c r="B367" s="222"/>
      <c r="C367" s="222"/>
      <c r="D367" s="222"/>
      <c r="E367" s="222"/>
      <c r="F367" s="222"/>
      <c r="G367" s="222"/>
      <c r="H367" s="222"/>
      <c r="I367" s="222"/>
      <c r="J367" s="222"/>
      <c r="K367" s="222"/>
      <c r="L367" s="222"/>
      <c r="M367" s="222"/>
      <c r="N367" s="222"/>
      <c r="O367" s="222"/>
      <c r="P367" s="222"/>
      <c r="Q367" s="223"/>
      <c r="R367" s="222"/>
      <c r="S367" s="222"/>
      <c r="T367" s="222"/>
      <c r="U367" s="222"/>
      <c r="V367" s="222"/>
      <c r="W367" s="223"/>
      <c r="X367" s="223"/>
      <c r="Y367" s="222"/>
      <c r="Z367" s="222"/>
      <c r="AA367" s="222"/>
      <c r="AB367" s="224"/>
    </row>
    <row r="368" spans="1:28" ht="13.5" customHeight="1">
      <c r="A368" s="222"/>
      <c r="B368" s="222"/>
      <c r="C368" s="222"/>
      <c r="D368" s="222"/>
      <c r="E368" s="222"/>
      <c r="F368" s="222"/>
      <c r="G368" s="222"/>
      <c r="H368" s="222"/>
      <c r="I368" s="222"/>
      <c r="J368" s="222"/>
      <c r="K368" s="222"/>
      <c r="L368" s="222"/>
      <c r="M368" s="222"/>
      <c r="N368" s="222"/>
      <c r="O368" s="222"/>
      <c r="P368" s="222"/>
      <c r="Q368" s="223"/>
      <c r="R368" s="222"/>
      <c r="S368" s="222"/>
      <c r="T368" s="222"/>
      <c r="U368" s="222"/>
      <c r="V368" s="222"/>
      <c r="W368" s="223"/>
      <c r="X368" s="223"/>
      <c r="Y368" s="222"/>
      <c r="Z368" s="222"/>
      <c r="AA368" s="222"/>
      <c r="AB368" s="224"/>
    </row>
    <row r="369" spans="1:28" ht="13.5" customHeight="1">
      <c r="A369" s="222"/>
      <c r="B369" s="222"/>
      <c r="C369" s="222"/>
      <c r="D369" s="222"/>
      <c r="E369" s="222"/>
      <c r="F369" s="222"/>
      <c r="G369" s="222"/>
      <c r="H369" s="222"/>
      <c r="I369" s="222"/>
      <c r="J369" s="222"/>
      <c r="K369" s="222"/>
      <c r="L369" s="222"/>
      <c r="M369" s="222"/>
      <c r="N369" s="222"/>
      <c r="O369" s="222"/>
      <c r="P369" s="222"/>
      <c r="Q369" s="223"/>
      <c r="R369" s="222"/>
      <c r="S369" s="222"/>
      <c r="T369" s="222"/>
      <c r="U369" s="222"/>
      <c r="V369" s="222"/>
      <c r="W369" s="223"/>
      <c r="X369" s="223"/>
      <c r="Y369" s="222"/>
      <c r="Z369" s="222"/>
      <c r="AA369" s="222"/>
      <c r="AB369" s="224"/>
    </row>
    <row r="370" spans="1:28" ht="13.5" customHeight="1">
      <c r="A370" s="222"/>
      <c r="B370" s="222"/>
      <c r="C370" s="222"/>
      <c r="D370" s="222"/>
      <c r="E370" s="222"/>
      <c r="F370" s="222"/>
      <c r="G370" s="222"/>
      <c r="H370" s="222"/>
      <c r="I370" s="222"/>
      <c r="J370" s="222"/>
      <c r="K370" s="222"/>
      <c r="L370" s="222"/>
      <c r="M370" s="222"/>
      <c r="N370" s="222"/>
      <c r="O370" s="222"/>
      <c r="P370" s="222"/>
      <c r="Q370" s="223"/>
      <c r="R370" s="222"/>
      <c r="S370" s="222"/>
      <c r="T370" s="222"/>
      <c r="U370" s="222"/>
      <c r="V370" s="222"/>
      <c r="W370" s="223"/>
      <c r="X370" s="223"/>
      <c r="Y370" s="222"/>
      <c r="Z370" s="222"/>
      <c r="AA370" s="222"/>
      <c r="AB370" s="224"/>
    </row>
    <row r="371" spans="1:28" ht="13.5" customHeight="1">
      <c r="A371" s="222"/>
      <c r="B371" s="222"/>
      <c r="C371" s="222"/>
      <c r="D371" s="222"/>
      <c r="E371" s="222"/>
      <c r="F371" s="222"/>
      <c r="G371" s="222"/>
      <c r="H371" s="222"/>
      <c r="I371" s="222"/>
      <c r="J371" s="222"/>
      <c r="K371" s="222"/>
      <c r="L371" s="222"/>
      <c r="M371" s="222"/>
      <c r="N371" s="222"/>
      <c r="O371" s="222"/>
      <c r="P371" s="222"/>
      <c r="Q371" s="223"/>
      <c r="R371" s="222"/>
      <c r="S371" s="222"/>
      <c r="T371" s="222"/>
      <c r="U371" s="222"/>
      <c r="V371" s="222"/>
      <c r="W371" s="223"/>
      <c r="X371" s="223"/>
      <c r="Y371" s="222"/>
      <c r="Z371" s="222"/>
      <c r="AA371" s="222"/>
      <c r="AB371" s="224"/>
    </row>
    <row r="372" spans="1:28" ht="13.5" customHeight="1">
      <c r="A372" s="222"/>
      <c r="B372" s="222"/>
      <c r="C372" s="222"/>
      <c r="D372" s="222"/>
      <c r="E372" s="222"/>
      <c r="F372" s="222"/>
      <c r="G372" s="222"/>
      <c r="H372" s="222"/>
      <c r="I372" s="222"/>
      <c r="J372" s="222"/>
      <c r="K372" s="222"/>
      <c r="L372" s="222"/>
      <c r="M372" s="222"/>
      <c r="N372" s="222"/>
      <c r="O372" s="222"/>
      <c r="P372" s="222"/>
      <c r="Q372" s="223"/>
      <c r="R372" s="222"/>
      <c r="S372" s="222"/>
      <c r="T372" s="222"/>
      <c r="U372" s="222"/>
      <c r="V372" s="222"/>
      <c r="W372" s="223"/>
      <c r="X372" s="223"/>
      <c r="Y372" s="222"/>
      <c r="Z372" s="222"/>
      <c r="AA372" s="222"/>
      <c r="AB372" s="224"/>
    </row>
    <row r="373" spans="1:28" ht="13.5" customHeight="1">
      <c r="A373" s="222"/>
      <c r="B373" s="222"/>
      <c r="C373" s="222"/>
      <c r="D373" s="222"/>
      <c r="E373" s="222"/>
      <c r="F373" s="222"/>
      <c r="G373" s="222"/>
      <c r="H373" s="222"/>
      <c r="I373" s="222"/>
      <c r="J373" s="222"/>
      <c r="K373" s="222"/>
      <c r="L373" s="222"/>
      <c r="M373" s="222"/>
      <c r="N373" s="222"/>
      <c r="O373" s="222"/>
      <c r="P373" s="222"/>
      <c r="Q373" s="223"/>
      <c r="R373" s="222"/>
      <c r="S373" s="222"/>
      <c r="T373" s="222"/>
      <c r="U373" s="222"/>
      <c r="V373" s="222"/>
      <c r="W373" s="223"/>
      <c r="X373" s="223"/>
      <c r="Y373" s="222"/>
      <c r="Z373" s="222"/>
      <c r="AA373" s="222"/>
      <c r="AB373" s="224"/>
    </row>
    <row r="374" spans="1:28" ht="13.5" customHeight="1">
      <c r="A374" s="222"/>
      <c r="B374" s="222"/>
      <c r="C374" s="222"/>
      <c r="D374" s="222"/>
      <c r="E374" s="222"/>
      <c r="F374" s="222"/>
      <c r="G374" s="222"/>
      <c r="H374" s="222"/>
      <c r="I374" s="222"/>
      <c r="J374" s="222"/>
      <c r="K374" s="222"/>
      <c r="L374" s="222"/>
      <c r="M374" s="222"/>
      <c r="N374" s="222"/>
      <c r="O374" s="222"/>
      <c r="P374" s="222"/>
      <c r="Q374" s="223"/>
      <c r="R374" s="222"/>
      <c r="S374" s="222"/>
      <c r="T374" s="222"/>
      <c r="U374" s="222"/>
      <c r="V374" s="222"/>
      <c r="W374" s="223"/>
      <c r="X374" s="223"/>
      <c r="Y374" s="222"/>
      <c r="Z374" s="222"/>
      <c r="AA374" s="222"/>
      <c r="AB374" s="224"/>
    </row>
    <row r="375" spans="1:28" ht="13.5" customHeight="1">
      <c r="A375" s="222"/>
      <c r="B375" s="222"/>
      <c r="C375" s="222"/>
      <c r="D375" s="222"/>
      <c r="E375" s="222"/>
      <c r="F375" s="222"/>
      <c r="G375" s="222"/>
      <c r="H375" s="222"/>
      <c r="I375" s="222"/>
      <c r="J375" s="222"/>
      <c r="K375" s="222"/>
      <c r="L375" s="222"/>
      <c r="M375" s="222"/>
      <c r="N375" s="222"/>
      <c r="O375" s="222"/>
      <c r="P375" s="222"/>
      <c r="Q375" s="223"/>
      <c r="R375" s="222"/>
      <c r="S375" s="222"/>
      <c r="T375" s="222"/>
      <c r="U375" s="222"/>
      <c r="V375" s="222"/>
      <c r="W375" s="223"/>
      <c r="X375" s="223"/>
      <c r="Y375" s="222"/>
      <c r="Z375" s="222"/>
      <c r="AA375" s="222"/>
      <c r="AB375" s="224"/>
    </row>
    <row r="376" spans="1:28" ht="13.5" customHeight="1">
      <c r="A376" s="222"/>
      <c r="B376" s="222"/>
      <c r="C376" s="222"/>
      <c r="D376" s="222"/>
      <c r="E376" s="222"/>
      <c r="F376" s="222"/>
      <c r="G376" s="222"/>
      <c r="H376" s="222"/>
      <c r="I376" s="222"/>
      <c r="J376" s="222"/>
      <c r="K376" s="222"/>
      <c r="L376" s="222"/>
      <c r="M376" s="222"/>
      <c r="N376" s="222"/>
      <c r="O376" s="222"/>
      <c r="P376" s="222"/>
      <c r="Q376" s="223"/>
      <c r="R376" s="222"/>
      <c r="S376" s="222"/>
      <c r="T376" s="222"/>
      <c r="U376" s="222"/>
      <c r="V376" s="222"/>
      <c r="W376" s="223"/>
      <c r="X376" s="223"/>
      <c r="Y376" s="222"/>
      <c r="Z376" s="222"/>
      <c r="AA376" s="222"/>
      <c r="AB376" s="224"/>
    </row>
    <row r="377" spans="1:28" ht="13.5" customHeight="1">
      <c r="A377" s="222"/>
      <c r="B377" s="222"/>
      <c r="C377" s="222"/>
      <c r="D377" s="222"/>
      <c r="E377" s="222"/>
      <c r="F377" s="222"/>
      <c r="G377" s="222"/>
      <c r="H377" s="222"/>
      <c r="I377" s="222"/>
      <c r="J377" s="222"/>
      <c r="K377" s="222"/>
      <c r="L377" s="222"/>
      <c r="M377" s="222"/>
      <c r="N377" s="222"/>
      <c r="O377" s="222"/>
      <c r="P377" s="222"/>
      <c r="Q377" s="223"/>
      <c r="R377" s="222"/>
      <c r="S377" s="222"/>
      <c r="T377" s="222"/>
      <c r="U377" s="222"/>
      <c r="V377" s="222"/>
      <c r="W377" s="223"/>
      <c r="X377" s="223"/>
      <c r="Y377" s="222"/>
      <c r="Z377" s="222"/>
      <c r="AA377" s="222"/>
      <c r="AB377" s="224"/>
    </row>
    <row r="378" spans="1:28" ht="13.5" customHeight="1">
      <c r="A378" s="222"/>
      <c r="B378" s="222"/>
      <c r="C378" s="222"/>
      <c r="D378" s="222"/>
      <c r="E378" s="222"/>
      <c r="F378" s="222"/>
      <c r="G378" s="222"/>
      <c r="H378" s="222"/>
      <c r="I378" s="222"/>
      <c r="J378" s="222"/>
      <c r="K378" s="222"/>
      <c r="L378" s="222"/>
      <c r="M378" s="222"/>
      <c r="N378" s="222"/>
      <c r="O378" s="222"/>
      <c r="P378" s="222"/>
      <c r="Q378" s="223"/>
      <c r="R378" s="222"/>
      <c r="S378" s="222"/>
      <c r="T378" s="222"/>
      <c r="U378" s="222"/>
      <c r="V378" s="222"/>
      <c r="W378" s="223"/>
      <c r="X378" s="223"/>
      <c r="Y378" s="222"/>
      <c r="Z378" s="222"/>
      <c r="AA378" s="222"/>
      <c r="AB378" s="224"/>
    </row>
    <row r="379" spans="1:28" ht="13.5" customHeight="1">
      <c r="A379" s="222"/>
      <c r="B379" s="222"/>
      <c r="C379" s="222"/>
      <c r="D379" s="222"/>
      <c r="E379" s="222"/>
      <c r="F379" s="222"/>
      <c r="G379" s="222"/>
      <c r="H379" s="222"/>
      <c r="I379" s="222"/>
      <c r="J379" s="222"/>
      <c r="K379" s="222"/>
      <c r="L379" s="222"/>
      <c r="M379" s="222"/>
      <c r="N379" s="222"/>
      <c r="O379" s="222"/>
      <c r="P379" s="222"/>
      <c r="Q379" s="223"/>
      <c r="R379" s="222"/>
      <c r="S379" s="222"/>
      <c r="T379" s="222"/>
      <c r="U379" s="222"/>
      <c r="V379" s="222"/>
      <c r="W379" s="223"/>
      <c r="X379" s="223"/>
      <c r="Y379" s="222"/>
      <c r="Z379" s="222"/>
      <c r="AA379" s="222"/>
      <c r="AB379" s="224"/>
    </row>
    <row r="380" spans="1:28" ht="13.5" customHeight="1">
      <c r="A380" s="222"/>
      <c r="B380" s="222"/>
      <c r="C380" s="222"/>
      <c r="D380" s="222"/>
      <c r="E380" s="222"/>
      <c r="F380" s="222"/>
      <c r="G380" s="222"/>
      <c r="H380" s="222"/>
      <c r="I380" s="222"/>
      <c r="J380" s="222"/>
      <c r="K380" s="222"/>
      <c r="L380" s="222"/>
      <c r="M380" s="222"/>
      <c r="N380" s="222"/>
      <c r="O380" s="222"/>
      <c r="P380" s="222"/>
      <c r="Q380" s="223"/>
      <c r="R380" s="222"/>
      <c r="S380" s="222"/>
      <c r="T380" s="222"/>
      <c r="U380" s="222"/>
      <c r="V380" s="222"/>
      <c r="W380" s="223"/>
      <c r="X380" s="223"/>
      <c r="Y380" s="222"/>
      <c r="Z380" s="222"/>
      <c r="AA380" s="222"/>
      <c r="AB380" s="224"/>
    </row>
    <row r="381" spans="1:28" ht="13.5" customHeight="1">
      <c r="A381" s="222"/>
      <c r="B381" s="222"/>
      <c r="C381" s="222"/>
      <c r="D381" s="222"/>
      <c r="E381" s="222"/>
      <c r="F381" s="222"/>
      <c r="G381" s="222"/>
      <c r="H381" s="222"/>
      <c r="I381" s="222"/>
      <c r="J381" s="222"/>
      <c r="K381" s="222"/>
      <c r="L381" s="222"/>
      <c r="M381" s="222"/>
      <c r="N381" s="222"/>
      <c r="O381" s="222"/>
      <c r="P381" s="222"/>
      <c r="Q381" s="223"/>
      <c r="R381" s="222"/>
      <c r="S381" s="222"/>
      <c r="T381" s="222"/>
      <c r="U381" s="222"/>
      <c r="V381" s="222"/>
      <c r="W381" s="223"/>
      <c r="X381" s="223"/>
      <c r="Y381" s="222"/>
      <c r="Z381" s="222"/>
      <c r="AA381" s="222"/>
      <c r="AB381" s="224"/>
    </row>
    <row r="382" spans="1:28" ht="13.5" customHeight="1">
      <c r="A382" s="222"/>
      <c r="B382" s="222"/>
      <c r="C382" s="222"/>
      <c r="D382" s="222"/>
      <c r="E382" s="222"/>
      <c r="F382" s="222"/>
      <c r="G382" s="222"/>
      <c r="H382" s="222"/>
      <c r="I382" s="222"/>
      <c r="J382" s="222"/>
      <c r="K382" s="222"/>
      <c r="L382" s="222"/>
      <c r="M382" s="222"/>
      <c r="N382" s="222"/>
      <c r="O382" s="222"/>
      <c r="P382" s="222"/>
      <c r="Q382" s="223"/>
      <c r="R382" s="222"/>
      <c r="S382" s="222"/>
      <c r="T382" s="222"/>
      <c r="U382" s="222"/>
      <c r="V382" s="222"/>
      <c r="W382" s="223"/>
      <c r="X382" s="223"/>
      <c r="Y382" s="222"/>
      <c r="Z382" s="222"/>
      <c r="AA382" s="222"/>
      <c r="AB382" s="224"/>
    </row>
    <row r="383" spans="1:28" ht="13.5" customHeight="1">
      <c r="A383" s="222"/>
      <c r="B383" s="222"/>
      <c r="C383" s="222"/>
      <c r="D383" s="222"/>
      <c r="E383" s="222"/>
      <c r="F383" s="222"/>
      <c r="G383" s="222"/>
      <c r="H383" s="222"/>
      <c r="I383" s="222"/>
      <c r="J383" s="222"/>
      <c r="K383" s="222"/>
      <c r="L383" s="222"/>
      <c r="M383" s="222"/>
      <c r="N383" s="222"/>
      <c r="O383" s="222"/>
      <c r="P383" s="222"/>
      <c r="Q383" s="223"/>
      <c r="R383" s="222"/>
      <c r="S383" s="222"/>
      <c r="T383" s="222"/>
      <c r="U383" s="222"/>
      <c r="V383" s="222"/>
      <c r="W383" s="223"/>
      <c r="X383" s="223"/>
      <c r="Y383" s="222"/>
      <c r="Z383" s="222"/>
      <c r="AA383" s="222"/>
      <c r="AB383" s="224"/>
    </row>
    <row r="384" spans="1:28" ht="13.5" customHeight="1">
      <c r="A384" s="222"/>
      <c r="B384" s="222"/>
      <c r="C384" s="222"/>
      <c r="D384" s="222"/>
      <c r="E384" s="222"/>
      <c r="F384" s="222"/>
      <c r="G384" s="222"/>
      <c r="H384" s="222"/>
      <c r="I384" s="222"/>
      <c r="J384" s="222"/>
      <c r="K384" s="222"/>
      <c r="L384" s="222"/>
      <c r="M384" s="222"/>
      <c r="N384" s="222"/>
      <c r="O384" s="222"/>
      <c r="P384" s="222"/>
      <c r="Q384" s="223"/>
      <c r="R384" s="222"/>
      <c r="S384" s="222"/>
      <c r="T384" s="222"/>
      <c r="U384" s="222"/>
      <c r="V384" s="222"/>
      <c r="W384" s="223"/>
      <c r="X384" s="223"/>
      <c r="Y384" s="222"/>
      <c r="Z384" s="222"/>
      <c r="AA384" s="222"/>
      <c r="AB384" s="224"/>
    </row>
    <row r="385" spans="1:28" ht="13.5" customHeight="1">
      <c r="A385" s="222"/>
      <c r="B385" s="222"/>
      <c r="C385" s="222"/>
      <c r="D385" s="222"/>
      <c r="E385" s="222"/>
      <c r="F385" s="222"/>
      <c r="G385" s="222"/>
      <c r="H385" s="222"/>
      <c r="I385" s="222"/>
      <c r="J385" s="222"/>
      <c r="K385" s="222"/>
      <c r="L385" s="222"/>
      <c r="M385" s="222"/>
      <c r="N385" s="222"/>
      <c r="O385" s="222"/>
      <c r="P385" s="222"/>
      <c r="Q385" s="223"/>
      <c r="R385" s="222"/>
      <c r="S385" s="222"/>
      <c r="T385" s="222"/>
      <c r="U385" s="222"/>
      <c r="V385" s="222"/>
      <c r="W385" s="223"/>
      <c r="X385" s="223"/>
      <c r="Y385" s="222"/>
      <c r="Z385" s="222"/>
      <c r="AA385" s="222"/>
      <c r="AB385" s="224"/>
    </row>
    <row r="386" spans="1:28" ht="13.5" customHeight="1">
      <c r="A386" s="222"/>
      <c r="B386" s="222"/>
      <c r="C386" s="222"/>
      <c r="D386" s="222"/>
      <c r="E386" s="222"/>
      <c r="F386" s="222"/>
      <c r="G386" s="222"/>
      <c r="H386" s="222"/>
      <c r="I386" s="222"/>
      <c r="J386" s="222"/>
      <c r="K386" s="222"/>
      <c r="L386" s="222"/>
      <c r="M386" s="222"/>
      <c r="N386" s="222"/>
      <c r="O386" s="222"/>
      <c r="P386" s="222"/>
      <c r="Q386" s="223"/>
      <c r="R386" s="222"/>
      <c r="S386" s="222"/>
      <c r="T386" s="222"/>
      <c r="U386" s="222"/>
      <c r="V386" s="222"/>
      <c r="W386" s="223"/>
      <c r="X386" s="223"/>
      <c r="Y386" s="222"/>
      <c r="Z386" s="222"/>
      <c r="AA386" s="222"/>
      <c r="AB386" s="224"/>
    </row>
    <row r="387" spans="1:28" ht="13.5" customHeight="1">
      <c r="A387" s="222"/>
      <c r="B387" s="222"/>
      <c r="C387" s="222"/>
      <c r="D387" s="222"/>
      <c r="E387" s="222"/>
      <c r="F387" s="222"/>
      <c r="G387" s="222"/>
      <c r="H387" s="222"/>
      <c r="I387" s="222"/>
      <c r="J387" s="222"/>
      <c r="K387" s="222"/>
      <c r="L387" s="222"/>
      <c r="M387" s="222"/>
      <c r="N387" s="222"/>
      <c r="O387" s="222"/>
      <c r="P387" s="222"/>
      <c r="Q387" s="223"/>
      <c r="R387" s="222"/>
      <c r="S387" s="222"/>
      <c r="T387" s="222"/>
      <c r="U387" s="222"/>
      <c r="V387" s="222"/>
      <c r="W387" s="223"/>
      <c r="X387" s="223"/>
      <c r="Y387" s="222"/>
      <c r="Z387" s="222"/>
      <c r="AA387" s="222"/>
      <c r="AB387" s="224"/>
    </row>
    <row r="388" spans="1:28" ht="13.5" customHeight="1">
      <c r="A388" s="222"/>
      <c r="B388" s="222"/>
      <c r="C388" s="222"/>
      <c r="D388" s="222"/>
      <c r="E388" s="222"/>
      <c r="F388" s="222"/>
      <c r="G388" s="222"/>
      <c r="H388" s="222"/>
      <c r="I388" s="222"/>
      <c r="J388" s="222"/>
      <c r="K388" s="222"/>
      <c r="L388" s="222"/>
      <c r="M388" s="222"/>
      <c r="N388" s="222"/>
      <c r="O388" s="222"/>
      <c r="P388" s="222"/>
      <c r="Q388" s="223"/>
      <c r="R388" s="222"/>
      <c r="S388" s="222"/>
      <c r="T388" s="222"/>
      <c r="U388" s="222"/>
      <c r="V388" s="222"/>
      <c r="W388" s="223"/>
      <c r="X388" s="223"/>
      <c r="Y388" s="222"/>
      <c r="Z388" s="222"/>
      <c r="AA388" s="222"/>
      <c r="AB388" s="224"/>
    </row>
    <row r="389" spans="1:28" ht="13.5" customHeight="1">
      <c r="A389" s="222"/>
      <c r="B389" s="222"/>
      <c r="C389" s="222"/>
      <c r="D389" s="222"/>
      <c r="E389" s="222"/>
      <c r="F389" s="222"/>
      <c r="G389" s="222"/>
      <c r="H389" s="222"/>
      <c r="I389" s="222"/>
      <c r="J389" s="222"/>
      <c r="K389" s="222"/>
      <c r="L389" s="222"/>
      <c r="M389" s="222"/>
      <c r="N389" s="222"/>
      <c r="O389" s="222"/>
      <c r="P389" s="222"/>
      <c r="Q389" s="223"/>
      <c r="R389" s="222"/>
      <c r="S389" s="222"/>
      <c r="T389" s="222"/>
      <c r="U389" s="222"/>
      <c r="V389" s="222"/>
      <c r="W389" s="223"/>
      <c r="X389" s="223"/>
      <c r="Y389" s="222"/>
      <c r="Z389" s="222"/>
      <c r="AA389" s="222"/>
      <c r="AB389" s="224"/>
    </row>
    <row r="390" spans="1:28" ht="13.5" customHeight="1">
      <c r="A390" s="222"/>
      <c r="B390" s="222"/>
      <c r="C390" s="222"/>
      <c r="D390" s="222"/>
      <c r="E390" s="222"/>
      <c r="F390" s="222"/>
      <c r="G390" s="222"/>
      <c r="H390" s="222"/>
      <c r="I390" s="222"/>
      <c r="J390" s="222"/>
      <c r="K390" s="222"/>
      <c r="L390" s="222"/>
      <c r="M390" s="222"/>
      <c r="N390" s="222"/>
      <c r="O390" s="222"/>
      <c r="P390" s="222"/>
      <c r="Q390" s="223"/>
      <c r="R390" s="222"/>
      <c r="S390" s="222"/>
      <c r="T390" s="222"/>
      <c r="U390" s="222"/>
      <c r="V390" s="222"/>
      <c r="W390" s="223"/>
      <c r="X390" s="223"/>
      <c r="Y390" s="222"/>
      <c r="Z390" s="222"/>
      <c r="AA390" s="222"/>
      <c r="AB390" s="224"/>
    </row>
    <row r="391" spans="1:28" ht="13.5" customHeight="1">
      <c r="A391" s="222"/>
      <c r="B391" s="222"/>
      <c r="C391" s="222"/>
      <c r="D391" s="222"/>
      <c r="E391" s="222"/>
      <c r="F391" s="222"/>
      <c r="G391" s="222"/>
      <c r="H391" s="222"/>
      <c r="I391" s="222"/>
      <c r="J391" s="222"/>
      <c r="K391" s="222"/>
      <c r="L391" s="222"/>
      <c r="M391" s="222"/>
      <c r="N391" s="222"/>
      <c r="O391" s="222"/>
      <c r="P391" s="222"/>
      <c r="Q391" s="223"/>
      <c r="R391" s="222"/>
      <c r="S391" s="222"/>
      <c r="T391" s="222"/>
      <c r="U391" s="222"/>
      <c r="V391" s="222"/>
      <c r="W391" s="223"/>
      <c r="X391" s="223"/>
      <c r="Y391" s="222"/>
      <c r="Z391" s="222"/>
      <c r="AA391" s="222"/>
      <c r="AB391" s="224"/>
    </row>
    <row r="392" spans="1:28" ht="13.5" customHeight="1">
      <c r="A392" s="222"/>
      <c r="B392" s="222"/>
      <c r="C392" s="222"/>
      <c r="D392" s="222"/>
      <c r="E392" s="222"/>
      <c r="F392" s="222"/>
      <c r="G392" s="222"/>
      <c r="H392" s="222"/>
      <c r="I392" s="222"/>
      <c r="J392" s="222"/>
      <c r="K392" s="222"/>
      <c r="L392" s="222"/>
      <c r="M392" s="222"/>
      <c r="N392" s="222"/>
      <c r="O392" s="222"/>
      <c r="P392" s="222"/>
      <c r="Q392" s="223"/>
      <c r="R392" s="222"/>
      <c r="S392" s="222"/>
      <c r="T392" s="222"/>
      <c r="U392" s="222"/>
      <c r="V392" s="222"/>
      <c r="W392" s="223"/>
      <c r="X392" s="223"/>
      <c r="Y392" s="222"/>
      <c r="Z392" s="222"/>
      <c r="AA392" s="222"/>
      <c r="AB392" s="224"/>
    </row>
    <row r="393" spans="1:28" ht="13.5" customHeight="1">
      <c r="A393" s="222"/>
      <c r="B393" s="222"/>
      <c r="C393" s="222"/>
      <c r="D393" s="222"/>
      <c r="E393" s="222"/>
      <c r="F393" s="222"/>
      <c r="G393" s="222"/>
      <c r="H393" s="222"/>
      <c r="I393" s="222"/>
      <c r="J393" s="222"/>
      <c r="K393" s="222"/>
      <c r="L393" s="222"/>
      <c r="M393" s="222"/>
      <c r="N393" s="222"/>
      <c r="O393" s="222"/>
      <c r="P393" s="222"/>
      <c r="Q393" s="223"/>
      <c r="R393" s="222"/>
      <c r="S393" s="222"/>
      <c r="T393" s="222"/>
      <c r="U393" s="222"/>
      <c r="V393" s="222"/>
      <c r="W393" s="223"/>
      <c r="X393" s="223"/>
      <c r="Y393" s="222"/>
      <c r="Z393" s="222"/>
      <c r="AA393" s="222"/>
      <c r="AB393" s="224"/>
    </row>
    <row r="394" spans="1:28" ht="13.5" customHeight="1">
      <c r="A394" s="222"/>
      <c r="B394" s="222"/>
      <c r="C394" s="222"/>
      <c r="D394" s="222"/>
      <c r="E394" s="222"/>
      <c r="F394" s="222"/>
      <c r="G394" s="222"/>
      <c r="H394" s="222"/>
      <c r="I394" s="222"/>
      <c r="J394" s="222"/>
      <c r="K394" s="222"/>
      <c r="L394" s="222"/>
      <c r="M394" s="222"/>
      <c r="N394" s="222"/>
      <c r="O394" s="222"/>
      <c r="P394" s="222"/>
      <c r="Q394" s="223"/>
      <c r="R394" s="222"/>
      <c r="S394" s="222"/>
      <c r="T394" s="222"/>
      <c r="U394" s="222"/>
      <c r="V394" s="222"/>
      <c r="W394" s="223"/>
      <c r="X394" s="223"/>
      <c r="Y394" s="222"/>
      <c r="Z394" s="222"/>
      <c r="AA394" s="222"/>
      <c r="AB394" s="224"/>
    </row>
    <row r="395" spans="1:28" ht="13.5" customHeight="1">
      <c r="A395" s="222"/>
      <c r="B395" s="222"/>
      <c r="C395" s="222"/>
      <c r="D395" s="222"/>
      <c r="E395" s="222"/>
      <c r="F395" s="222"/>
      <c r="G395" s="222"/>
      <c r="H395" s="222"/>
      <c r="I395" s="222"/>
      <c r="J395" s="222"/>
      <c r="K395" s="222"/>
      <c r="L395" s="222"/>
      <c r="M395" s="222"/>
      <c r="N395" s="222"/>
      <c r="O395" s="222"/>
      <c r="P395" s="222"/>
      <c r="Q395" s="223"/>
      <c r="R395" s="222"/>
      <c r="S395" s="222"/>
      <c r="T395" s="222"/>
      <c r="U395" s="222"/>
      <c r="V395" s="222"/>
      <c r="W395" s="223"/>
      <c r="X395" s="223"/>
      <c r="Y395" s="222"/>
      <c r="Z395" s="222"/>
      <c r="AA395" s="222"/>
      <c r="AB395" s="224"/>
    </row>
    <row r="396" spans="1:28" ht="13.5" customHeight="1">
      <c r="A396" s="222"/>
      <c r="B396" s="222"/>
      <c r="C396" s="222"/>
      <c r="D396" s="222"/>
      <c r="E396" s="222"/>
      <c r="F396" s="222"/>
      <c r="G396" s="222"/>
      <c r="H396" s="222"/>
      <c r="I396" s="222"/>
      <c r="J396" s="222"/>
      <c r="K396" s="222"/>
      <c r="L396" s="222"/>
      <c r="M396" s="222"/>
      <c r="N396" s="222"/>
      <c r="O396" s="222"/>
      <c r="P396" s="222"/>
      <c r="Q396" s="223"/>
      <c r="R396" s="222"/>
      <c r="S396" s="222"/>
      <c r="T396" s="222"/>
      <c r="U396" s="222"/>
      <c r="V396" s="222"/>
      <c r="W396" s="223"/>
      <c r="X396" s="223"/>
      <c r="Y396" s="222"/>
      <c r="Z396" s="222"/>
      <c r="AA396" s="222"/>
      <c r="AB396" s="224"/>
    </row>
    <row r="397" spans="1:28" ht="13.5" customHeight="1">
      <c r="A397" s="222"/>
      <c r="B397" s="222"/>
      <c r="C397" s="222"/>
      <c r="D397" s="222"/>
      <c r="E397" s="222"/>
      <c r="F397" s="222"/>
      <c r="G397" s="222"/>
      <c r="H397" s="222"/>
      <c r="I397" s="222"/>
      <c r="J397" s="222"/>
      <c r="K397" s="222"/>
      <c r="L397" s="222"/>
      <c r="M397" s="222"/>
      <c r="N397" s="222"/>
      <c r="O397" s="222"/>
      <c r="P397" s="222"/>
      <c r="Q397" s="223"/>
      <c r="R397" s="222"/>
      <c r="S397" s="222"/>
      <c r="T397" s="222"/>
      <c r="U397" s="222"/>
      <c r="V397" s="222"/>
      <c r="W397" s="223"/>
      <c r="X397" s="223"/>
      <c r="Y397" s="222"/>
      <c r="Z397" s="222"/>
      <c r="AA397" s="222"/>
      <c r="AB397" s="224"/>
    </row>
    <row r="398" spans="1:28" ht="13.5" customHeight="1">
      <c r="A398" s="222"/>
      <c r="B398" s="222"/>
      <c r="C398" s="222"/>
      <c r="D398" s="222"/>
      <c r="E398" s="222"/>
      <c r="F398" s="222"/>
      <c r="G398" s="222"/>
      <c r="H398" s="222"/>
      <c r="I398" s="222"/>
      <c r="J398" s="222"/>
      <c r="K398" s="222"/>
      <c r="L398" s="222"/>
      <c r="M398" s="222"/>
      <c r="N398" s="222"/>
      <c r="O398" s="222"/>
      <c r="P398" s="222"/>
      <c r="Q398" s="223"/>
      <c r="R398" s="222"/>
      <c r="S398" s="222"/>
      <c r="T398" s="222"/>
      <c r="U398" s="222"/>
      <c r="V398" s="222"/>
      <c r="W398" s="223"/>
      <c r="X398" s="223"/>
      <c r="Y398" s="222"/>
      <c r="Z398" s="222"/>
      <c r="AA398" s="222"/>
      <c r="AB398" s="224"/>
    </row>
    <row r="399" spans="1:28" ht="13.5" customHeight="1">
      <c r="A399" s="222"/>
      <c r="B399" s="222"/>
      <c r="C399" s="222"/>
      <c r="D399" s="222"/>
      <c r="E399" s="222"/>
      <c r="F399" s="222"/>
      <c r="G399" s="222"/>
      <c r="H399" s="222"/>
      <c r="I399" s="222"/>
      <c r="J399" s="222"/>
      <c r="K399" s="222"/>
      <c r="L399" s="222"/>
      <c r="M399" s="222"/>
      <c r="N399" s="222"/>
      <c r="O399" s="222"/>
      <c r="P399" s="222"/>
      <c r="Q399" s="223"/>
      <c r="R399" s="222"/>
      <c r="S399" s="222"/>
      <c r="T399" s="222"/>
      <c r="U399" s="222"/>
      <c r="V399" s="222"/>
      <c r="W399" s="223"/>
      <c r="X399" s="223"/>
      <c r="Y399" s="222"/>
      <c r="Z399" s="222"/>
      <c r="AA399" s="222"/>
      <c r="AB399" s="224"/>
    </row>
    <row r="400" spans="1:28" ht="13.5" customHeight="1">
      <c r="A400" s="222"/>
      <c r="B400" s="222"/>
      <c r="C400" s="222"/>
      <c r="D400" s="222"/>
      <c r="E400" s="222"/>
      <c r="F400" s="222"/>
      <c r="G400" s="222"/>
      <c r="H400" s="222"/>
      <c r="I400" s="222"/>
      <c r="J400" s="222"/>
      <c r="K400" s="222"/>
      <c r="L400" s="222"/>
      <c r="M400" s="222"/>
      <c r="N400" s="222"/>
      <c r="O400" s="222"/>
      <c r="P400" s="222"/>
      <c r="Q400" s="223"/>
      <c r="R400" s="222"/>
      <c r="S400" s="222"/>
      <c r="T400" s="222"/>
      <c r="U400" s="222"/>
      <c r="V400" s="222"/>
      <c r="W400" s="223"/>
      <c r="X400" s="223"/>
      <c r="Y400" s="222"/>
      <c r="Z400" s="222"/>
      <c r="AA400" s="222"/>
      <c r="AB400" s="224"/>
    </row>
    <row r="401" spans="1:28" ht="13.5" customHeight="1">
      <c r="A401" s="222"/>
      <c r="B401" s="222"/>
      <c r="C401" s="222"/>
      <c r="D401" s="222"/>
      <c r="E401" s="222"/>
      <c r="F401" s="222"/>
      <c r="G401" s="222"/>
      <c r="H401" s="222"/>
      <c r="I401" s="222"/>
      <c r="J401" s="222"/>
      <c r="K401" s="222"/>
      <c r="L401" s="222"/>
      <c r="M401" s="222"/>
      <c r="N401" s="222"/>
      <c r="O401" s="222"/>
      <c r="P401" s="222"/>
      <c r="Q401" s="223"/>
      <c r="R401" s="222"/>
      <c r="S401" s="222"/>
      <c r="T401" s="222"/>
      <c r="U401" s="222"/>
      <c r="V401" s="222"/>
      <c r="W401" s="223"/>
      <c r="X401" s="223"/>
      <c r="Y401" s="222"/>
      <c r="Z401" s="222"/>
      <c r="AA401" s="222"/>
      <c r="AB401" s="224"/>
    </row>
    <row r="402" spans="1:28" ht="13.5" customHeight="1">
      <c r="A402" s="222"/>
      <c r="B402" s="222"/>
      <c r="C402" s="222"/>
      <c r="D402" s="222"/>
      <c r="E402" s="222"/>
      <c r="F402" s="222"/>
      <c r="G402" s="222"/>
      <c r="H402" s="222"/>
      <c r="I402" s="222"/>
      <c r="J402" s="222"/>
      <c r="K402" s="222"/>
      <c r="L402" s="222"/>
      <c r="M402" s="222"/>
      <c r="N402" s="222"/>
      <c r="O402" s="222"/>
      <c r="P402" s="222"/>
      <c r="Q402" s="223"/>
      <c r="R402" s="222"/>
      <c r="S402" s="222"/>
      <c r="T402" s="222"/>
      <c r="U402" s="222"/>
      <c r="V402" s="222"/>
      <c r="W402" s="223"/>
      <c r="X402" s="223"/>
      <c r="Y402" s="222"/>
      <c r="Z402" s="222"/>
      <c r="AA402" s="222"/>
      <c r="AB402" s="224"/>
    </row>
    <row r="403" spans="1:28" ht="13.5" customHeight="1">
      <c r="A403" s="222"/>
      <c r="B403" s="222"/>
      <c r="C403" s="222"/>
      <c r="D403" s="222"/>
      <c r="E403" s="222"/>
      <c r="F403" s="222"/>
      <c r="G403" s="222"/>
      <c r="H403" s="222"/>
      <c r="I403" s="222"/>
      <c r="J403" s="222"/>
      <c r="K403" s="222"/>
      <c r="L403" s="222"/>
      <c r="M403" s="222"/>
      <c r="N403" s="222"/>
      <c r="O403" s="222"/>
      <c r="P403" s="222"/>
      <c r="Q403" s="223"/>
      <c r="R403" s="222"/>
      <c r="S403" s="222"/>
      <c r="T403" s="222"/>
      <c r="U403" s="222"/>
      <c r="V403" s="222"/>
      <c r="W403" s="223"/>
      <c r="X403" s="223"/>
      <c r="Y403" s="222"/>
      <c r="Z403" s="222"/>
      <c r="AA403" s="222"/>
      <c r="AB403" s="224"/>
    </row>
    <row r="404" spans="1:28" ht="13.5" customHeight="1">
      <c r="A404" s="222"/>
      <c r="B404" s="222"/>
      <c r="C404" s="222"/>
      <c r="D404" s="222"/>
      <c r="E404" s="222"/>
      <c r="F404" s="222"/>
      <c r="G404" s="222"/>
      <c r="H404" s="222"/>
      <c r="I404" s="222"/>
      <c r="J404" s="222"/>
      <c r="K404" s="222"/>
      <c r="L404" s="222"/>
      <c r="M404" s="222"/>
      <c r="N404" s="222"/>
      <c r="O404" s="222"/>
      <c r="P404" s="222"/>
      <c r="Q404" s="223"/>
      <c r="R404" s="222"/>
      <c r="S404" s="222"/>
      <c r="T404" s="222"/>
      <c r="U404" s="222"/>
      <c r="V404" s="222"/>
      <c r="W404" s="223"/>
      <c r="X404" s="223"/>
      <c r="Y404" s="222"/>
      <c r="Z404" s="222"/>
      <c r="AA404" s="222"/>
      <c r="AB404" s="224"/>
    </row>
    <row r="405" spans="1:28" ht="13.5" customHeight="1">
      <c r="A405" s="222"/>
      <c r="B405" s="222"/>
      <c r="C405" s="222"/>
      <c r="D405" s="222"/>
      <c r="E405" s="222"/>
      <c r="F405" s="222"/>
      <c r="G405" s="222"/>
      <c r="H405" s="222"/>
      <c r="I405" s="222"/>
      <c r="J405" s="222"/>
      <c r="K405" s="222"/>
      <c r="L405" s="222"/>
      <c r="M405" s="222"/>
      <c r="N405" s="222"/>
      <c r="O405" s="222"/>
      <c r="P405" s="222"/>
      <c r="Q405" s="223"/>
      <c r="R405" s="222"/>
      <c r="S405" s="222"/>
      <c r="T405" s="222"/>
      <c r="U405" s="222"/>
      <c r="V405" s="222"/>
      <c r="W405" s="223"/>
      <c r="X405" s="223"/>
      <c r="Y405" s="222"/>
      <c r="Z405" s="222"/>
      <c r="AA405" s="222"/>
      <c r="AB405" s="224"/>
    </row>
    <row r="406" spans="1:28" ht="13.5" customHeight="1">
      <c r="A406" s="222"/>
      <c r="B406" s="222"/>
      <c r="C406" s="222"/>
      <c r="D406" s="222"/>
      <c r="E406" s="222"/>
      <c r="F406" s="222"/>
      <c r="G406" s="222"/>
      <c r="H406" s="222"/>
      <c r="I406" s="222"/>
      <c r="J406" s="222"/>
      <c r="K406" s="222"/>
      <c r="L406" s="222"/>
      <c r="M406" s="222"/>
      <c r="N406" s="222"/>
      <c r="O406" s="222"/>
      <c r="P406" s="222"/>
      <c r="Q406" s="223"/>
      <c r="R406" s="222"/>
      <c r="S406" s="222"/>
      <c r="T406" s="222"/>
      <c r="U406" s="222"/>
      <c r="V406" s="222"/>
      <c r="W406" s="223"/>
      <c r="X406" s="223"/>
      <c r="Y406" s="222"/>
      <c r="Z406" s="222"/>
      <c r="AA406" s="222"/>
      <c r="AB406" s="224"/>
    </row>
    <row r="407" spans="1:28" ht="13.5" customHeight="1">
      <c r="A407" s="222"/>
      <c r="B407" s="222"/>
      <c r="C407" s="222"/>
      <c r="D407" s="222"/>
      <c r="E407" s="222"/>
      <c r="F407" s="222"/>
      <c r="G407" s="222"/>
      <c r="H407" s="222"/>
      <c r="I407" s="222"/>
      <c r="J407" s="222"/>
      <c r="K407" s="222"/>
      <c r="L407" s="222"/>
      <c r="M407" s="222"/>
      <c r="N407" s="222"/>
      <c r="O407" s="222"/>
      <c r="P407" s="222"/>
      <c r="Q407" s="223"/>
      <c r="R407" s="222"/>
      <c r="S407" s="222"/>
      <c r="T407" s="222"/>
      <c r="U407" s="222"/>
      <c r="V407" s="222"/>
      <c r="W407" s="223"/>
      <c r="X407" s="223"/>
      <c r="Y407" s="222"/>
      <c r="Z407" s="222"/>
      <c r="AA407" s="222"/>
      <c r="AB407" s="224"/>
    </row>
    <row r="408" spans="1:28" ht="13.5" customHeight="1">
      <c r="A408" s="222"/>
      <c r="B408" s="222"/>
      <c r="C408" s="222"/>
      <c r="D408" s="222"/>
      <c r="E408" s="222"/>
      <c r="F408" s="222"/>
      <c r="G408" s="222"/>
      <c r="H408" s="222"/>
      <c r="I408" s="222"/>
      <c r="J408" s="222"/>
      <c r="K408" s="222"/>
      <c r="L408" s="222"/>
      <c r="M408" s="222"/>
      <c r="N408" s="222"/>
      <c r="O408" s="222"/>
      <c r="P408" s="222"/>
      <c r="Q408" s="223"/>
      <c r="R408" s="222"/>
      <c r="S408" s="222"/>
      <c r="T408" s="222"/>
      <c r="U408" s="222"/>
      <c r="V408" s="222"/>
      <c r="W408" s="223"/>
      <c r="X408" s="223"/>
      <c r="Y408" s="222"/>
      <c r="Z408" s="222"/>
      <c r="AA408" s="222"/>
      <c r="AB408" s="224"/>
    </row>
    <row r="409" spans="1:28" ht="13.5" customHeight="1">
      <c r="A409" s="222"/>
      <c r="B409" s="222"/>
      <c r="C409" s="222"/>
      <c r="D409" s="222"/>
      <c r="E409" s="222"/>
      <c r="F409" s="222"/>
      <c r="G409" s="222"/>
      <c r="H409" s="222"/>
      <c r="I409" s="222"/>
      <c r="J409" s="222"/>
      <c r="K409" s="222"/>
      <c r="L409" s="222"/>
      <c r="M409" s="222"/>
      <c r="N409" s="222"/>
      <c r="O409" s="222"/>
      <c r="P409" s="222"/>
      <c r="Q409" s="223"/>
      <c r="R409" s="222"/>
      <c r="S409" s="222"/>
      <c r="T409" s="222"/>
      <c r="U409" s="222"/>
      <c r="V409" s="222"/>
      <c r="W409" s="223"/>
      <c r="X409" s="223"/>
      <c r="Y409" s="222"/>
      <c r="Z409" s="222"/>
      <c r="AA409" s="222"/>
      <c r="AB409" s="224"/>
    </row>
    <row r="410" spans="1:28" ht="13.5" customHeight="1">
      <c r="A410" s="222"/>
      <c r="B410" s="222"/>
      <c r="C410" s="222"/>
      <c r="D410" s="222"/>
      <c r="E410" s="222"/>
      <c r="F410" s="222"/>
      <c r="G410" s="222"/>
      <c r="H410" s="222"/>
      <c r="I410" s="222"/>
      <c r="J410" s="222"/>
      <c r="K410" s="222"/>
      <c r="L410" s="222"/>
      <c r="M410" s="222"/>
      <c r="N410" s="222"/>
      <c r="O410" s="222"/>
      <c r="P410" s="222"/>
      <c r="Q410" s="223"/>
      <c r="R410" s="222"/>
      <c r="S410" s="222"/>
      <c r="T410" s="222"/>
      <c r="U410" s="222"/>
      <c r="V410" s="222"/>
      <c r="W410" s="223"/>
      <c r="X410" s="223"/>
      <c r="Y410" s="222"/>
      <c r="Z410" s="222"/>
      <c r="AA410" s="222"/>
      <c r="AB410" s="224"/>
    </row>
    <row r="411" spans="1:28" ht="13.5" customHeight="1">
      <c r="A411" s="222"/>
      <c r="B411" s="222"/>
      <c r="C411" s="222"/>
      <c r="D411" s="222"/>
      <c r="E411" s="222"/>
      <c r="F411" s="222"/>
      <c r="G411" s="222"/>
      <c r="H411" s="222"/>
      <c r="I411" s="222"/>
      <c r="J411" s="222"/>
      <c r="K411" s="222"/>
      <c r="L411" s="222"/>
      <c r="M411" s="222"/>
      <c r="N411" s="222"/>
      <c r="O411" s="222"/>
      <c r="P411" s="222"/>
      <c r="Q411" s="223"/>
      <c r="R411" s="222"/>
      <c r="S411" s="222"/>
      <c r="T411" s="222"/>
      <c r="U411" s="222"/>
      <c r="V411" s="222"/>
      <c r="W411" s="223"/>
      <c r="X411" s="223"/>
      <c r="Y411" s="222"/>
      <c r="Z411" s="222"/>
      <c r="AA411" s="222"/>
      <c r="AB411" s="224"/>
    </row>
    <row r="412" spans="1:28" ht="13.5" customHeight="1">
      <c r="A412" s="222"/>
      <c r="B412" s="222"/>
      <c r="C412" s="222"/>
      <c r="D412" s="222"/>
      <c r="E412" s="222"/>
      <c r="F412" s="222"/>
      <c r="G412" s="222"/>
      <c r="H412" s="222"/>
      <c r="I412" s="222"/>
      <c r="J412" s="222"/>
      <c r="K412" s="222"/>
      <c r="L412" s="222"/>
      <c r="M412" s="222"/>
      <c r="N412" s="222"/>
      <c r="O412" s="222"/>
      <c r="P412" s="222"/>
      <c r="Q412" s="223"/>
      <c r="R412" s="222"/>
      <c r="S412" s="222"/>
      <c r="T412" s="222"/>
      <c r="U412" s="222"/>
      <c r="V412" s="222"/>
      <c r="W412" s="223"/>
      <c r="X412" s="223"/>
      <c r="Y412" s="222"/>
      <c r="Z412" s="222"/>
      <c r="AA412" s="222"/>
      <c r="AB412" s="224"/>
    </row>
    <row r="413" spans="1:28" ht="13.5" customHeight="1">
      <c r="A413" s="222"/>
      <c r="B413" s="222"/>
      <c r="C413" s="222"/>
      <c r="D413" s="222"/>
      <c r="E413" s="222"/>
      <c r="F413" s="222"/>
      <c r="G413" s="222"/>
      <c r="H413" s="222"/>
      <c r="I413" s="222"/>
      <c r="J413" s="222"/>
      <c r="K413" s="222"/>
      <c r="L413" s="222"/>
      <c r="M413" s="222"/>
      <c r="N413" s="222"/>
      <c r="O413" s="222"/>
      <c r="P413" s="222"/>
      <c r="Q413" s="223"/>
      <c r="R413" s="222"/>
      <c r="S413" s="222"/>
      <c r="T413" s="222"/>
      <c r="U413" s="222"/>
      <c r="V413" s="222"/>
      <c r="W413" s="223"/>
      <c r="X413" s="223"/>
      <c r="Y413" s="222"/>
      <c r="Z413" s="222"/>
      <c r="AA413" s="222"/>
      <c r="AB413" s="224"/>
    </row>
    <row r="414" spans="1:28" ht="13.5" customHeight="1">
      <c r="A414" s="222"/>
      <c r="B414" s="222"/>
      <c r="C414" s="222"/>
      <c r="D414" s="222"/>
      <c r="E414" s="222"/>
      <c r="F414" s="222"/>
      <c r="G414" s="222"/>
      <c r="H414" s="222"/>
      <c r="I414" s="222"/>
      <c r="J414" s="222"/>
      <c r="K414" s="222"/>
      <c r="L414" s="222"/>
      <c r="M414" s="222"/>
      <c r="N414" s="222"/>
      <c r="O414" s="222"/>
      <c r="P414" s="222"/>
      <c r="Q414" s="223"/>
      <c r="R414" s="222"/>
      <c r="S414" s="222"/>
      <c r="T414" s="222"/>
      <c r="U414" s="222"/>
      <c r="V414" s="222"/>
      <c r="W414" s="223"/>
      <c r="X414" s="223"/>
      <c r="Y414" s="222"/>
      <c r="Z414" s="222"/>
      <c r="AA414" s="222"/>
      <c r="AB414" s="224"/>
    </row>
    <row r="415" spans="1:28" ht="13.5" customHeight="1">
      <c r="A415" s="222"/>
      <c r="B415" s="222"/>
      <c r="C415" s="222"/>
      <c r="D415" s="222"/>
      <c r="E415" s="222"/>
      <c r="F415" s="222"/>
      <c r="G415" s="222"/>
      <c r="H415" s="222"/>
      <c r="I415" s="222"/>
      <c r="J415" s="222"/>
      <c r="K415" s="222"/>
      <c r="L415" s="222"/>
      <c r="M415" s="222"/>
      <c r="N415" s="222"/>
      <c r="O415" s="222"/>
      <c r="P415" s="222"/>
      <c r="Q415" s="223"/>
      <c r="R415" s="222"/>
      <c r="S415" s="222"/>
      <c r="T415" s="222"/>
      <c r="U415" s="222"/>
      <c r="V415" s="222"/>
      <c r="W415" s="223"/>
      <c r="X415" s="223"/>
      <c r="Y415" s="222"/>
      <c r="Z415" s="222"/>
      <c r="AA415" s="222"/>
      <c r="AB415" s="224"/>
    </row>
    <row r="416" spans="1:28" ht="13.5" customHeight="1">
      <c r="A416" s="222"/>
      <c r="B416" s="222"/>
      <c r="C416" s="222"/>
      <c r="D416" s="222"/>
      <c r="E416" s="222"/>
      <c r="F416" s="222"/>
      <c r="G416" s="222"/>
      <c r="H416" s="222"/>
      <c r="I416" s="222"/>
      <c r="J416" s="222"/>
      <c r="K416" s="222"/>
      <c r="L416" s="222"/>
      <c r="M416" s="222"/>
      <c r="N416" s="222"/>
      <c r="O416" s="222"/>
      <c r="P416" s="222"/>
      <c r="Q416" s="223"/>
      <c r="R416" s="222"/>
      <c r="S416" s="222"/>
      <c r="T416" s="222"/>
      <c r="U416" s="222"/>
      <c r="V416" s="222"/>
      <c r="W416" s="223"/>
      <c r="X416" s="223"/>
      <c r="Y416" s="222"/>
      <c r="Z416" s="222"/>
      <c r="AA416" s="222"/>
      <c r="AB416" s="224"/>
    </row>
    <row r="417" spans="1:28" ht="13.5" customHeight="1">
      <c r="A417" s="222"/>
      <c r="B417" s="222"/>
      <c r="C417" s="222"/>
      <c r="D417" s="222"/>
      <c r="E417" s="222"/>
      <c r="F417" s="222"/>
      <c r="G417" s="222"/>
      <c r="H417" s="222"/>
      <c r="I417" s="222"/>
      <c r="J417" s="222"/>
      <c r="K417" s="222"/>
      <c r="L417" s="222"/>
      <c r="M417" s="222"/>
      <c r="N417" s="222"/>
      <c r="O417" s="222"/>
      <c r="P417" s="222"/>
      <c r="Q417" s="223"/>
      <c r="R417" s="222"/>
      <c r="S417" s="222"/>
      <c r="T417" s="222"/>
      <c r="U417" s="222"/>
      <c r="V417" s="222"/>
      <c r="W417" s="223"/>
      <c r="X417" s="223"/>
      <c r="Y417" s="222"/>
      <c r="Z417" s="222"/>
      <c r="AA417" s="222"/>
      <c r="AB417" s="224"/>
    </row>
    <row r="418" spans="1:28" ht="13.5" customHeight="1">
      <c r="A418" s="222"/>
      <c r="B418" s="222"/>
      <c r="C418" s="222"/>
      <c r="D418" s="222"/>
      <c r="E418" s="222"/>
      <c r="F418" s="222"/>
      <c r="G418" s="222"/>
      <c r="H418" s="222"/>
      <c r="I418" s="222"/>
      <c r="J418" s="222"/>
      <c r="K418" s="222"/>
      <c r="L418" s="222"/>
      <c r="M418" s="222"/>
      <c r="N418" s="222"/>
      <c r="O418" s="222"/>
      <c r="P418" s="222"/>
      <c r="Q418" s="223"/>
      <c r="R418" s="222"/>
      <c r="S418" s="222"/>
      <c r="T418" s="222"/>
      <c r="U418" s="222"/>
      <c r="V418" s="222"/>
      <c r="W418" s="223"/>
      <c r="X418" s="223"/>
      <c r="Y418" s="222"/>
      <c r="Z418" s="222"/>
      <c r="AA418" s="222"/>
      <c r="AB418" s="224"/>
    </row>
    <row r="419" spans="1:28" ht="13.5" customHeight="1">
      <c r="A419" s="222"/>
      <c r="B419" s="222"/>
      <c r="C419" s="222"/>
      <c r="D419" s="222"/>
      <c r="E419" s="222"/>
      <c r="F419" s="222"/>
      <c r="G419" s="222"/>
      <c r="H419" s="222"/>
      <c r="I419" s="222"/>
      <c r="J419" s="222"/>
      <c r="K419" s="222"/>
      <c r="L419" s="222"/>
      <c r="M419" s="222"/>
      <c r="N419" s="222"/>
      <c r="O419" s="222"/>
      <c r="P419" s="222"/>
      <c r="Q419" s="223"/>
      <c r="R419" s="222"/>
      <c r="S419" s="222"/>
      <c r="T419" s="222"/>
      <c r="U419" s="222"/>
      <c r="V419" s="222"/>
      <c r="W419" s="223"/>
      <c r="X419" s="223"/>
      <c r="Y419" s="222"/>
      <c r="Z419" s="222"/>
      <c r="AA419" s="222"/>
      <c r="AB419" s="224"/>
    </row>
    <row r="420" spans="1:28" ht="13.5" customHeight="1">
      <c r="A420" s="222"/>
      <c r="B420" s="222"/>
      <c r="C420" s="222"/>
      <c r="D420" s="222"/>
      <c r="E420" s="222"/>
      <c r="F420" s="222"/>
      <c r="G420" s="222"/>
      <c r="H420" s="222"/>
      <c r="I420" s="222"/>
      <c r="J420" s="222"/>
      <c r="K420" s="222"/>
      <c r="L420" s="222"/>
      <c r="M420" s="222"/>
      <c r="N420" s="222"/>
      <c r="O420" s="222"/>
      <c r="P420" s="222"/>
      <c r="Q420" s="223"/>
      <c r="R420" s="222"/>
      <c r="S420" s="222"/>
      <c r="T420" s="222"/>
      <c r="U420" s="222"/>
      <c r="V420" s="222"/>
      <c r="W420" s="223"/>
      <c r="X420" s="223"/>
      <c r="Y420" s="222"/>
      <c r="Z420" s="222"/>
      <c r="AA420" s="222"/>
      <c r="AB420" s="224"/>
    </row>
    <row r="421" spans="1:28" ht="13.5" customHeight="1">
      <c r="A421" s="222"/>
      <c r="B421" s="222"/>
      <c r="C421" s="222"/>
      <c r="D421" s="222"/>
      <c r="E421" s="222"/>
      <c r="F421" s="222"/>
      <c r="G421" s="222"/>
      <c r="H421" s="222"/>
      <c r="I421" s="222"/>
      <c r="J421" s="222"/>
      <c r="K421" s="222"/>
      <c r="L421" s="222"/>
      <c r="M421" s="222"/>
      <c r="N421" s="222"/>
      <c r="O421" s="222"/>
      <c r="P421" s="222"/>
      <c r="Q421" s="223"/>
      <c r="R421" s="222"/>
      <c r="S421" s="222"/>
      <c r="T421" s="222"/>
      <c r="U421" s="222"/>
      <c r="V421" s="222"/>
      <c r="W421" s="223"/>
      <c r="X421" s="223"/>
      <c r="Y421" s="222"/>
      <c r="Z421" s="222"/>
      <c r="AA421" s="222"/>
      <c r="AB421" s="224"/>
    </row>
    <row r="422" spans="1:28" ht="13.5" customHeight="1">
      <c r="A422" s="222"/>
      <c r="B422" s="222"/>
      <c r="C422" s="222"/>
      <c r="D422" s="222"/>
      <c r="E422" s="222"/>
      <c r="F422" s="222"/>
      <c r="G422" s="222"/>
      <c r="H422" s="222"/>
      <c r="I422" s="222"/>
      <c r="J422" s="222"/>
      <c r="K422" s="222"/>
      <c r="L422" s="222"/>
      <c r="M422" s="222"/>
      <c r="N422" s="222"/>
      <c r="O422" s="222"/>
      <c r="P422" s="222"/>
      <c r="Q422" s="223"/>
      <c r="R422" s="222"/>
      <c r="S422" s="222"/>
      <c r="T422" s="222"/>
      <c r="U422" s="222"/>
      <c r="V422" s="222"/>
      <c r="W422" s="223"/>
      <c r="X422" s="223"/>
      <c r="Y422" s="222"/>
      <c r="Z422" s="222"/>
      <c r="AA422" s="222"/>
      <c r="AB422" s="224"/>
    </row>
    <row r="423" spans="1:28" ht="13.5" customHeight="1">
      <c r="A423" s="222"/>
      <c r="B423" s="222"/>
      <c r="C423" s="222"/>
      <c r="D423" s="222"/>
      <c r="E423" s="222"/>
      <c r="F423" s="222"/>
      <c r="G423" s="222"/>
      <c r="H423" s="222"/>
      <c r="I423" s="222"/>
      <c r="J423" s="222"/>
      <c r="K423" s="222"/>
      <c r="L423" s="222"/>
      <c r="M423" s="222"/>
      <c r="N423" s="222"/>
      <c r="O423" s="222"/>
      <c r="P423" s="222"/>
      <c r="Q423" s="223"/>
      <c r="R423" s="222"/>
      <c r="S423" s="222"/>
      <c r="T423" s="222"/>
      <c r="U423" s="222"/>
      <c r="V423" s="222"/>
      <c r="W423" s="223"/>
      <c r="X423" s="223"/>
      <c r="Y423" s="222"/>
      <c r="Z423" s="222"/>
      <c r="AA423" s="222"/>
      <c r="AB423" s="224"/>
    </row>
    <row r="424" spans="1:28" ht="13.5" customHeight="1">
      <c r="A424" s="222"/>
      <c r="B424" s="222"/>
      <c r="C424" s="222"/>
      <c r="D424" s="222"/>
      <c r="E424" s="222"/>
      <c r="F424" s="222"/>
      <c r="G424" s="222"/>
      <c r="H424" s="222"/>
      <c r="I424" s="222"/>
      <c r="J424" s="222"/>
      <c r="K424" s="222"/>
      <c r="L424" s="222"/>
      <c r="M424" s="222"/>
      <c r="N424" s="222"/>
      <c r="O424" s="222"/>
      <c r="P424" s="222"/>
      <c r="Q424" s="223"/>
      <c r="R424" s="222"/>
      <c r="S424" s="222"/>
      <c r="T424" s="222"/>
      <c r="U424" s="222"/>
      <c r="V424" s="222"/>
      <c r="W424" s="223"/>
      <c r="X424" s="223"/>
      <c r="Y424" s="222"/>
      <c r="Z424" s="222"/>
      <c r="AA424" s="222"/>
      <c r="AB424" s="224"/>
    </row>
    <row r="425" spans="1:28" ht="13.5" customHeight="1">
      <c r="A425" s="222"/>
      <c r="B425" s="222"/>
      <c r="C425" s="222"/>
      <c r="D425" s="222"/>
      <c r="E425" s="222"/>
      <c r="F425" s="222"/>
      <c r="G425" s="222"/>
      <c r="H425" s="222"/>
      <c r="I425" s="222"/>
      <c r="J425" s="222"/>
      <c r="K425" s="222"/>
      <c r="L425" s="222"/>
      <c r="M425" s="222"/>
      <c r="N425" s="222"/>
      <c r="O425" s="222"/>
      <c r="P425" s="222"/>
      <c r="Q425" s="223"/>
      <c r="R425" s="222"/>
      <c r="S425" s="222"/>
      <c r="T425" s="222"/>
      <c r="U425" s="222"/>
      <c r="V425" s="222"/>
      <c r="W425" s="223"/>
      <c r="X425" s="223"/>
      <c r="Y425" s="222"/>
      <c r="Z425" s="222"/>
      <c r="AA425" s="222"/>
      <c r="AB425" s="224"/>
    </row>
    <row r="426" spans="1:28" ht="13.5" customHeight="1">
      <c r="A426" s="222"/>
      <c r="B426" s="222"/>
      <c r="C426" s="222"/>
      <c r="D426" s="222"/>
      <c r="E426" s="222"/>
      <c r="F426" s="222"/>
      <c r="G426" s="222"/>
      <c r="H426" s="222"/>
      <c r="I426" s="222"/>
      <c r="J426" s="222"/>
      <c r="K426" s="222"/>
      <c r="L426" s="222"/>
      <c r="M426" s="222"/>
      <c r="N426" s="222"/>
      <c r="O426" s="222"/>
      <c r="P426" s="222"/>
      <c r="Q426" s="223"/>
      <c r="R426" s="222"/>
      <c r="S426" s="222"/>
      <c r="T426" s="222"/>
      <c r="U426" s="222"/>
      <c r="V426" s="222"/>
      <c r="W426" s="223"/>
      <c r="X426" s="223"/>
      <c r="Y426" s="222"/>
      <c r="Z426" s="222"/>
      <c r="AA426" s="222"/>
      <c r="AB426" s="224"/>
    </row>
    <row r="427" spans="1:28" ht="13.5" customHeight="1">
      <c r="A427" s="222"/>
      <c r="B427" s="222"/>
      <c r="C427" s="222"/>
      <c r="D427" s="222"/>
      <c r="E427" s="222"/>
      <c r="F427" s="222"/>
      <c r="G427" s="222"/>
      <c r="H427" s="222"/>
      <c r="I427" s="222"/>
      <c r="J427" s="222"/>
      <c r="K427" s="222"/>
      <c r="L427" s="222"/>
      <c r="M427" s="222"/>
      <c r="N427" s="222"/>
      <c r="O427" s="222"/>
      <c r="P427" s="222"/>
      <c r="Q427" s="223"/>
      <c r="R427" s="222"/>
      <c r="S427" s="222"/>
      <c r="T427" s="222"/>
      <c r="U427" s="222"/>
      <c r="V427" s="222"/>
      <c r="W427" s="223"/>
      <c r="X427" s="223"/>
      <c r="Y427" s="222"/>
      <c r="Z427" s="222"/>
      <c r="AA427" s="222"/>
      <c r="AB427" s="224"/>
    </row>
    <row r="428" spans="1:28" ht="13.5" customHeight="1">
      <c r="A428" s="222"/>
      <c r="B428" s="222"/>
      <c r="C428" s="222"/>
      <c r="D428" s="222"/>
      <c r="E428" s="222"/>
      <c r="F428" s="222"/>
      <c r="G428" s="222"/>
      <c r="H428" s="222"/>
      <c r="I428" s="222"/>
      <c r="J428" s="222"/>
      <c r="K428" s="222"/>
      <c r="L428" s="222"/>
      <c r="M428" s="222"/>
      <c r="N428" s="222"/>
      <c r="O428" s="222"/>
      <c r="P428" s="222"/>
      <c r="Q428" s="223"/>
      <c r="R428" s="222"/>
      <c r="S428" s="222"/>
      <c r="T428" s="222"/>
      <c r="U428" s="222"/>
      <c r="V428" s="222"/>
      <c r="W428" s="223"/>
      <c r="X428" s="223"/>
      <c r="Y428" s="222"/>
      <c r="Z428" s="222"/>
      <c r="AA428" s="222"/>
      <c r="AB428" s="224"/>
    </row>
    <row r="429" spans="1:28" ht="13.5" customHeight="1">
      <c r="A429" s="222"/>
      <c r="B429" s="222"/>
      <c r="C429" s="222"/>
      <c r="D429" s="222"/>
      <c r="E429" s="222"/>
      <c r="F429" s="222"/>
      <c r="G429" s="222"/>
      <c r="H429" s="222"/>
      <c r="I429" s="222"/>
      <c r="J429" s="222"/>
      <c r="K429" s="222"/>
      <c r="L429" s="222"/>
      <c r="M429" s="222"/>
      <c r="N429" s="222"/>
      <c r="O429" s="222"/>
      <c r="P429" s="222"/>
      <c r="Q429" s="223"/>
      <c r="R429" s="222"/>
      <c r="S429" s="222"/>
      <c r="T429" s="222"/>
      <c r="U429" s="222"/>
      <c r="V429" s="222"/>
      <c r="W429" s="223"/>
      <c r="X429" s="223"/>
      <c r="Y429" s="222"/>
      <c r="Z429" s="222"/>
      <c r="AA429" s="222"/>
      <c r="AB429" s="224"/>
    </row>
    <row r="430" spans="1:28" ht="13.5" customHeight="1">
      <c r="A430" s="222"/>
      <c r="B430" s="222"/>
      <c r="C430" s="222"/>
      <c r="D430" s="222"/>
      <c r="E430" s="222"/>
      <c r="F430" s="222"/>
      <c r="G430" s="222"/>
      <c r="H430" s="222"/>
      <c r="I430" s="222"/>
      <c r="J430" s="222"/>
      <c r="K430" s="222"/>
      <c r="L430" s="222"/>
      <c r="M430" s="222"/>
      <c r="N430" s="222"/>
      <c r="O430" s="222"/>
      <c r="P430" s="222"/>
      <c r="Q430" s="223"/>
      <c r="R430" s="222"/>
      <c r="S430" s="222"/>
      <c r="T430" s="222"/>
      <c r="U430" s="222"/>
      <c r="V430" s="222"/>
      <c r="W430" s="223"/>
      <c r="X430" s="223"/>
      <c r="Y430" s="222"/>
      <c r="Z430" s="222"/>
      <c r="AA430" s="222"/>
      <c r="AB430" s="224"/>
    </row>
    <row r="431" spans="1:28" ht="13.5" customHeight="1">
      <c r="A431" s="222"/>
      <c r="B431" s="222"/>
      <c r="C431" s="222"/>
      <c r="D431" s="222"/>
      <c r="E431" s="222"/>
      <c r="F431" s="222"/>
      <c r="G431" s="222"/>
      <c r="H431" s="222"/>
      <c r="I431" s="222"/>
      <c r="J431" s="222"/>
      <c r="K431" s="222"/>
      <c r="L431" s="222"/>
      <c r="M431" s="222"/>
      <c r="N431" s="222"/>
      <c r="O431" s="222"/>
      <c r="P431" s="222"/>
      <c r="Q431" s="223"/>
      <c r="R431" s="222"/>
      <c r="S431" s="222"/>
      <c r="T431" s="222"/>
      <c r="U431" s="222"/>
      <c r="V431" s="222"/>
      <c r="W431" s="223"/>
      <c r="X431" s="223"/>
      <c r="Y431" s="222"/>
      <c r="Z431" s="222"/>
      <c r="AA431" s="222"/>
      <c r="AB431" s="224"/>
    </row>
    <row r="432" spans="1:28" ht="13.5" customHeight="1">
      <c r="A432" s="222"/>
      <c r="B432" s="222"/>
      <c r="C432" s="222"/>
      <c r="D432" s="222"/>
      <c r="E432" s="222"/>
      <c r="F432" s="222"/>
      <c r="G432" s="222"/>
      <c r="H432" s="222"/>
      <c r="I432" s="222"/>
      <c r="J432" s="222"/>
      <c r="K432" s="222"/>
      <c r="L432" s="222"/>
      <c r="M432" s="222"/>
      <c r="N432" s="222"/>
      <c r="O432" s="222"/>
      <c r="P432" s="222"/>
      <c r="Q432" s="223"/>
      <c r="R432" s="222"/>
      <c r="S432" s="222"/>
      <c r="T432" s="222"/>
      <c r="U432" s="222"/>
      <c r="V432" s="222"/>
      <c r="W432" s="223"/>
      <c r="X432" s="223"/>
      <c r="Y432" s="222"/>
      <c r="Z432" s="222"/>
      <c r="AA432" s="222"/>
      <c r="AB432" s="224"/>
    </row>
    <row r="433" spans="1:28" ht="13.5" customHeight="1">
      <c r="A433" s="222"/>
      <c r="B433" s="222"/>
      <c r="C433" s="222"/>
      <c r="D433" s="222"/>
      <c r="E433" s="222"/>
      <c r="F433" s="222"/>
      <c r="G433" s="222"/>
      <c r="H433" s="222"/>
      <c r="I433" s="222"/>
      <c r="J433" s="222"/>
      <c r="K433" s="222"/>
      <c r="L433" s="222"/>
      <c r="M433" s="222"/>
      <c r="N433" s="222"/>
      <c r="O433" s="222"/>
      <c r="P433" s="222"/>
      <c r="Q433" s="223"/>
      <c r="R433" s="222"/>
      <c r="S433" s="222"/>
      <c r="T433" s="222"/>
      <c r="U433" s="222"/>
      <c r="V433" s="222"/>
      <c r="W433" s="223"/>
      <c r="X433" s="223"/>
      <c r="Y433" s="222"/>
      <c r="Z433" s="222"/>
      <c r="AA433" s="222"/>
      <c r="AB433" s="224"/>
    </row>
    <row r="434" spans="1:28" ht="13.5" customHeight="1">
      <c r="A434" s="222"/>
      <c r="B434" s="222"/>
      <c r="C434" s="222"/>
      <c r="D434" s="222"/>
      <c r="E434" s="222"/>
      <c r="F434" s="222"/>
      <c r="G434" s="222"/>
      <c r="H434" s="222"/>
      <c r="I434" s="222"/>
      <c r="J434" s="222"/>
      <c r="K434" s="222"/>
      <c r="L434" s="222"/>
      <c r="M434" s="222"/>
      <c r="N434" s="222"/>
      <c r="O434" s="222"/>
      <c r="P434" s="222"/>
      <c r="Q434" s="223"/>
      <c r="R434" s="222"/>
      <c r="S434" s="222"/>
      <c r="T434" s="222"/>
      <c r="U434" s="222"/>
      <c r="V434" s="222"/>
      <c r="W434" s="223"/>
      <c r="X434" s="223"/>
      <c r="Y434" s="222"/>
      <c r="Z434" s="222"/>
      <c r="AA434" s="222"/>
      <c r="AB434" s="224"/>
    </row>
    <row r="435" spans="1:28" ht="13.5" customHeight="1">
      <c r="A435" s="222"/>
      <c r="B435" s="222"/>
      <c r="C435" s="222"/>
      <c r="D435" s="222"/>
      <c r="E435" s="222"/>
      <c r="F435" s="222"/>
      <c r="G435" s="222"/>
      <c r="H435" s="222"/>
      <c r="I435" s="222"/>
      <c r="J435" s="222"/>
      <c r="K435" s="222"/>
      <c r="L435" s="222"/>
      <c r="M435" s="222"/>
      <c r="N435" s="222"/>
      <c r="O435" s="222"/>
      <c r="P435" s="222"/>
      <c r="Q435" s="223"/>
      <c r="R435" s="222"/>
      <c r="S435" s="222"/>
      <c r="T435" s="222"/>
      <c r="U435" s="222"/>
      <c r="V435" s="222"/>
      <c r="W435" s="223"/>
      <c r="X435" s="223"/>
      <c r="Y435" s="222"/>
      <c r="Z435" s="222"/>
      <c r="AA435" s="222"/>
      <c r="AB435" s="224"/>
    </row>
    <row r="436" spans="1:28" ht="13.5" customHeight="1">
      <c r="A436" s="222"/>
      <c r="B436" s="222"/>
      <c r="C436" s="222"/>
      <c r="D436" s="222"/>
      <c r="E436" s="222"/>
      <c r="F436" s="222"/>
      <c r="G436" s="222"/>
      <c r="H436" s="222"/>
      <c r="I436" s="222"/>
      <c r="J436" s="222"/>
      <c r="K436" s="222"/>
      <c r="L436" s="222"/>
      <c r="M436" s="222"/>
      <c r="N436" s="222"/>
      <c r="O436" s="222"/>
      <c r="P436" s="222"/>
      <c r="Q436" s="223"/>
      <c r="R436" s="222"/>
      <c r="S436" s="222"/>
      <c r="T436" s="222"/>
      <c r="U436" s="222"/>
      <c r="V436" s="222"/>
      <c r="W436" s="223"/>
      <c r="X436" s="223"/>
      <c r="Y436" s="222"/>
      <c r="Z436" s="222"/>
      <c r="AA436" s="222"/>
      <c r="AB436" s="224"/>
    </row>
    <row r="437" spans="1:28" ht="13.5" customHeight="1">
      <c r="A437" s="222"/>
      <c r="B437" s="222"/>
      <c r="C437" s="222"/>
      <c r="D437" s="222"/>
      <c r="E437" s="222"/>
      <c r="F437" s="222"/>
      <c r="G437" s="222"/>
      <c r="H437" s="222"/>
      <c r="I437" s="222"/>
      <c r="J437" s="222"/>
      <c r="K437" s="222"/>
      <c r="L437" s="222"/>
      <c r="M437" s="222"/>
      <c r="N437" s="222"/>
      <c r="O437" s="222"/>
      <c r="P437" s="222"/>
      <c r="Q437" s="223"/>
      <c r="R437" s="222"/>
      <c r="S437" s="222"/>
      <c r="T437" s="222"/>
      <c r="U437" s="222"/>
      <c r="V437" s="222"/>
      <c r="W437" s="223"/>
      <c r="X437" s="223"/>
      <c r="Y437" s="222"/>
      <c r="Z437" s="222"/>
      <c r="AA437" s="222"/>
      <c r="AB437" s="224"/>
    </row>
    <row r="438" spans="1:28" ht="13.5" customHeight="1">
      <c r="A438" s="222"/>
      <c r="B438" s="222"/>
      <c r="C438" s="222"/>
      <c r="D438" s="222"/>
      <c r="E438" s="222"/>
      <c r="F438" s="222"/>
      <c r="G438" s="222"/>
      <c r="H438" s="222"/>
      <c r="I438" s="222"/>
      <c r="J438" s="222"/>
      <c r="K438" s="222"/>
      <c r="L438" s="222"/>
      <c r="M438" s="222"/>
      <c r="N438" s="222"/>
      <c r="O438" s="222"/>
      <c r="P438" s="222"/>
      <c r="Q438" s="223"/>
      <c r="R438" s="222"/>
      <c r="S438" s="222"/>
      <c r="T438" s="222"/>
      <c r="U438" s="222"/>
      <c r="V438" s="222"/>
      <c r="W438" s="223"/>
      <c r="X438" s="223"/>
      <c r="Y438" s="222"/>
      <c r="Z438" s="222"/>
      <c r="AA438" s="222"/>
      <c r="AB438" s="224"/>
    </row>
    <row r="439" spans="1:28" ht="13.5" customHeight="1">
      <c r="A439" s="222"/>
      <c r="B439" s="222"/>
      <c r="C439" s="222"/>
      <c r="D439" s="222"/>
      <c r="E439" s="222"/>
      <c r="F439" s="222"/>
      <c r="G439" s="222"/>
      <c r="H439" s="222"/>
      <c r="I439" s="222"/>
      <c r="J439" s="222"/>
      <c r="K439" s="222"/>
      <c r="L439" s="222"/>
      <c r="M439" s="222"/>
      <c r="N439" s="222"/>
      <c r="O439" s="222"/>
      <c r="P439" s="222"/>
      <c r="Q439" s="223"/>
      <c r="R439" s="222"/>
      <c r="S439" s="222"/>
      <c r="T439" s="222"/>
      <c r="U439" s="222"/>
      <c r="V439" s="222"/>
      <c r="W439" s="223"/>
      <c r="X439" s="223"/>
      <c r="Y439" s="222"/>
      <c r="Z439" s="222"/>
      <c r="AA439" s="222"/>
      <c r="AB439" s="224"/>
    </row>
    <row r="440" spans="1:28" ht="13.5" customHeight="1">
      <c r="A440" s="222"/>
      <c r="B440" s="222"/>
      <c r="C440" s="222"/>
      <c r="D440" s="222"/>
      <c r="E440" s="222"/>
      <c r="F440" s="222"/>
      <c r="G440" s="222"/>
      <c r="H440" s="222"/>
      <c r="I440" s="222"/>
      <c r="J440" s="222"/>
      <c r="K440" s="222"/>
      <c r="L440" s="222"/>
      <c r="M440" s="222"/>
      <c r="N440" s="222"/>
      <c r="O440" s="222"/>
      <c r="P440" s="222"/>
      <c r="Q440" s="223"/>
      <c r="R440" s="222"/>
      <c r="S440" s="222"/>
      <c r="T440" s="222"/>
      <c r="U440" s="222"/>
      <c r="V440" s="222"/>
      <c r="W440" s="223"/>
      <c r="X440" s="223"/>
      <c r="Y440" s="222"/>
      <c r="Z440" s="222"/>
      <c r="AA440" s="222"/>
      <c r="AB440" s="224"/>
    </row>
    <row r="441" spans="1:28" ht="13.5" customHeight="1">
      <c r="A441" s="222"/>
      <c r="B441" s="222"/>
      <c r="C441" s="222"/>
      <c r="D441" s="222"/>
      <c r="E441" s="222"/>
      <c r="F441" s="222"/>
      <c r="G441" s="222"/>
      <c r="H441" s="222"/>
      <c r="I441" s="222"/>
      <c r="J441" s="222"/>
      <c r="K441" s="222"/>
      <c r="L441" s="222"/>
      <c r="M441" s="222"/>
      <c r="N441" s="222"/>
      <c r="O441" s="222"/>
      <c r="P441" s="222"/>
      <c r="Q441" s="223"/>
      <c r="R441" s="222"/>
      <c r="S441" s="222"/>
      <c r="T441" s="222"/>
      <c r="U441" s="222"/>
      <c r="V441" s="222"/>
      <c r="W441" s="223"/>
      <c r="X441" s="223"/>
      <c r="Y441" s="222"/>
      <c r="Z441" s="222"/>
      <c r="AA441" s="222"/>
      <c r="AB441" s="224"/>
    </row>
    <row r="442" spans="1:28" ht="13.5" customHeight="1">
      <c r="A442" s="222"/>
      <c r="B442" s="222"/>
      <c r="C442" s="222"/>
      <c r="D442" s="222"/>
      <c r="E442" s="222"/>
      <c r="F442" s="222"/>
      <c r="G442" s="222"/>
      <c r="H442" s="222"/>
      <c r="I442" s="222"/>
      <c r="J442" s="222"/>
      <c r="K442" s="222"/>
      <c r="L442" s="222"/>
      <c r="M442" s="222"/>
      <c r="N442" s="222"/>
      <c r="O442" s="222"/>
      <c r="P442" s="222"/>
      <c r="Q442" s="223"/>
      <c r="R442" s="222"/>
      <c r="S442" s="222"/>
      <c r="T442" s="222"/>
      <c r="U442" s="222"/>
      <c r="V442" s="222"/>
      <c r="W442" s="223"/>
      <c r="X442" s="223"/>
      <c r="Y442" s="222"/>
      <c r="Z442" s="222"/>
      <c r="AA442" s="222"/>
      <c r="AB442" s="224"/>
    </row>
    <row r="443" spans="1:28" ht="13.5" customHeight="1">
      <c r="A443" s="222"/>
      <c r="B443" s="222"/>
      <c r="C443" s="222"/>
      <c r="D443" s="222"/>
      <c r="E443" s="222"/>
      <c r="F443" s="222"/>
      <c r="G443" s="222"/>
      <c r="H443" s="222"/>
      <c r="I443" s="222"/>
      <c r="J443" s="222"/>
      <c r="K443" s="222"/>
      <c r="L443" s="222"/>
      <c r="M443" s="222"/>
      <c r="N443" s="222"/>
      <c r="O443" s="222"/>
      <c r="P443" s="222"/>
      <c r="Q443" s="223"/>
      <c r="R443" s="222"/>
      <c r="S443" s="222"/>
      <c r="T443" s="222"/>
      <c r="U443" s="222"/>
      <c r="V443" s="222"/>
      <c r="W443" s="223"/>
      <c r="X443" s="223"/>
      <c r="Y443" s="222"/>
      <c r="Z443" s="222"/>
      <c r="AA443" s="222"/>
      <c r="AB443" s="224"/>
    </row>
    <row r="444" spans="1:28" ht="13.5" customHeight="1">
      <c r="A444" s="222"/>
      <c r="B444" s="222"/>
      <c r="C444" s="222"/>
      <c r="D444" s="222"/>
      <c r="E444" s="222"/>
      <c r="F444" s="222"/>
      <c r="G444" s="222"/>
      <c r="H444" s="222"/>
      <c r="I444" s="222"/>
      <c r="J444" s="222"/>
      <c r="K444" s="222"/>
      <c r="L444" s="222"/>
      <c r="M444" s="222"/>
      <c r="N444" s="222"/>
      <c r="O444" s="222"/>
      <c r="P444" s="222"/>
      <c r="Q444" s="223"/>
      <c r="R444" s="222"/>
      <c r="S444" s="222"/>
      <c r="T444" s="222"/>
      <c r="U444" s="222"/>
      <c r="V444" s="222"/>
      <c r="W444" s="223"/>
      <c r="X444" s="223"/>
      <c r="Y444" s="222"/>
      <c r="Z444" s="222"/>
      <c r="AA444" s="222"/>
      <c r="AB444" s="224"/>
    </row>
    <row r="445" spans="1:28" ht="13.5" customHeight="1">
      <c r="A445" s="222"/>
      <c r="B445" s="222"/>
      <c r="C445" s="222"/>
      <c r="D445" s="222"/>
      <c r="E445" s="222"/>
      <c r="F445" s="222"/>
      <c r="G445" s="222"/>
      <c r="H445" s="222"/>
      <c r="I445" s="222"/>
      <c r="J445" s="222"/>
      <c r="K445" s="222"/>
      <c r="L445" s="222"/>
      <c r="M445" s="222"/>
      <c r="N445" s="222"/>
      <c r="O445" s="222"/>
      <c r="P445" s="222"/>
      <c r="Q445" s="223"/>
      <c r="R445" s="222"/>
      <c r="S445" s="222"/>
      <c r="T445" s="222"/>
      <c r="U445" s="222"/>
      <c r="V445" s="222"/>
      <c r="W445" s="223"/>
      <c r="X445" s="223"/>
      <c r="Y445" s="222"/>
      <c r="Z445" s="222"/>
      <c r="AA445" s="222"/>
      <c r="AB445" s="224"/>
    </row>
    <row r="446" spans="1:28" ht="13.5" customHeight="1">
      <c r="A446" s="222"/>
      <c r="B446" s="222"/>
      <c r="C446" s="222"/>
      <c r="D446" s="222"/>
      <c r="E446" s="222"/>
      <c r="F446" s="222"/>
      <c r="G446" s="222"/>
      <c r="H446" s="222"/>
      <c r="I446" s="222"/>
      <c r="J446" s="222"/>
      <c r="K446" s="222"/>
      <c r="L446" s="222"/>
      <c r="M446" s="222"/>
      <c r="N446" s="222"/>
      <c r="O446" s="222"/>
      <c r="P446" s="222"/>
      <c r="Q446" s="223"/>
      <c r="R446" s="222"/>
      <c r="S446" s="222"/>
      <c r="T446" s="222"/>
      <c r="U446" s="222"/>
      <c r="V446" s="222"/>
      <c r="W446" s="223"/>
      <c r="X446" s="223"/>
      <c r="Y446" s="222"/>
      <c r="Z446" s="222"/>
      <c r="AA446" s="222"/>
      <c r="AB446" s="224"/>
    </row>
    <row r="447" spans="1:28" ht="13.5" customHeight="1">
      <c r="A447" s="222"/>
      <c r="B447" s="222"/>
      <c r="C447" s="222"/>
      <c r="D447" s="222"/>
      <c r="E447" s="222"/>
      <c r="F447" s="222"/>
      <c r="G447" s="222"/>
      <c r="H447" s="222"/>
      <c r="I447" s="222"/>
      <c r="J447" s="222"/>
      <c r="K447" s="222"/>
      <c r="L447" s="222"/>
      <c r="M447" s="222"/>
      <c r="N447" s="222"/>
      <c r="O447" s="222"/>
      <c r="P447" s="222"/>
      <c r="Q447" s="223"/>
      <c r="R447" s="222"/>
      <c r="S447" s="222"/>
      <c r="T447" s="222"/>
      <c r="U447" s="222"/>
      <c r="V447" s="222"/>
      <c r="W447" s="223"/>
      <c r="X447" s="223"/>
      <c r="Y447" s="222"/>
      <c r="Z447" s="222"/>
      <c r="AA447" s="222"/>
      <c r="AB447" s="224"/>
    </row>
    <row r="448" spans="1:28" ht="13.5" customHeight="1">
      <c r="A448" s="222"/>
      <c r="B448" s="222"/>
      <c r="C448" s="222"/>
      <c r="D448" s="222"/>
      <c r="E448" s="222"/>
      <c r="F448" s="222"/>
      <c r="G448" s="222"/>
      <c r="H448" s="222"/>
      <c r="I448" s="222"/>
      <c r="J448" s="222"/>
      <c r="K448" s="222"/>
      <c r="L448" s="222"/>
      <c r="M448" s="222"/>
      <c r="N448" s="222"/>
      <c r="O448" s="222"/>
      <c r="P448" s="222"/>
      <c r="Q448" s="223"/>
      <c r="R448" s="222"/>
      <c r="S448" s="222"/>
      <c r="T448" s="222"/>
      <c r="U448" s="222"/>
      <c r="V448" s="222"/>
      <c r="W448" s="223"/>
      <c r="X448" s="223"/>
      <c r="Y448" s="222"/>
      <c r="Z448" s="222"/>
      <c r="AA448" s="222"/>
      <c r="AB448" s="224"/>
    </row>
    <row r="449" spans="1:28" ht="13.5" customHeight="1">
      <c r="A449" s="222"/>
      <c r="B449" s="222"/>
      <c r="C449" s="222"/>
      <c r="D449" s="222"/>
      <c r="E449" s="222"/>
      <c r="F449" s="222"/>
      <c r="G449" s="222"/>
      <c r="H449" s="222"/>
      <c r="I449" s="222"/>
      <c r="J449" s="222"/>
      <c r="K449" s="222"/>
      <c r="L449" s="222"/>
      <c r="M449" s="222"/>
      <c r="N449" s="222"/>
      <c r="O449" s="222"/>
      <c r="P449" s="222"/>
      <c r="Q449" s="223"/>
      <c r="R449" s="222"/>
      <c r="S449" s="222"/>
      <c r="T449" s="222"/>
      <c r="U449" s="222"/>
      <c r="V449" s="222"/>
      <c r="W449" s="223"/>
      <c r="X449" s="223"/>
      <c r="Y449" s="222"/>
      <c r="Z449" s="222"/>
      <c r="AA449" s="222"/>
      <c r="AB449" s="224"/>
    </row>
    <row r="450" spans="1:28" ht="13.5" customHeight="1">
      <c r="A450" s="222"/>
      <c r="B450" s="222"/>
      <c r="C450" s="222"/>
      <c r="D450" s="222"/>
      <c r="E450" s="222"/>
      <c r="F450" s="222"/>
      <c r="G450" s="222"/>
      <c r="H450" s="222"/>
      <c r="I450" s="222"/>
      <c r="J450" s="222"/>
      <c r="K450" s="222"/>
      <c r="L450" s="222"/>
      <c r="M450" s="222"/>
      <c r="N450" s="222"/>
      <c r="O450" s="222"/>
      <c r="P450" s="222"/>
      <c r="Q450" s="223"/>
      <c r="R450" s="222"/>
      <c r="S450" s="222"/>
      <c r="T450" s="222"/>
      <c r="U450" s="222"/>
      <c r="V450" s="222"/>
      <c r="W450" s="223"/>
      <c r="X450" s="223"/>
      <c r="Y450" s="222"/>
      <c r="Z450" s="222"/>
      <c r="AA450" s="222"/>
      <c r="AB450" s="224"/>
    </row>
    <row r="451" spans="1:28" ht="13.5" customHeight="1">
      <c r="A451" s="222"/>
      <c r="B451" s="222"/>
      <c r="C451" s="222"/>
      <c r="D451" s="222"/>
      <c r="E451" s="222"/>
      <c r="F451" s="222"/>
      <c r="G451" s="222"/>
      <c r="H451" s="222"/>
      <c r="I451" s="222"/>
      <c r="J451" s="222"/>
      <c r="K451" s="222"/>
      <c r="L451" s="222"/>
      <c r="M451" s="222"/>
      <c r="N451" s="222"/>
      <c r="O451" s="222"/>
      <c r="P451" s="222"/>
      <c r="Q451" s="223"/>
      <c r="R451" s="222"/>
      <c r="S451" s="222"/>
      <c r="T451" s="222"/>
      <c r="U451" s="222"/>
      <c r="V451" s="222"/>
      <c r="W451" s="223"/>
      <c r="X451" s="223"/>
      <c r="Y451" s="222"/>
      <c r="Z451" s="222"/>
      <c r="AA451" s="222"/>
      <c r="AB451" s="224"/>
    </row>
    <row r="452" spans="1:28" ht="13.5" customHeight="1">
      <c r="A452" s="222"/>
      <c r="B452" s="222"/>
      <c r="C452" s="222"/>
      <c r="D452" s="222"/>
      <c r="E452" s="222"/>
      <c r="F452" s="222"/>
      <c r="G452" s="222"/>
      <c r="H452" s="222"/>
      <c r="I452" s="222"/>
      <c r="J452" s="222"/>
      <c r="K452" s="222"/>
      <c r="L452" s="222"/>
      <c r="M452" s="222"/>
      <c r="N452" s="222"/>
      <c r="O452" s="222"/>
      <c r="P452" s="222"/>
      <c r="Q452" s="223"/>
      <c r="R452" s="222"/>
      <c r="S452" s="222"/>
      <c r="T452" s="222"/>
      <c r="U452" s="222"/>
      <c r="V452" s="222"/>
      <c r="W452" s="223"/>
      <c r="X452" s="223"/>
      <c r="Y452" s="222"/>
      <c r="Z452" s="222"/>
      <c r="AA452" s="222"/>
      <c r="AB452" s="224"/>
    </row>
    <row r="453" spans="1:28" ht="13.5" customHeight="1">
      <c r="A453" s="222"/>
      <c r="B453" s="222"/>
      <c r="C453" s="222"/>
      <c r="D453" s="222"/>
      <c r="E453" s="222"/>
      <c r="F453" s="222"/>
      <c r="G453" s="222"/>
      <c r="H453" s="222"/>
      <c r="I453" s="222"/>
      <c r="J453" s="222"/>
      <c r="K453" s="222"/>
      <c r="L453" s="222"/>
      <c r="M453" s="222"/>
      <c r="N453" s="222"/>
      <c r="O453" s="222"/>
      <c r="P453" s="222"/>
      <c r="Q453" s="223"/>
      <c r="R453" s="222"/>
      <c r="S453" s="222"/>
      <c r="T453" s="222"/>
      <c r="U453" s="222"/>
      <c r="V453" s="222"/>
      <c r="W453" s="223"/>
      <c r="X453" s="223"/>
      <c r="Y453" s="222"/>
      <c r="Z453" s="222"/>
      <c r="AA453" s="222"/>
      <c r="AB453" s="224"/>
    </row>
    <row r="454" spans="1:28" ht="13.5" customHeight="1">
      <c r="A454" s="222"/>
      <c r="B454" s="222"/>
      <c r="C454" s="222"/>
      <c r="D454" s="222"/>
      <c r="E454" s="222"/>
      <c r="F454" s="222"/>
      <c r="G454" s="222"/>
      <c r="H454" s="222"/>
      <c r="I454" s="222"/>
      <c r="J454" s="222"/>
      <c r="K454" s="222"/>
      <c r="L454" s="222"/>
      <c r="M454" s="222"/>
      <c r="N454" s="222"/>
      <c r="O454" s="222"/>
      <c r="P454" s="222"/>
      <c r="Q454" s="223"/>
      <c r="R454" s="222"/>
      <c r="S454" s="222"/>
      <c r="T454" s="222"/>
      <c r="U454" s="222"/>
      <c r="V454" s="222"/>
      <c r="W454" s="223"/>
      <c r="X454" s="223"/>
      <c r="Y454" s="222"/>
      <c r="Z454" s="222"/>
      <c r="AA454" s="222"/>
      <c r="AB454" s="224"/>
    </row>
    <row r="455" spans="1:28" ht="13.5" customHeight="1">
      <c r="A455" s="222"/>
      <c r="B455" s="222"/>
      <c r="C455" s="222"/>
      <c r="D455" s="222"/>
      <c r="E455" s="222"/>
      <c r="F455" s="222"/>
      <c r="G455" s="222"/>
      <c r="H455" s="222"/>
      <c r="I455" s="222"/>
      <c r="J455" s="222"/>
      <c r="K455" s="222"/>
      <c r="L455" s="222"/>
      <c r="M455" s="222"/>
      <c r="N455" s="222"/>
      <c r="O455" s="222"/>
      <c r="P455" s="222"/>
      <c r="Q455" s="223"/>
      <c r="R455" s="222"/>
      <c r="S455" s="222"/>
      <c r="T455" s="222"/>
      <c r="U455" s="222"/>
      <c r="V455" s="222"/>
      <c r="W455" s="223"/>
      <c r="X455" s="223"/>
      <c r="Y455" s="222"/>
      <c r="Z455" s="222"/>
      <c r="AA455" s="222"/>
      <c r="AB455" s="224"/>
    </row>
    <row r="456" spans="1:28" ht="13.5" customHeight="1">
      <c r="A456" s="222"/>
      <c r="B456" s="222"/>
      <c r="C456" s="222"/>
      <c r="D456" s="222"/>
      <c r="E456" s="222"/>
      <c r="F456" s="222"/>
      <c r="G456" s="222"/>
      <c r="H456" s="222"/>
      <c r="I456" s="222"/>
      <c r="J456" s="222"/>
      <c r="K456" s="222"/>
      <c r="L456" s="222"/>
      <c r="M456" s="222"/>
      <c r="N456" s="222"/>
      <c r="O456" s="222"/>
      <c r="P456" s="222"/>
      <c r="Q456" s="223"/>
      <c r="R456" s="222"/>
      <c r="S456" s="222"/>
      <c r="T456" s="222"/>
      <c r="U456" s="222"/>
      <c r="V456" s="222"/>
      <c r="W456" s="223"/>
      <c r="X456" s="223"/>
      <c r="Y456" s="222"/>
      <c r="Z456" s="222"/>
      <c r="AA456" s="222"/>
      <c r="AB456" s="224"/>
    </row>
    <row r="457" spans="1:28" ht="13.5" customHeight="1">
      <c r="A457" s="222"/>
      <c r="B457" s="222"/>
      <c r="C457" s="222"/>
      <c r="D457" s="222"/>
      <c r="E457" s="222"/>
      <c r="F457" s="222"/>
      <c r="G457" s="222"/>
      <c r="H457" s="222"/>
      <c r="I457" s="222"/>
      <c r="J457" s="222"/>
      <c r="K457" s="222"/>
      <c r="L457" s="222"/>
      <c r="M457" s="222"/>
      <c r="N457" s="222"/>
      <c r="O457" s="222"/>
      <c r="P457" s="222"/>
      <c r="Q457" s="223"/>
      <c r="R457" s="222"/>
      <c r="S457" s="222"/>
      <c r="T457" s="222"/>
      <c r="U457" s="222"/>
      <c r="V457" s="222"/>
      <c r="W457" s="223"/>
      <c r="X457" s="223"/>
      <c r="Y457" s="222"/>
      <c r="Z457" s="222"/>
      <c r="AA457" s="222"/>
      <c r="AB457" s="224"/>
    </row>
    <row r="458" spans="1:28" ht="13.5" customHeight="1">
      <c r="A458" s="222"/>
      <c r="B458" s="222"/>
      <c r="C458" s="222"/>
      <c r="D458" s="222"/>
      <c r="E458" s="222"/>
      <c r="F458" s="222"/>
      <c r="G458" s="222"/>
      <c r="H458" s="222"/>
      <c r="I458" s="222"/>
      <c r="J458" s="222"/>
      <c r="K458" s="222"/>
      <c r="L458" s="222"/>
      <c r="M458" s="222"/>
      <c r="N458" s="222"/>
      <c r="O458" s="222"/>
      <c r="P458" s="222"/>
      <c r="Q458" s="223"/>
      <c r="R458" s="222"/>
      <c r="S458" s="222"/>
      <c r="T458" s="222"/>
      <c r="U458" s="222"/>
      <c r="V458" s="222"/>
      <c r="W458" s="223"/>
      <c r="X458" s="223"/>
      <c r="Y458" s="222"/>
      <c r="Z458" s="222"/>
      <c r="AA458" s="222"/>
      <c r="AB458" s="224"/>
    </row>
    <row r="459" spans="1:28" ht="13.5" customHeight="1">
      <c r="A459" s="222"/>
      <c r="B459" s="222"/>
      <c r="C459" s="222"/>
      <c r="D459" s="222"/>
      <c r="E459" s="222"/>
      <c r="F459" s="222"/>
      <c r="G459" s="222"/>
      <c r="H459" s="222"/>
      <c r="I459" s="222"/>
      <c r="J459" s="222"/>
      <c r="K459" s="222"/>
      <c r="L459" s="222"/>
      <c r="M459" s="222"/>
      <c r="N459" s="222"/>
      <c r="O459" s="222"/>
      <c r="P459" s="222"/>
      <c r="Q459" s="223"/>
      <c r="R459" s="222"/>
      <c r="S459" s="222"/>
      <c r="T459" s="222"/>
      <c r="U459" s="222"/>
      <c r="V459" s="222"/>
      <c r="W459" s="223"/>
      <c r="X459" s="223"/>
      <c r="Y459" s="222"/>
      <c r="Z459" s="222"/>
      <c r="AA459" s="222"/>
      <c r="AB459" s="224"/>
    </row>
    <row r="460" spans="1:28" ht="13.5" customHeight="1">
      <c r="A460" s="222"/>
      <c r="B460" s="222"/>
      <c r="C460" s="222"/>
      <c r="D460" s="222"/>
      <c r="E460" s="222"/>
      <c r="F460" s="222"/>
      <c r="G460" s="222"/>
      <c r="H460" s="222"/>
      <c r="I460" s="222"/>
      <c r="J460" s="222"/>
      <c r="K460" s="222"/>
      <c r="L460" s="222"/>
      <c r="M460" s="222"/>
      <c r="N460" s="222"/>
      <c r="O460" s="222"/>
      <c r="P460" s="222"/>
      <c r="Q460" s="223"/>
      <c r="R460" s="222"/>
      <c r="S460" s="222"/>
      <c r="T460" s="222"/>
      <c r="U460" s="222"/>
      <c r="V460" s="222"/>
      <c r="W460" s="223"/>
      <c r="X460" s="223"/>
      <c r="Y460" s="222"/>
      <c r="Z460" s="222"/>
      <c r="AA460" s="222"/>
      <c r="AB460" s="224"/>
    </row>
    <row r="461" spans="1:28" ht="13.5" customHeight="1">
      <c r="A461" s="222"/>
      <c r="B461" s="222"/>
      <c r="C461" s="222"/>
      <c r="D461" s="222"/>
      <c r="E461" s="222"/>
      <c r="F461" s="222"/>
      <c r="G461" s="222"/>
      <c r="H461" s="222"/>
      <c r="I461" s="222"/>
      <c r="J461" s="222"/>
      <c r="K461" s="222"/>
      <c r="L461" s="222"/>
      <c r="M461" s="222"/>
      <c r="N461" s="222"/>
      <c r="O461" s="222"/>
      <c r="P461" s="222"/>
      <c r="Q461" s="223"/>
      <c r="R461" s="222"/>
      <c r="S461" s="222"/>
      <c r="T461" s="222"/>
      <c r="U461" s="222"/>
      <c r="V461" s="222"/>
      <c r="W461" s="223"/>
      <c r="X461" s="223"/>
      <c r="Y461" s="222"/>
      <c r="Z461" s="222"/>
      <c r="AA461" s="222"/>
      <c r="AB461" s="224"/>
    </row>
    <row r="462" spans="1:28" ht="13.5" customHeight="1">
      <c r="A462" s="222"/>
      <c r="B462" s="222"/>
      <c r="C462" s="222"/>
      <c r="D462" s="222"/>
      <c r="E462" s="222"/>
      <c r="F462" s="222"/>
      <c r="G462" s="222"/>
      <c r="H462" s="222"/>
      <c r="I462" s="222"/>
      <c r="J462" s="222"/>
      <c r="K462" s="222"/>
      <c r="L462" s="222"/>
      <c r="M462" s="222"/>
      <c r="N462" s="222"/>
      <c r="O462" s="222"/>
      <c r="P462" s="222"/>
      <c r="Q462" s="223"/>
      <c r="R462" s="222"/>
      <c r="S462" s="222"/>
      <c r="T462" s="222"/>
      <c r="U462" s="222"/>
      <c r="V462" s="222"/>
      <c r="W462" s="223"/>
      <c r="X462" s="223"/>
      <c r="Y462" s="222"/>
      <c r="Z462" s="222"/>
      <c r="AA462" s="222"/>
      <c r="AB462" s="224"/>
    </row>
    <row r="463" spans="1:28" ht="13.5" customHeight="1">
      <c r="A463" s="222"/>
      <c r="B463" s="222"/>
      <c r="C463" s="222"/>
      <c r="D463" s="222"/>
      <c r="E463" s="222"/>
      <c r="F463" s="222"/>
      <c r="G463" s="222"/>
      <c r="H463" s="222"/>
      <c r="I463" s="222"/>
      <c r="J463" s="222"/>
      <c r="K463" s="222"/>
      <c r="L463" s="222"/>
      <c r="M463" s="222"/>
      <c r="N463" s="222"/>
      <c r="O463" s="222"/>
      <c r="P463" s="222"/>
      <c r="Q463" s="223"/>
      <c r="R463" s="222"/>
      <c r="S463" s="222"/>
      <c r="T463" s="222"/>
      <c r="U463" s="222"/>
      <c r="V463" s="222"/>
      <c r="W463" s="223"/>
      <c r="X463" s="223"/>
      <c r="Y463" s="222"/>
      <c r="Z463" s="222"/>
      <c r="AA463" s="222"/>
      <c r="AB463" s="224"/>
    </row>
    <row r="464" spans="1:28" ht="13.5" customHeight="1">
      <c r="A464" s="222"/>
      <c r="B464" s="222"/>
      <c r="C464" s="222"/>
      <c r="D464" s="222"/>
      <c r="E464" s="222"/>
      <c r="F464" s="222"/>
      <c r="G464" s="222"/>
      <c r="H464" s="222"/>
      <c r="I464" s="222"/>
      <c r="J464" s="222"/>
      <c r="K464" s="222"/>
      <c r="L464" s="222"/>
      <c r="M464" s="222"/>
      <c r="N464" s="222"/>
      <c r="O464" s="222"/>
      <c r="P464" s="222"/>
      <c r="Q464" s="223"/>
      <c r="R464" s="222"/>
      <c r="S464" s="222"/>
      <c r="T464" s="222"/>
      <c r="U464" s="222"/>
      <c r="V464" s="222"/>
      <c r="W464" s="223"/>
      <c r="X464" s="223"/>
      <c r="Y464" s="222"/>
      <c r="Z464" s="222"/>
      <c r="AA464" s="222"/>
      <c r="AB464" s="224"/>
    </row>
    <row r="465" spans="1:28" ht="13.5" customHeight="1">
      <c r="A465" s="222"/>
      <c r="B465" s="222"/>
      <c r="C465" s="222"/>
      <c r="D465" s="222"/>
      <c r="E465" s="222"/>
      <c r="F465" s="222"/>
      <c r="G465" s="222"/>
      <c r="H465" s="222"/>
      <c r="I465" s="222"/>
      <c r="J465" s="222"/>
      <c r="K465" s="222"/>
      <c r="L465" s="222"/>
      <c r="M465" s="222"/>
      <c r="N465" s="222"/>
      <c r="O465" s="222"/>
      <c r="P465" s="222"/>
      <c r="Q465" s="223"/>
      <c r="R465" s="222"/>
      <c r="S465" s="222"/>
      <c r="T465" s="222"/>
      <c r="U465" s="222"/>
      <c r="V465" s="222"/>
      <c r="W465" s="223"/>
      <c r="X465" s="223"/>
      <c r="Y465" s="222"/>
      <c r="Z465" s="222"/>
      <c r="AA465" s="222"/>
      <c r="AB465" s="224"/>
    </row>
    <row r="466" spans="1:28" ht="13.5" customHeight="1">
      <c r="A466" s="222"/>
      <c r="B466" s="222"/>
      <c r="C466" s="222"/>
      <c r="D466" s="222"/>
      <c r="E466" s="222"/>
      <c r="F466" s="222"/>
      <c r="G466" s="222"/>
      <c r="H466" s="222"/>
      <c r="I466" s="222"/>
      <c r="J466" s="222"/>
      <c r="K466" s="222"/>
      <c r="L466" s="222"/>
      <c r="M466" s="222"/>
      <c r="N466" s="222"/>
      <c r="O466" s="222"/>
      <c r="P466" s="222"/>
      <c r="Q466" s="223"/>
      <c r="R466" s="222"/>
      <c r="S466" s="222"/>
      <c r="T466" s="222"/>
      <c r="U466" s="222"/>
      <c r="V466" s="222"/>
      <c r="W466" s="223"/>
      <c r="X466" s="223"/>
      <c r="Y466" s="222"/>
      <c r="Z466" s="222"/>
      <c r="AA466" s="222"/>
      <c r="AB466" s="224"/>
    </row>
    <row r="467" spans="1:28" ht="13.5" customHeight="1">
      <c r="A467" s="222"/>
      <c r="B467" s="222"/>
      <c r="C467" s="222"/>
      <c r="D467" s="222"/>
      <c r="E467" s="222"/>
      <c r="F467" s="222"/>
      <c r="G467" s="222"/>
      <c r="H467" s="222"/>
      <c r="I467" s="222"/>
      <c r="J467" s="222"/>
      <c r="K467" s="222"/>
      <c r="L467" s="222"/>
      <c r="M467" s="222"/>
      <c r="N467" s="222"/>
      <c r="O467" s="222"/>
      <c r="P467" s="222"/>
      <c r="Q467" s="223"/>
      <c r="R467" s="222"/>
      <c r="S467" s="222"/>
      <c r="T467" s="222"/>
      <c r="U467" s="222"/>
      <c r="V467" s="222"/>
      <c r="W467" s="223"/>
      <c r="X467" s="223"/>
      <c r="Y467" s="222"/>
      <c r="Z467" s="222"/>
      <c r="AA467" s="222"/>
      <c r="AB467" s="224"/>
    </row>
    <row r="468" spans="1:28" ht="13.5" customHeight="1">
      <c r="A468" s="222"/>
      <c r="B468" s="222"/>
      <c r="C468" s="222"/>
      <c r="D468" s="222"/>
      <c r="E468" s="222"/>
      <c r="F468" s="222"/>
      <c r="G468" s="222"/>
      <c r="H468" s="222"/>
      <c r="I468" s="222"/>
      <c r="J468" s="222"/>
      <c r="K468" s="222"/>
      <c r="L468" s="222"/>
      <c r="M468" s="222"/>
      <c r="N468" s="222"/>
      <c r="O468" s="222"/>
      <c r="P468" s="222"/>
      <c r="Q468" s="223"/>
      <c r="R468" s="222"/>
      <c r="S468" s="222"/>
      <c r="T468" s="222"/>
      <c r="U468" s="222"/>
      <c r="V468" s="222"/>
      <c r="W468" s="223"/>
      <c r="X468" s="223"/>
      <c r="Y468" s="222"/>
      <c r="Z468" s="222"/>
      <c r="AA468" s="222"/>
      <c r="AB468" s="224"/>
    </row>
    <row r="469" spans="1:28" ht="13.5" customHeight="1">
      <c r="A469" s="222"/>
      <c r="B469" s="222"/>
      <c r="C469" s="222"/>
      <c r="D469" s="222"/>
      <c r="E469" s="222"/>
      <c r="F469" s="222"/>
      <c r="G469" s="222"/>
      <c r="H469" s="222"/>
      <c r="I469" s="222"/>
      <c r="J469" s="222"/>
      <c r="K469" s="222"/>
      <c r="L469" s="222"/>
      <c r="M469" s="222"/>
      <c r="N469" s="222"/>
      <c r="O469" s="222"/>
      <c r="P469" s="222"/>
      <c r="Q469" s="223"/>
      <c r="R469" s="222"/>
      <c r="S469" s="222"/>
      <c r="T469" s="222"/>
      <c r="U469" s="222"/>
      <c r="V469" s="222"/>
      <c r="W469" s="223"/>
      <c r="X469" s="223"/>
      <c r="Y469" s="222"/>
      <c r="Z469" s="222"/>
      <c r="AA469" s="222"/>
      <c r="AB469" s="224"/>
    </row>
    <row r="470" spans="1:28" ht="13.5" customHeight="1">
      <c r="A470" s="222"/>
      <c r="B470" s="222"/>
      <c r="C470" s="222"/>
      <c r="D470" s="222"/>
      <c r="E470" s="222"/>
      <c r="F470" s="222"/>
      <c r="G470" s="222"/>
      <c r="H470" s="222"/>
      <c r="I470" s="222"/>
      <c r="J470" s="222"/>
      <c r="K470" s="222"/>
      <c r="L470" s="222"/>
      <c r="M470" s="222"/>
      <c r="N470" s="222"/>
      <c r="O470" s="222"/>
      <c r="P470" s="222"/>
      <c r="Q470" s="223"/>
      <c r="R470" s="222"/>
      <c r="S470" s="222"/>
      <c r="T470" s="222"/>
      <c r="U470" s="222"/>
      <c r="V470" s="222"/>
      <c r="W470" s="223"/>
      <c r="X470" s="223"/>
      <c r="Y470" s="222"/>
      <c r="Z470" s="222"/>
      <c r="AA470" s="222"/>
      <c r="AB470" s="224"/>
    </row>
    <row r="471" spans="1:28" ht="13.5" customHeight="1">
      <c r="A471" s="222"/>
      <c r="B471" s="222"/>
      <c r="C471" s="222"/>
      <c r="D471" s="222"/>
      <c r="E471" s="222"/>
      <c r="F471" s="222"/>
      <c r="G471" s="222"/>
      <c r="H471" s="222"/>
      <c r="I471" s="222"/>
      <c r="J471" s="222"/>
      <c r="K471" s="222"/>
      <c r="L471" s="222"/>
      <c r="M471" s="222"/>
      <c r="N471" s="222"/>
      <c r="O471" s="222"/>
      <c r="P471" s="222"/>
      <c r="Q471" s="223"/>
      <c r="R471" s="222"/>
      <c r="S471" s="222"/>
      <c r="T471" s="222"/>
      <c r="U471" s="222"/>
      <c r="V471" s="222"/>
      <c r="W471" s="223"/>
      <c r="X471" s="223"/>
      <c r="Y471" s="222"/>
      <c r="Z471" s="222"/>
      <c r="AA471" s="222"/>
      <c r="AB471" s="224"/>
    </row>
    <row r="472" spans="1:28" ht="13.5" customHeight="1">
      <c r="A472" s="222"/>
      <c r="B472" s="222"/>
      <c r="C472" s="222"/>
      <c r="D472" s="222"/>
      <c r="E472" s="222"/>
      <c r="F472" s="222"/>
      <c r="G472" s="222"/>
      <c r="H472" s="222"/>
      <c r="I472" s="222"/>
      <c r="J472" s="222"/>
      <c r="K472" s="222"/>
      <c r="L472" s="222"/>
      <c r="M472" s="222"/>
      <c r="N472" s="222"/>
      <c r="O472" s="222"/>
      <c r="P472" s="222"/>
      <c r="Q472" s="223"/>
      <c r="R472" s="222"/>
      <c r="S472" s="222"/>
      <c r="T472" s="222"/>
      <c r="U472" s="222"/>
      <c r="V472" s="222"/>
      <c r="W472" s="223"/>
      <c r="X472" s="223"/>
      <c r="Y472" s="222"/>
      <c r="Z472" s="222"/>
      <c r="AA472" s="222"/>
      <c r="AB472" s="224"/>
    </row>
    <row r="473" spans="1:28" ht="13.5" customHeight="1">
      <c r="A473" s="222"/>
      <c r="B473" s="222"/>
      <c r="C473" s="222"/>
      <c r="D473" s="222"/>
      <c r="E473" s="222"/>
      <c r="F473" s="222"/>
      <c r="G473" s="222"/>
      <c r="H473" s="222"/>
      <c r="I473" s="222"/>
      <c r="J473" s="222"/>
      <c r="K473" s="222"/>
      <c r="L473" s="222"/>
      <c r="M473" s="222"/>
      <c r="N473" s="222"/>
      <c r="O473" s="222"/>
      <c r="P473" s="222"/>
      <c r="Q473" s="223"/>
      <c r="R473" s="222"/>
      <c r="S473" s="222"/>
      <c r="T473" s="222"/>
      <c r="U473" s="222"/>
      <c r="V473" s="222"/>
      <c r="W473" s="223"/>
      <c r="X473" s="223"/>
      <c r="Y473" s="222"/>
      <c r="Z473" s="222"/>
      <c r="AA473" s="222"/>
      <c r="AB473" s="224"/>
    </row>
    <row r="474" spans="1:28" ht="13.5" customHeight="1">
      <c r="A474" s="222"/>
      <c r="B474" s="222"/>
      <c r="C474" s="222"/>
      <c r="D474" s="222"/>
      <c r="E474" s="222"/>
      <c r="F474" s="222"/>
      <c r="G474" s="222"/>
      <c r="H474" s="222"/>
      <c r="I474" s="222"/>
      <c r="J474" s="222"/>
      <c r="K474" s="222"/>
      <c r="L474" s="222"/>
      <c r="M474" s="222"/>
      <c r="N474" s="222"/>
      <c r="O474" s="222"/>
      <c r="P474" s="222"/>
      <c r="Q474" s="223"/>
      <c r="R474" s="222"/>
      <c r="S474" s="222"/>
      <c r="T474" s="222"/>
      <c r="U474" s="222"/>
      <c r="V474" s="222"/>
      <c r="W474" s="223"/>
      <c r="X474" s="223"/>
      <c r="Y474" s="222"/>
      <c r="Z474" s="222"/>
      <c r="AA474" s="222"/>
      <c r="AB474" s="224"/>
    </row>
    <row r="475" spans="1:28" ht="13.5" customHeight="1">
      <c r="A475" s="222"/>
      <c r="B475" s="222"/>
      <c r="C475" s="222"/>
      <c r="D475" s="222"/>
      <c r="E475" s="222"/>
      <c r="F475" s="222"/>
      <c r="G475" s="222"/>
      <c r="H475" s="222"/>
      <c r="I475" s="222"/>
      <c r="J475" s="222"/>
      <c r="K475" s="222"/>
      <c r="L475" s="222"/>
      <c r="M475" s="222"/>
      <c r="N475" s="222"/>
      <c r="O475" s="222"/>
      <c r="P475" s="222"/>
      <c r="Q475" s="223"/>
      <c r="R475" s="222"/>
      <c r="S475" s="222"/>
      <c r="T475" s="222"/>
      <c r="U475" s="222"/>
      <c r="V475" s="222"/>
      <c r="W475" s="223"/>
      <c r="X475" s="223"/>
      <c r="Y475" s="222"/>
      <c r="Z475" s="222"/>
      <c r="AA475" s="222"/>
      <c r="AB475" s="224"/>
    </row>
    <row r="476" spans="1:28" ht="13.5" customHeight="1">
      <c r="A476" s="222"/>
      <c r="B476" s="222"/>
      <c r="C476" s="222"/>
      <c r="D476" s="222"/>
      <c r="E476" s="222"/>
      <c r="F476" s="222"/>
      <c r="G476" s="222"/>
      <c r="H476" s="222"/>
      <c r="I476" s="222"/>
      <c r="J476" s="222"/>
      <c r="K476" s="222"/>
      <c r="L476" s="222"/>
      <c r="M476" s="222"/>
      <c r="N476" s="222"/>
      <c r="O476" s="222"/>
      <c r="P476" s="222"/>
      <c r="Q476" s="223"/>
      <c r="R476" s="222"/>
      <c r="S476" s="222"/>
      <c r="T476" s="222"/>
      <c r="U476" s="222"/>
      <c r="V476" s="222"/>
      <c r="W476" s="223"/>
      <c r="X476" s="223"/>
      <c r="Y476" s="222"/>
      <c r="Z476" s="222"/>
      <c r="AA476" s="222"/>
      <c r="AB476" s="224"/>
    </row>
    <row r="477" spans="1:28" ht="13.5" customHeight="1">
      <c r="A477" s="222"/>
      <c r="B477" s="222"/>
      <c r="C477" s="222"/>
      <c r="D477" s="222"/>
      <c r="E477" s="222"/>
      <c r="F477" s="222"/>
      <c r="G477" s="222"/>
      <c r="H477" s="222"/>
      <c r="I477" s="222"/>
      <c r="J477" s="222"/>
      <c r="K477" s="222"/>
      <c r="L477" s="222"/>
      <c r="M477" s="222"/>
      <c r="N477" s="222"/>
      <c r="O477" s="222"/>
      <c r="P477" s="222"/>
      <c r="Q477" s="223"/>
      <c r="R477" s="222"/>
      <c r="S477" s="222"/>
      <c r="T477" s="222"/>
      <c r="U477" s="222"/>
      <c r="V477" s="222"/>
      <c r="W477" s="223"/>
      <c r="X477" s="223"/>
      <c r="Y477" s="222"/>
      <c r="Z477" s="222"/>
      <c r="AA477" s="222"/>
      <c r="AB477" s="224"/>
    </row>
    <row r="478" spans="1:28" ht="13.5" customHeight="1">
      <c r="A478" s="222"/>
      <c r="B478" s="222"/>
      <c r="C478" s="222"/>
      <c r="D478" s="222"/>
      <c r="E478" s="222"/>
      <c r="F478" s="222"/>
      <c r="G478" s="222"/>
      <c r="H478" s="222"/>
      <c r="I478" s="222"/>
      <c r="J478" s="222"/>
      <c r="K478" s="222"/>
      <c r="L478" s="222"/>
      <c r="M478" s="222"/>
      <c r="N478" s="222"/>
      <c r="O478" s="222"/>
      <c r="P478" s="222"/>
      <c r="Q478" s="223"/>
      <c r="R478" s="222"/>
      <c r="S478" s="222"/>
      <c r="T478" s="222"/>
      <c r="U478" s="222"/>
      <c r="V478" s="222"/>
      <c r="W478" s="223"/>
      <c r="X478" s="223"/>
      <c r="Y478" s="222"/>
      <c r="Z478" s="222"/>
      <c r="AA478" s="222"/>
      <c r="AB478" s="224"/>
    </row>
    <row r="479" spans="1:28" ht="13.5" customHeight="1">
      <c r="A479" s="222"/>
      <c r="B479" s="222"/>
      <c r="C479" s="222"/>
      <c r="D479" s="222"/>
      <c r="E479" s="222"/>
      <c r="F479" s="222"/>
      <c r="G479" s="222"/>
      <c r="H479" s="222"/>
      <c r="I479" s="222"/>
      <c r="J479" s="222"/>
      <c r="K479" s="222"/>
      <c r="L479" s="222"/>
      <c r="M479" s="222"/>
      <c r="N479" s="222"/>
      <c r="O479" s="222"/>
      <c r="P479" s="222"/>
      <c r="Q479" s="223"/>
      <c r="R479" s="222"/>
      <c r="S479" s="222"/>
      <c r="T479" s="222"/>
      <c r="U479" s="222"/>
      <c r="V479" s="222"/>
      <c r="W479" s="223"/>
      <c r="X479" s="223"/>
      <c r="Y479" s="222"/>
      <c r="Z479" s="222"/>
      <c r="AA479" s="222"/>
      <c r="AB479" s="224"/>
    </row>
    <row r="480" spans="1:28" ht="13.5" customHeight="1">
      <c r="A480" s="222"/>
      <c r="B480" s="222"/>
      <c r="C480" s="222"/>
      <c r="D480" s="222"/>
      <c r="E480" s="222"/>
      <c r="F480" s="222"/>
      <c r="G480" s="222"/>
      <c r="H480" s="222"/>
      <c r="I480" s="222"/>
      <c r="J480" s="222"/>
      <c r="K480" s="222"/>
      <c r="L480" s="222"/>
      <c r="M480" s="222"/>
      <c r="N480" s="222"/>
      <c r="O480" s="222"/>
      <c r="P480" s="222"/>
      <c r="Q480" s="223"/>
      <c r="R480" s="222"/>
      <c r="S480" s="222"/>
      <c r="T480" s="222"/>
      <c r="U480" s="222"/>
      <c r="V480" s="222"/>
      <c r="W480" s="223"/>
      <c r="X480" s="223"/>
      <c r="Y480" s="222"/>
      <c r="Z480" s="222"/>
      <c r="AA480" s="222"/>
      <c r="AB480" s="224"/>
    </row>
    <row r="481" spans="1:28" ht="13.5" customHeight="1">
      <c r="A481" s="222"/>
      <c r="B481" s="222"/>
      <c r="C481" s="222"/>
      <c r="D481" s="222"/>
      <c r="E481" s="222"/>
      <c r="F481" s="222"/>
      <c r="G481" s="222"/>
      <c r="H481" s="222"/>
      <c r="I481" s="222"/>
      <c r="J481" s="222"/>
      <c r="K481" s="222"/>
      <c r="L481" s="222"/>
      <c r="M481" s="222"/>
      <c r="N481" s="222"/>
      <c r="O481" s="222"/>
      <c r="P481" s="222"/>
      <c r="Q481" s="223"/>
      <c r="R481" s="222"/>
      <c r="S481" s="222"/>
      <c r="T481" s="222"/>
      <c r="U481" s="222"/>
      <c r="V481" s="222"/>
      <c r="W481" s="223"/>
      <c r="X481" s="223"/>
      <c r="Y481" s="222"/>
      <c r="Z481" s="222"/>
      <c r="AA481" s="222"/>
      <c r="AB481" s="224"/>
    </row>
    <row r="482" spans="1:28" ht="13.5" customHeight="1">
      <c r="A482" s="222"/>
      <c r="B482" s="222"/>
      <c r="C482" s="222"/>
      <c r="D482" s="222"/>
      <c r="E482" s="222"/>
      <c r="F482" s="222"/>
      <c r="G482" s="222"/>
      <c r="H482" s="222"/>
      <c r="I482" s="222"/>
      <c r="J482" s="222"/>
      <c r="K482" s="222"/>
      <c r="L482" s="222"/>
      <c r="M482" s="222"/>
      <c r="N482" s="222"/>
      <c r="O482" s="222"/>
      <c r="P482" s="222"/>
      <c r="Q482" s="223"/>
      <c r="R482" s="222"/>
      <c r="S482" s="222"/>
      <c r="T482" s="222"/>
      <c r="U482" s="222"/>
      <c r="V482" s="222"/>
      <c r="W482" s="223"/>
      <c r="X482" s="223"/>
      <c r="Y482" s="222"/>
      <c r="Z482" s="222"/>
      <c r="AA482" s="222"/>
      <c r="AB482" s="224"/>
    </row>
    <row r="483" spans="1:28" ht="13.5" customHeight="1">
      <c r="A483" s="222"/>
      <c r="B483" s="222"/>
      <c r="C483" s="222"/>
      <c r="D483" s="222"/>
      <c r="E483" s="222"/>
      <c r="F483" s="222"/>
      <c r="G483" s="222"/>
      <c r="H483" s="222"/>
      <c r="I483" s="222"/>
      <c r="J483" s="222"/>
      <c r="K483" s="222"/>
      <c r="L483" s="222"/>
      <c r="M483" s="222"/>
      <c r="N483" s="222"/>
      <c r="O483" s="222"/>
      <c r="P483" s="222"/>
      <c r="Q483" s="223"/>
      <c r="R483" s="222"/>
      <c r="S483" s="222"/>
      <c r="T483" s="222"/>
      <c r="U483" s="222"/>
      <c r="V483" s="222"/>
      <c r="W483" s="223"/>
      <c r="X483" s="223"/>
      <c r="Y483" s="222"/>
      <c r="Z483" s="222"/>
      <c r="AA483" s="222"/>
      <c r="AB483" s="224"/>
    </row>
    <row r="484" spans="1:28" ht="13.5" customHeight="1">
      <c r="A484" s="222"/>
      <c r="B484" s="222"/>
      <c r="C484" s="222"/>
      <c r="D484" s="222"/>
      <c r="E484" s="222"/>
      <c r="F484" s="222"/>
      <c r="G484" s="222"/>
      <c r="H484" s="222"/>
      <c r="I484" s="222"/>
      <c r="J484" s="222"/>
      <c r="K484" s="222"/>
      <c r="L484" s="222"/>
      <c r="M484" s="222"/>
      <c r="N484" s="222"/>
      <c r="O484" s="222"/>
      <c r="P484" s="222"/>
      <c r="Q484" s="223"/>
      <c r="R484" s="222"/>
      <c r="S484" s="222"/>
      <c r="T484" s="222"/>
      <c r="U484" s="222"/>
      <c r="V484" s="222"/>
      <c r="W484" s="223"/>
      <c r="X484" s="223"/>
      <c r="Y484" s="222"/>
      <c r="Z484" s="222"/>
      <c r="AA484" s="222"/>
      <c r="AB484" s="224"/>
    </row>
    <row r="485" spans="1:28" ht="13.5" customHeight="1">
      <c r="A485" s="222"/>
      <c r="B485" s="222"/>
      <c r="C485" s="222"/>
      <c r="D485" s="222"/>
      <c r="E485" s="222"/>
      <c r="F485" s="222"/>
      <c r="G485" s="222"/>
      <c r="H485" s="222"/>
      <c r="I485" s="222"/>
      <c r="J485" s="222"/>
      <c r="K485" s="222"/>
      <c r="L485" s="222"/>
      <c r="M485" s="222"/>
      <c r="N485" s="222"/>
      <c r="O485" s="222"/>
      <c r="P485" s="222"/>
      <c r="Q485" s="223"/>
      <c r="R485" s="222"/>
      <c r="S485" s="222"/>
      <c r="T485" s="222"/>
      <c r="U485" s="222"/>
      <c r="V485" s="222"/>
      <c r="W485" s="223"/>
      <c r="X485" s="223"/>
      <c r="Y485" s="222"/>
      <c r="Z485" s="222"/>
      <c r="AA485" s="222"/>
      <c r="AB485" s="224"/>
    </row>
    <row r="486" spans="1:28" ht="13.5" customHeight="1">
      <c r="A486" s="222"/>
      <c r="B486" s="222"/>
      <c r="C486" s="222"/>
      <c r="D486" s="222"/>
      <c r="E486" s="222"/>
      <c r="F486" s="222"/>
      <c r="G486" s="222"/>
      <c r="H486" s="222"/>
      <c r="I486" s="222"/>
      <c r="J486" s="222"/>
      <c r="K486" s="222"/>
      <c r="L486" s="222"/>
      <c r="M486" s="222"/>
      <c r="N486" s="222"/>
      <c r="O486" s="222"/>
      <c r="P486" s="222"/>
      <c r="Q486" s="223"/>
      <c r="R486" s="222"/>
      <c r="S486" s="222"/>
      <c r="T486" s="222"/>
      <c r="U486" s="222"/>
      <c r="V486" s="222"/>
      <c r="W486" s="223"/>
      <c r="X486" s="223"/>
      <c r="Y486" s="222"/>
      <c r="Z486" s="222"/>
      <c r="AA486" s="222"/>
      <c r="AB486" s="224"/>
    </row>
    <row r="487" spans="1:28" ht="13.5" customHeight="1">
      <c r="A487" s="222"/>
      <c r="B487" s="222"/>
      <c r="C487" s="222"/>
      <c r="D487" s="222"/>
      <c r="E487" s="222"/>
      <c r="F487" s="222"/>
      <c r="G487" s="222"/>
      <c r="H487" s="222"/>
      <c r="I487" s="222"/>
      <c r="J487" s="222"/>
      <c r="K487" s="222"/>
      <c r="L487" s="222"/>
      <c r="M487" s="222"/>
      <c r="N487" s="222"/>
      <c r="O487" s="222"/>
      <c r="P487" s="222"/>
      <c r="Q487" s="223"/>
      <c r="R487" s="222"/>
      <c r="S487" s="222"/>
      <c r="T487" s="222"/>
      <c r="U487" s="222"/>
      <c r="V487" s="222"/>
      <c r="W487" s="223"/>
      <c r="X487" s="223"/>
      <c r="Y487" s="222"/>
      <c r="Z487" s="222"/>
      <c r="AA487" s="222"/>
      <c r="AB487" s="224"/>
    </row>
    <row r="488" spans="1:28" ht="13.5" customHeight="1">
      <c r="A488" s="222"/>
      <c r="B488" s="222"/>
      <c r="C488" s="222"/>
      <c r="D488" s="222"/>
      <c r="E488" s="222"/>
      <c r="F488" s="222"/>
      <c r="G488" s="222"/>
      <c r="H488" s="222"/>
      <c r="I488" s="222"/>
      <c r="J488" s="222"/>
      <c r="K488" s="222"/>
      <c r="L488" s="222"/>
      <c r="M488" s="222"/>
      <c r="N488" s="222"/>
      <c r="O488" s="222"/>
      <c r="P488" s="222"/>
      <c r="Q488" s="223"/>
      <c r="R488" s="222"/>
      <c r="S488" s="222"/>
      <c r="T488" s="222"/>
      <c r="U488" s="222"/>
      <c r="V488" s="222"/>
      <c r="W488" s="223"/>
      <c r="X488" s="223"/>
      <c r="Y488" s="222"/>
      <c r="Z488" s="222"/>
      <c r="AA488" s="222"/>
      <c r="AB488" s="224"/>
    </row>
    <row r="489" spans="1:28" ht="13.5" customHeight="1">
      <c r="A489" s="222"/>
      <c r="B489" s="222"/>
      <c r="C489" s="222"/>
      <c r="D489" s="222"/>
      <c r="E489" s="222"/>
      <c r="F489" s="222"/>
      <c r="G489" s="222"/>
      <c r="H489" s="222"/>
      <c r="I489" s="222"/>
      <c r="J489" s="222"/>
      <c r="K489" s="222"/>
      <c r="L489" s="222"/>
      <c r="M489" s="222"/>
      <c r="N489" s="222"/>
      <c r="O489" s="222"/>
      <c r="P489" s="222"/>
      <c r="Q489" s="223"/>
      <c r="R489" s="222"/>
      <c r="S489" s="222"/>
      <c r="T489" s="222"/>
      <c r="U489" s="222"/>
      <c r="V489" s="222"/>
      <c r="W489" s="223"/>
      <c r="X489" s="223"/>
      <c r="Y489" s="222"/>
      <c r="Z489" s="222"/>
      <c r="AA489" s="222"/>
      <c r="AB489" s="224"/>
    </row>
    <row r="490" spans="1:28" ht="13.5" customHeight="1">
      <c r="A490" s="222"/>
      <c r="B490" s="222"/>
      <c r="C490" s="222"/>
      <c r="D490" s="222"/>
      <c r="E490" s="222"/>
      <c r="F490" s="222"/>
      <c r="G490" s="222"/>
      <c r="H490" s="222"/>
      <c r="I490" s="222"/>
      <c r="J490" s="222"/>
      <c r="K490" s="222"/>
      <c r="L490" s="222"/>
      <c r="M490" s="222"/>
      <c r="N490" s="222"/>
      <c r="O490" s="222"/>
      <c r="P490" s="222"/>
      <c r="Q490" s="223"/>
      <c r="R490" s="222"/>
      <c r="S490" s="222"/>
      <c r="T490" s="222"/>
      <c r="U490" s="222"/>
      <c r="V490" s="222"/>
      <c r="W490" s="223"/>
      <c r="X490" s="223"/>
      <c r="Y490" s="222"/>
      <c r="Z490" s="222"/>
      <c r="AA490" s="222"/>
      <c r="AB490" s="224"/>
    </row>
    <row r="491" spans="1:28" ht="13.5" customHeight="1">
      <c r="A491" s="222"/>
      <c r="B491" s="222"/>
      <c r="C491" s="222"/>
      <c r="D491" s="222"/>
      <c r="E491" s="222"/>
      <c r="F491" s="222"/>
      <c r="G491" s="222"/>
      <c r="H491" s="222"/>
      <c r="I491" s="222"/>
      <c r="J491" s="222"/>
      <c r="K491" s="222"/>
      <c r="L491" s="222"/>
      <c r="M491" s="222"/>
      <c r="N491" s="222"/>
      <c r="O491" s="222"/>
      <c r="P491" s="222"/>
      <c r="Q491" s="223"/>
      <c r="R491" s="222"/>
      <c r="S491" s="222"/>
      <c r="T491" s="222"/>
      <c r="U491" s="222"/>
      <c r="V491" s="222"/>
      <c r="W491" s="223"/>
      <c r="X491" s="223"/>
      <c r="Y491" s="222"/>
      <c r="Z491" s="222"/>
      <c r="AA491" s="222"/>
      <c r="AB491" s="224"/>
    </row>
    <row r="492" spans="1:28" ht="13.5" customHeight="1">
      <c r="A492" s="222"/>
      <c r="B492" s="222"/>
      <c r="C492" s="222"/>
      <c r="D492" s="222"/>
      <c r="E492" s="222"/>
      <c r="F492" s="222"/>
      <c r="G492" s="222"/>
      <c r="H492" s="222"/>
      <c r="I492" s="222"/>
      <c r="J492" s="222"/>
      <c r="K492" s="222"/>
      <c r="L492" s="222"/>
      <c r="M492" s="222"/>
      <c r="N492" s="222"/>
      <c r="O492" s="222"/>
      <c r="P492" s="222"/>
      <c r="Q492" s="223"/>
      <c r="R492" s="222"/>
      <c r="S492" s="222"/>
      <c r="T492" s="222"/>
      <c r="U492" s="222"/>
      <c r="V492" s="222"/>
      <c r="W492" s="223"/>
      <c r="X492" s="223"/>
      <c r="Y492" s="222"/>
      <c r="Z492" s="222"/>
      <c r="AA492" s="222"/>
      <c r="AB492" s="224"/>
    </row>
    <row r="493" spans="1:28" ht="13.5" customHeight="1">
      <c r="A493" s="222"/>
      <c r="B493" s="222"/>
      <c r="C493" s="222"/>
      <c r="D493" s="222"/>
      <c r="E493" s="222"/>
      <c r="F493" s="222"/>
      <c r="G493" s="222"/>
      <c r="H493" s="222"/>
      <c r="I493" s="222"/>
      <c r="J493" s="222"/>
      <c r="K493" s="222"/>
      <c r="L493" s="222"/>
      <c r="M493" s="222"/>
      <c r="N493" s="222"/>
      <c r="O493" s="222"/>
      <c r="P493" s="222"/>
      <c r="Q493" s="223"/>
      <c r="R493" s="222"/>
      <c r="S493" s="222"/>
      <c r="T493" s="222"/>
      <c r="U493" s="222"/>
      <c r="V493" s="222"/>
      <c r="W493" s="223"/>
      <c r="X493" s="223"/>
      <c r="Y493" s="222"/>
      <c r="Z493" s="222"/>
      <c r="AA493" s="222"/>
      <c r="AB493" s="224"/>
    </row>
    <row r="494" spans="1:28" ht="13.5" customHeight="1">
      <c r="A494" s="222"/>
      <c r="B494" s="222"/>
      <c r="C494" s="222"/>
      <c r="D494" s="222"/>
      <c r="E494" s="222"/>
      <c r="F494" s="222"/>
      <c r="G494" s="222"/>
      <c r="H494" s="222"/>
      <c r="I494" s="222"/>
      <c r="J494" s="222"/>
      <c r="K494" s="222"/>
      <c r="L494" s="222"/>
      <c r="M494" s="222"/>
      <c r="N494" s="222"/>
      <c r="O494" s="222"/>
      <c r="P494" s="222"/>
      <c r="Q494" s="223"/>
      <c r="R494" s="222"/>
      <c r="S494" s="222"/>
      <c r="T494" s="222"/>
      <c r="U494" s="222"/>
      <c r="V494" s="222"/>
      <c r="W494" s="223"/>
      <c r="X494" s="223"/>
      <c r="Y494" s="222"/>
      <c r="Z494" s="222"/>
      <c r="AA494" s="222"/>
      <c r="AB494" s="224"/>
    </row>
    <row r="495" spans="1:28" ht="13.5" customHeight="1">
      <c r="A495" s="222"/>
      <c r="B495" s="222"/>
      <c r="C495" s="222"/>
      <c r="D495" s="222"/>
      <c r="E495" s="222"/>
      <c r="F495" s="222"/>
      <c r="G495" s="222"/>
      <c r="H495" s="222"/>
      <c r="I495" s="222"/>
      <c r="J495" s="222"/>
      <c r="K495" s="222"/>
      <c r="L495" s="222"/>
      <c r="M495" s="222"/>
      <c r="N495" s="222"/>
      <c r="O495" s="222"/>
      <c r="P495" s="222"/>
      <c r="Q495" s="223"/>
      <c r="R495" s="222"/>
      <c r="S495" s="222"/>
      <c r="T495" s="222"/>
      <c r="U495" s="222"/>
      <c r="V495" s="222"/>
      <c r="W495" s="223"/>
      <c r="X495" s="223"/>
      <c r="Y495" s="222"/>
      <c r="Z495" s="222"/>
      <c r="AA495" s="222"/>
      <c r="AB495" s="224"/>
    </row>
    <row r="496" spans="1:28" ht="13.5" customHeight="1">
      <c r="A496" s="222"/>
      <c r="B496" s="222"/>
      <c r="C496" s="222"/>
      <c r="D496" s="222"/>
      <c r="E496" s="222"/>
      <c r="F496" s="222"/>
      <c r="G496" s="222"/>
      <c r="H496" s="222"/>
      <c r="I496" s="222"/>
      <c r="J496" s="222"/>
      <c r="K496" s="222"/>
      <c r="L496" s="222"/>
      <c r="M496" s="222"/>
      <c r="N496" s="222"/>
      <c r="O496" s="222"/>
      <c r="P496" s="222"/>
      <c r="Q496" s="223"/>
      <c r="R496" s="222"/>
      <c r="S496" s="222"/>
      <c r="T496" s="222"/>
      <c r="U496" s="222"/>
      <c r="V496" s="222"/>
      <c r="W496" s="223"/>
      <c r="X496" s="223"/>
      <c r="Y496" s="222"/>
      <c r="Z496" s="222"/>
      <c r="AA496" s="222"/>
      <c r="AB496" s="224"/>
    </row>
    <row r="497" spans="1:28" ht="13.5" customHeight="1">
      <c r="A497" s="222"/>
      <c r="B497" s="222"/>
      <c r="C497" s="222"/>
      <c r="D497" s="222"/>
      <c r="E497" s="222"/>
      <c r="F497" s="222"/>
      <c r="G497" s="222"/>
      <c r="H497" s="222"/>
      <c r="I497" s="222"/>
      <c r="J497" s="222"/>
      <c r="K497" s="222"/>
      <c r="L497" s="222"/>
      <c r="M497" s="222"/>
      <c r="N497" s="222"/>
      <c r="O497" s="222"/>
      <c r="P497" s="222"/>
      <c r="Q497" s="223"/>
      <c r="R497" s="222"/>
      <c r="S497" s="222"/>
      <c r="T497" s="222"/>
      <c r="U497" s="222"/>
      <c r="V497" s="222"/>
      <c r="W497" s="223"/>
      <c r="X497" s="223"/>
      <c r="Y497" s="222"/>
      <c r="Z497" s="222"/>
      <c r="AA497" s="222"/>
      <c r="AB497" s="224"/>
    </row>
    <row r="498" spans="1:28" ht="13.5" customHeight="1">
      <c r="A498" s="222"/>
      <c r="B498" s="222"/>
      <c r="C498" s="222"/>
      <c r="D498" s="222"/>
      <c r="E498" s="222"/>
      <c r="F498" s="222"/>
      <c r="G498" s="222"/>
      <c r="H498" s="222"/>
      <c r="I498" s="222"/>
      <c r="J498" s="222"/>
      <c r="K498" s="222"/>
      <c r="L498" s="222"/>
      <c r="M498" s="222"/>
      <c r="N498" s="222"/>
      <c r="O498" s="222"/>
      <c r="P498" s="222"/>
      <c r="Q498" s="223"/>
      <c r="R498" s="222"/>
      <c r="S498" s="222"/>
      <c r="T498" s="222"/>
      <c r="U498" s="222"/>
      <c r="V498" s="222"/>
      <c r="W498" s="223"/>
      <c r="X498" s="223"/>
      <c r="Y498" s="222"/>
      <c r="Z498" s="222"/>
      <c r="AA498" s="222"/>
      <c r="AB498" s="224"/>
    </row>
    <row r="499" spans="1:28" ht="13.5" customHeight="1">
      <c r="A499" s="222"/>
      <c r="B499" s="222"/>
      <c r="C499" s="222"/>
      <c r="D499" s="222"/>
      <c r="E499" s="222"/>
      <c r="F499" s="222"/>
      <c r="G499" s="222"/>
      <c r="H499" s="222"/>
      <c r="I499" s="222"/>
      <c r="J499" s="222"/>
      <c r="K499" s="222"/>
      <c r="L499" s="222"/>
      <c r="M499" s="222"/>
      <c r="N499" s="222"/>
      <c r="O499" s="222"/>
      <c r="P499" s="222"/>
      <c r="Q499" s="223"/>
      <c r="R499" s="222"/>
      <c r="S499" s="222"/>
      <c r="T499" s="222"/>
      <c r="U499" s="222"/>
      <c r="V499" s="222"/>
      <c r="W499" s="223"/>
      <c r="X499" s="223"/>
      <c r="Y499" s="222"/>
      <c r="Z499" s="222"/>
      <c r="AA499" s="222"/>
      <c r="AB499" s="224"/>
    </row>
    <row r="500" spans="1:28" ht="13.5" customHeight="1">
      <c r="A500" s="222"/>
      <c r="B500" s="222"/>
      <c r="C500" s="222"/>
      <c r="D500" s="222"/>
      <c r="E500" s="222"/>
      <c r="F500" s="222"/>
      <c r="G500" s="222"/>
      <c r="H500" s="222"/>
      <c r="I500" s="222"/>
      <c r="J500" s="222"/>
      <c r="K500" s="222"/>
      <c r="L500" s="222"/>
      <c r="M500" s="222"/>
      <c r="N500" s="222"/>
      <c r="O500" s="222"/>
      <c r="P500" s="222"/>
      <c r="Q500" s="223"/>
      <c r="R500" s="222"/>
      <c r="S500" s="222"/>
      <c r="T500" s="222"/>
      <c r="U500" s="222"/>
      <c r="V500" s="222"/>
      <c r="W500" s="223"/>
      <c r="X500" s="223"/>
      <c r="Y500" s="222"/>
      <c r="Z500" s="222"/>
      <c r="AA500" s="222"/>
      <c r="AB500" s="224"/>
    </row>
    <row r="501" spans="1:28" ht="13.5" customHeight="1">
      <c r="A501" s="222"/>
      <c r="B501" s="222"/>
      <c r="C501" s="222"/>
      <c r="D501" s="222"/>
      <c r="E501" s="222"/>
      <c r="F501" s="222"/>
      <c r="G501" s="222"/>
      <c r="H501" s="222"/>
      <c r="I501" s="222"/>
      <c r="J501" s="222"/>
      <c r="K501" s="222"/>
      <c r="L501" s="222"/>
      <c r="M501" s="222"/>
      <c r="N501" s="222"/>
      <c r="O501" s="222"/>
      <c r="P501" s="222"/>
      <c r="Q501" s="223"/>
      <c r="R501" s="222"/>
      <c r="S501" s="222"/>
      <c r="T501" s="222"/>
      <c r="U501" s="222"/>
      <c r="V501" s="222"/>
      <c r="W501" s="223"/>
      <c r="X501" s="223"/>
      <c r="Y501" s="222"/>
      <c r="Z501" s="222"/>
      <c r="AA501" s="222"/>
      <c r="AB501" s="224"/>
    </row>
    <row r="502" spans="1:28" ht="13.5" customHeight="1">
      <c r="A502" s="222"/>
      <c r="B502" s="222"/>
      <c r="C502" s="222"/>
      <c r="D502" s="222"/>
      <c r="E502" s="222"/>
      <c r="F502" s="222"/>
      <c r="G502" s="222"/>
      <c r="H502" s="222"/>
      <c r="I502" s="222"/>
      <c r="J502" s="222"/>
      <c r="K502" s="222"/>
      <c r="L502" s="222"/>
      <c r="M502" s="222"/>
      <c r="N502" s="222"/>
      <c r="O502" s="222"/>
      <c r="P502" s="222"/>
      <c r="Q502" s="223"/>
      <c r="R502" s="222"/>
      <c r="S502" s="222"/>
      <c r="T502" s="222"/>
      <c r="U502" s="222"/>
      <c r="V502" s="222"/>
      <c r="W502" s="223"/>
      <c r="X502" s="223"/>
      <c r="Y502" s="222"/>
      <c r="Z502" s="222"/>
      <c r="AA502" s="222"/>
      <c r="AB502" s="224"/>
    </row>
    <row r="503" spans="1:28" ht="13.5" customHeight="1">
      <c r="A503" s="222"/>
      <c r="B503" s="222"/>
      <c r="C503" s="222"/>
      <c r="D503" s="222"/>
      <c r="E503" s="222"/>
      <c r="F503" s="222"/>
      <c r="G503" s="222"/>
      <c r="H503" s="222"/>
      <c r="I503" s="222"/>
      <c r="J503" s="222"/>
      <c r="K503" s="222"/>
      <c r="L503" s="222"/>
      <c r="M503" s="222"/>
      <c r="N503" s="222"/>
      <c r="O503" s="222"/>
      <c r="P503" s="222"/>
      <c r="Q503" s="223"/>
      <c r="R503" s="222"/>
      <c r="S503" s="222"/>
      <c r="T503" s="222"/>
      <c r="U503" s="222"/>
      <c r="V503" s="222"/>
      <c r="W503" s="223"/>
      <c r="X503" s="223"/>
      <c r="Y503" s="222"/>
      <c r="Z503" s="222"/>
      <c r="AA503" s="222"/>
      <c r="AB503" s="224"/>
    </row>
    <row r="504" spans="1:28" ht="13.5" customHeight="1">
      <c r="A504" s="222"/>
      <c r="B504" s="222"/>
      <c r="C504" s="222"/>
      <c r="D504" s="222"/>
      <c r="E504" s="222"/>
      <c r="F504" s="222"/>
      <c r="G504" s="222"/>
      <c r="H504" s="222"/>
      <c r="I504" s="222"/>
      <c r="J504" s="222"/>
      <c r="K504" s="222"/>
      <c r="L504" s="222"/>
      <c r="M504" s="222"/>
      <c r="N504" s="222"/>
      <c r="O504" s="222"/>
      <c r="P504" s="222"/>
      <c r="Q504" s="223"/>
      <c r="R504" s="222"/>
      <c r="S504" s="222"/>
      <c r="T504" s="222"/>
      <c r="U504" s="222"/>
      <c r="V504" s="222"/>
      <c r="W504" s="223"/>
      <c r="X504" s="223"/>
      <c r="Y504" s="222"/>
      <c r="Z504" s="222"/>
      <c r="AA504" s="222"/>
      <c r="AB504" s="224"/>
    </row>
    <row r="505" spans="1:28" ht="13.5" customHeight="1">
      <c r="A505" s="222"/>
      <c r="B505" s="222"/>
      <c r="C505" s="222"/>
      <c r="D505" s="222"/>
      <c r="E505" s="222"/>
      <c r="F505" s="222"/>
      <c r="G505" s="222"/>
      <c r="H505" s="222"/>
      <c r="I505" s="222"/>
      <c r="J505" s="222"/>
      <c r="K505" s="222"/>
      <c r="L505" s="222"/>
      <c r="M505" s="222"/>
      <c r="N505" s="222"/>
      <c r="O505" s="222"/>
      <c r="P505" s="222"/>
      <c r="Q505" s="223"/>
      <c r="R505" s="222"/>
      <c r="S505" s="222"/>
      <c r="T505" s="222"/>
      <c r="U505" s="222"/>
      <c r="V505" s="222"/>
      <c r="W505" s="223"/>
      <c r="X505" s="223"/>
      <c r="Y505" s="222"/>
      <c r="Z505" s="222"/>
      <c r="AA505" s="222"/>
      <c r="AB505" s="224"/>
    </row>
    <row r="506" spans="1:28" ht="13.5" customHeight="1">
      <c r="A506" s="222"/>
      <c r="B506" s="222"/>
      <c r="C506" s="222"/>
      <c r="D506" s="222"/>
      <c r="E506" s="222"/>
      <c r="F506" s="222"/>
      <c r="G506" s="222"/>
      <c r="H506" s="222"/>
      <c r="I506" s="222"/>
      <c r="J506" s="222"/>
      <c r="K506" s="222"/>
      <c r="L506" s="222"/>
      <c r="M506" s="222"/>
      <c r="N506" s="222"/>
      <c r="O506" s="222"/>
      <c r="P506" s="222"/>
      <c r="Q506" s="223"/>
      <c r="R506" s="222"/>
      <c r="S506" s="222"/>
      <c r="T506" s="222"/>
      <c r="U506" s="222"/>
      <c r="V506" s="222"/>
      <c r="W506" s="223"/>
      <c r="X506" s="223"/>
      <c r="Y506" s="222"/>
      <c r="Z506" s="222"/>
      <c r="AA506" s="222"/>
      <c r="AB506" s="224"/>
    </row>
    <row r="507" spans="1:28" ht="13.5" customHeight="1">
      <c r="A507" s="222"/>
      <c r="B507" s="222"/>
      <c r="C507" s="222"/>
      <c r="D507" s="222"/>
      <c r="E507" s="222"/>
      <c r="F507" s="222"/>
      <c r="G507" s="222"/>
      <c r="H507" s="222"/>
      <c r="I507" s="222"/>
      <c r="J507" s="222"/>
      <c r="K507" s="222"/>
      <c r="L507" s="222"/>
      <c r="M507" s="222"/>
      <c r="N507" s="222"/>
      <c r="O507" s="222"/>
      <c r="P507" s="222"/>
      <c r="Q507" s="223"/>
      <c r="R507" s="222"/>
      <c r="S507" s="222"/>
      <c r="T507" s="222"/>
      <c r="U507" s="222"/>
      <c r="V507" s="222"/>
      <c r="W507" s="223"/>
      <c r="X507" s="223"/>
      <c r="Y507" s="222"/>
      <c r="Z507" s="222"/>
      <c r="AA507" s="222"/>
      <c r="AB507" s="224"/>
    </row>
    <row r="508" spans="1:28" ht="13.5" customHeight="1">
      <c r="A508" s="222"/>
      <c r="B508" s="222"/>
      <c r="C508" s="222"/>
      <c r="D508" s="222"/>
      <c r="E508" s="222"/>
      <c r="F508" s="222"/>
      <c r="G508" s="222"/>
      <c r="H508" s="222"/>
      <c r="I508" s="222"/>
      <c r="J508" s="222"/>
      <c r="K508" s="222"/>
      <c r="L508" s="222"/>
      <c r="M508" s="222"/>
      <c r="N508" s="222"/>
      <c r="O508" s="222"/>
      <c r="P508" s="222"/>
      <c r="Q508" s="223"/>
      <c r="R508" s="222"/>
      <c r="S508" s="222"/>
      <c r="T508" s="222"/>
      <c r="U508" s="222"/>
      <c r="V508" s="222"/>
      <c r="W508" s="223"/>
      <c r="X508" s="223"/>
      <c r="Y508" s="222"/>
      <c r="Z508" s="222"/>
      <c r="AA508" s="222"/>
      <c r="AB508" s="224"/>
    </row>
    <row r="509" spans="1:28" ht="13.5" customHeight="1">
      <c r="A509" s="222"/>
      <c r="B509" s="222"/>
      <c r="C509" s="222"/>
      <c r="D509" s="222"/>
      <c r="E509" s="222"/>
      <c r="F509" s="222"/>
      <c r="G509" s="222"/>
      <c r="H509" s="222"/>
      <c r="I509" s="222"/>
      <c r="J509" s="222"/>
      <c r="K509" s="222"/>
      <c r="L509" s="222"/>
      <c r="M509" s="222"/>
      <c r="N509" s="222"/>
      <c r="O509" s="222"/>
      <c r="P509" s="222"/>
      <c r="Q509" s="223"/>
      <c r="R509" s="222"/>
      <c r="S509" s="222"/>
      <c r="T509" s="222"/>
      <c r="U509" s="222"/>
      <c r="V509" s="222"/>
      <c r="W509" s="223"/>
      <c r="X509" s="223"/>
      <c r="Y509" s="222"/>
      <c r="Z509" s="222"/>
      <c r="AA509" s="222"/>
      <c r="AB509" s="224"/>
    </row>
    <row r="510" spans="1:28" ht="13.5" customHeight="1">
      <c r="A510" s="222"/>
      <c r="B510" s="222"/>
      <c r="C510" s="222"/>
      <c r="D510" s="222"/>
      <c r="E510" s="222"/>
      <c r="F510" s="222"/>
      <c r="G510" s="222"/>
      <c r="H510" s="222"/>
      <c r="I510" s="222"/>
      <c r="J510" s="222"/>
      <c r="K510" s="222"/>
      <c r="L510" s="222"/>
      <c r="M510" s="222"/>
      <c r="N510" s="222"/>
      <c r="O510" s="222"/>
      <c r="P510" s="222"/>
      <c r="Q510" s="223"/>
      <c r="R510" s="222"/>
      <c r="S510" s="222"/>
      <c r="T510" s="222"/>
      <c r="U510" s="222"/>
      <c r="V510" s="222"/>
      <c r="W510" s="223"/>
      <c r="X510" s="223"/>
      <c r="Y510" s="222"/>
      <c r="Z510" s="222"/>
      <c r="AA510" s="222"/>
      <c r="AB510" s="224"/>
    </row>
    <row r="511" spans="1:28" ht="13.5" customHeight="1">
      <c r="A511" s="222"/>
      <c r="B511" s="222"/>
      <c r="C511" s="222"/>
      <c r="D511" s="222"/>
      <c r="E511" s="222"/>
      <c r="F511" s="222"/>
      <c r="G511" s="222"/>
      <c r="H511" s="222"/>
      <c r="I511" s="222"/>
      <c r="J511" s="222"/>
      <c r="K511" s="222"/>
      <c r="L511" s="222"/>
      <c r="M511" s="222"/>
      <c r="N511" s="222"/>
      <c r="O511" s="222"/>
      <c r="P511" s="222"/>
      <c r="Q511" s="223"/>
      <c r="R511" s="222"/>
      <c r="S511" s="222"/>
      <c r="T511" s="222"/>
      <c r="U511" s="222"/>
      <c r="V511" s="222"/>
      <c r="W511" s="223"/>
      <c r="X511" s="223"/>
      <c r="Y511" s="222"/>
      <c r="Z511" s="222"/>
      <c r="AA511" s="222"/>
      <c r="AB511" s="224"/>
    </row>
    <row r="512" spans="1:28" ht="13.5" customHeight="1">
      <c r="A512" s="222"/>
      <c r="B512" s="222"/>
      <c r="C512" s="222"/>
      <c r="D512" s="222"/>
      <c r="E512" s="222"/>
      <c r="F512" s="222"/>
      <c r="G512" s="222"/>
      <c r="H512" s="222"/>
      <c r="I512" s="222"/>
      <c r="J512" s="222"/>
      <c r="K512" s="222"/>
      <c r="L512" s="222"/>
      <c r="M512" s="222"/>
      <c r="N512" s="222"/>
      <c r="O512" s="222"/>
      <c r="P512" s="222"/>
      <c r="Q512" s="223"/>
      <c r="R512" s="222"/>
      <c r="S512" s="222"/>
      <c r="T512" s="222"/>
      <c r="U512" s="222"/>
      <c r="V512" s="222"/>
      <c r="W512" s="223"/>
      <c r="X512" s="223"/>
      <c r="Y512" s="222"/>
      <c r="Z512" s="222"/>
      <c r="AA512" s="222"/>
      <c r="AB512" s="224"/>
    </row>
    <row r="513" spans="1:28" ht="13.5" customHeight="1">
      <c r="A513" s="222"/>
      <c r="B513" s="222"/>
      <c r="C513" s="222"/>
      <c r="D513" s="222"/>
      <c r="E513" s="222"/>
      <c r="F513" s="222"/>
      <c r="G513" s="222"/>
      <c r="H513" s="222"/>
      <c r="I513" s="222"/>
      <c r="J513" s="222"/>
      <c r="K513" s="222"/>
      <c r="L513" s="222"/>
      <c r="M513" s="222"/>
      <c r="N513" s="222"/>
      <c r="O513" s="222"/>
      <c r="P513" s="222"/>
      <c r="Q513" s="223"/>
      <c r="R513" s="222"/>
      <c r="S513" s="222"/>
      <c r="T513" s="222"/>
      <c r="U513" s="222"/>
      <c r="V513" s="222"/>
      <c r="W513" s="223"/>
      <c r="X513" s="223"/>
      <c r="Y513" s="222"/>
      <c r="Z513" s="222"/>
      <c r="AA513" s="222"/>
      <c r="AB513" s="224"/>
    </row>
    <row r="514" spans="1:28" ht="13.5" customHeight="1">
      <c r="A514" s="222"/>
      <c r="B514" s="222"/>
      <c r="C514" s="222"/>
      <c r="D514" s="222"/>
      <c r="E514" s="222"/>
      <c r="F514" s="222"/>
      <c r="G514" s="222"/>
      <c r="H514" s="222"/>
      <c r="I514" s="222"/>
      <c r="J514" s="222"/>
      <c r="K514" s="222"/>
      <c r="L514" s="222"/>
      <c r="M514" s="222"/>
      <c r="N514" s="222"/>
      <c r="O514" s="222"/>
      <c r="P514" s="222"/>
      <c r="Q514" s="223"/>
      <c r="R514" s="222"/>
      <c r="S514" s="222"/>
      <c r="T514" s="222"/>
      <c r="U514" s="222"/>
      <c r="V514" s="222"/>
      <c r="W514" s="223"/>
      <c r="X514" s="223"/>
      <c r="Y514" s="222"/>
      <c r="Z514" s="222"/>
      <c r="AA514" s="222"/>
      <c r="AB514" s="224"/>
    </row>
    <row r="515" spans="1:28" ht="13.5" customHeight="1">
      <c r="A515" s="222"/>
      <c r="B515" s="222"/>
      <c r="C515" s="222"/>
      <c r="D515" s="222"/>
      <c r="E515" s="222"/>
      <c r="F515" s="222"/>
      <c r="G515" s="222"/>
      <c r="H515" s="222"/>
      <c r="I515" s="222"/>
      <c r="J515" s="222"/>
      <c r="K515" s="222"/>
      <c r="L515" s="222"/>
      <c r="M515" s="222"/>
      <c r="N515" s="222"/>
      <c r="O515" s="222"/>
      <c r="P515" s="222"/>
      <c r="Q515" s="223"/>
      <c r="R515" s="222"/>
      <c r="S515" s="222"/>
      <c r="T515" s="222"/>
      <c r="U515" s="222"/>
      <c r="V515" s="222"/>
      <c r="W515" s="223"/>
      <c r="X515" s="223"/>
      <c r="Y515" s="222"/>
      <c r="Z515" s="222"/>
      <c r="AA515" s="222"/>
      <c r="AB515" s="224"/>
    </row>
    <row r="516" spans="1:28" ht="13.5" customHeight="1">
      <c r="A516" s="222"/>
      <c r="B516" s="222"/>
      <c r="C516" s="222"/>
      <c r="D516" s="222"/>
      <c r="E516" s="222"/>
      <c r="F516" s="222"/>
      <c r="G516" s="222"/>
      <c r="H516" s="222"/>
      <c r="I516" s="222"/>
      <c r="J516" s="222"/>
      <c r="K516" s="222"/>
      <c r="L516" s="222"/>
      <c r="M516" s="222"/>
      <c r="N516" s="222"/>
      <c r="O516" s="222"/>
      <c r="P516" s="222"/>
      <c r="Q516" s="223"/>
      <c r="R516" s="222"/>
      <c r="S516" s="222"/>
      <c r="T516" s="222"/>
      <c r="U516" s="222"/>
      <c r="V516" s="222"/>
      <c r="W516" s="223"/>
      <c r="X516" s="223"/>
      <c r="Y516" s="222"/>
      <c r="Z516" s="222"/>
      <c r="AA516" s="222"/>
      <c r="AB516" s="224"/>
    </row>
    <row r="517" spans="1:28" ht="13.5" customHeight="1">
      <c r="A517" s="222"/>
      <c r="B517" s="222"/>
      <c r="C517" s="222"/>
      <c r="D517" s="222"/>
      <c r="E517" s="222"/>
      <c r="F517" s="222"/>
      <c r="G517" s="222"/>
      <c r="H517" s="222"/>
      <c r="I517" s="222"/>
      <c r="J517" s="222"/>
      <c r="K517" s="222"/>
      <c r="L517" s="222"/>
      <c r="M517" s="222"/>
      <c r="N517" s="222"/>
      <c r="O517" s="222"/>
      <c r="P517" s="222"/>
      <c r="Q517" s="223"/>
      <c r="R517" s="222"/>
      <c r="S517" s="222"/>
      <c r="T517" s="222"/>
      <c r="U517" s="222"/>
      <c r="V517" s="222"/>
      <c r="W517" s="223"/>
      <c r="X517" s="223"/>
      <c r="Y517" s="222"/>
      <c r="Z517" s="222"/>
      <c r="AA517" s="222"/>
      <c r="AB517" s="224"/>
    </row>
    <row r="518" spans="1:28" ht="13.5" customHeight="1">
      <c r="A518" s="222"/>
      <c r="B518" s="222"/>
      <c r="C518" s="222"/>
      <c r="D518" s="222"/>
      <c r="E518" s="222"/>
      <c r="F518" s="222"/>
      <c r="G518" s="222"/>
      <c r="H518" s="222"/>
      <c r="I518" s="222"/>
      <c r="J518" s="222"/>
      <c r="K518" s="222"/>
      <c r="L518" s="222"/>
      <c r="M518" s="222"/>
      <c r="N518" s="222"/>
      <c r="O518" s="222"/>
      <c r="P518" s="222"/>
      <c r="Q518" s="223"/>
      <c r="R518" s="222"/>
      <c r="S518" s="222"/>
      <c r="T518" s="222"/>
      <c r="U518" s="222"/>
      <c r="V518" s="222"/>
      <c r="W518" s="223"/>
      <c r="X518" s="223"/>
      <c r="Y518" s="222"/>
      <c r="Z518" s="222"/>
      <c r="AA518" s="222"/>
      <c r="AB518" s="224"/>
    </row>
    <row r="519" spans="1:28" ht="13.5" customHeight="1">
      <c r="A519" s="222"/>
      <c r="B519" s="222"/>
      <c r="C519" s="222"/>
      <c r="D519" s="222"/>
      <c r="E519" s="222"/>
      <c r="F519" s="222"/>
      <c r="G519" s="222"/>
      <c r="H519" s="222"/>
      <c r="I519" s="222"/>
      <c r="J519" s="222"/>
      <c r="K519" s="222"/>
      <c r="L519" s="222"/>
      <c r="M519" s="222"/>
      <c r="N519" s="222"/>
      <c r="O519" s="222"/>
      <c r="P519" s="222"/>
      <c r="Q519" s="223"/>
      <c r="R519" s="222"/>
      <c r="S519" s="222"/>
      <c r="T519" s="222"/>
      <c r="U519" s="222"/>
      <c r="V519" s="222"/>
      <c r="W519" s="223"/>
      <c r="X519" s="223"/>
      <c r="Y519" s="222"/>
      <c r="Z519" s="222"/>
      <c r="AA519" s="222"/>
      <c r="AB519" s="224"/>
    </row>
    <row r="520" spans="1:28" ht="13.5" customHeight="1">
      <c r="A520" s="222"/>
      <c r="B520" s="222"/>
      <c r="C520" s="222"/>
      <c r="D520" s="222"/>
      <c r="E520" s="222"/>
      <c r="F520" s="222"/>
      <c r="G520" s="222"/>
      <c r="H520" s="222"/>
      <c r="I520" s="222"/>
      <c r="J520" s="222"/>
      <c r="K520" s="222"/>
      <c r="L520" s="222"/>
      <c r="M520" s="222"/>
      <c r="N520" s="222"/>
      <c r="O520" s="222"/>
      <c r="P520" s="222"/>
      <c r="Q520" s="223"/>
      <c r="R520" s="222"/>
      <c r="S520" s="222"/>
      <c r="T520" s="222"/>
      <c r="U520" s="222"/>
      <c r="V520" s="222"/>
      <c r="W520" s="223"/>
      <c r="X520" s="223"/>
      <c r="Y520" s="222"/>
      <c r="Z520" s="222"/>
      <c r="AA520" s="222"/>
      <c r="AB520" s="224"/>
    </row>
    <row r="521" spans="1:28" ht="13.5" customHeight="1">
      <c r="A521" s="222"/>
      <c r="B521" s="222"/>
      <c r="C521" s="222"/>
      <c r="D521" s="222"/>
      <c r="E521" s="222"/>
      <c r="F521" s="222"/>
      <c r="G521" s="222"/>
      <c r="H521" s="222"/>
      <c r="I521" s="222"/>
      <c r="J521" s="222"/>
      <c r="K521" s="222"/>
      <c r="L521" s="222"/>
      <c r="M521" s="222"/>
      <c r="N521" s="222"/>
      <c r="O521" s="222"/>
      <c r="P521" s="222"/>
      <c r="Q521" s="223"/>
      <c r="R521" s="222"/>
      <c r="S521" s="222"/>
      <c r="T521" s="222"/>
      <c r="U521" s="222"/>
      <c r="V521" s="222"/>
      <c r="W521" s="223"/>
      <c r="X521" s="223"/>
      <c r="Y521" s="222"/>
      <c r="Z521" s="222"/>
      <c r="AA521" s="222"/>
      <c r="AB521" s="224"/>
    </row>
    <row r="522" spans="1:28" ht="13.5" customHeight="1">
      <c r="A522" s="222"/>
      <c r="B522" s="222"/>
      <c r="C522" s="222"/>
      <c r="D522" s="222"/>
      <c r="E522" s="222"/>
      <c r="F522" s="222"/>
      <c r="G522" s="222"/>
      <c r="H522" s="222"/>
      <c r="I522" s="222"/>
      <c r="J522" s="222"/>
      <c r="K522" s="222"/>
      <c r="L522" s="222"/>
      <c r="M522" s="222"/>
      <c r="N522" s="222"/>
      <c r="O522" s="222"/>
      <c r="P522" s="222"/>
      <c r="Q522" s="223"/>
      <c r="R522" s="222"/>
      <c r="S522" s="222"/>
      <c r="T522" s="222"/>
      <c r="U522" s="222"/>
      <c r="V522" s="222"/>
      <c r="W522" s="223"/>
      <c r="X522" s="223"/>
      <c r="Y522" s="222"/>
      <c r="Z522" s="222"/>
      <c r="AA522" s="222"/>
      <c r="AB522" s="224"/>
    </row>
    <row r="523" spans="1:28" ht="13.5" customHeight="1">
      <c r="A523" s="222"/>
      <c r="B523" s="222"/>
      <c r="C523" s="222"/>
      <c r="D523" s="222"/>
      <c r="E523" s="222"/>
      <c r="F523" s="222"/>
      <c r="G523" s="222"/>
      <c r="H523" s="222"/>
      <c r="I523" s="222"/>
      <c r="J523" s="222"/>
      <c r="K523" s="222"/>
      <c r="L523" s="222"/>
      <c r="M523" s="222"/>
      <c r="N523" s="222"/>
      <c r="O523" s="222"/>
      <c r="P523" s="222"/>
      <c r="Q523" s="223"/>
      <c r="R523" s="222"/>
      <c r="S523" s="222"/>
      <c r="T523" s="222"/>
      <c r="U523" s="222"/>
      <c r="V523" s="222"/>
      <c r="W523" s="223"/>
      <c r="X523" s="223"/>
      <c r="Y523" s="222"/>
      <c r="Z523" s="222"/>
      <c r="AA523" s="222"/>
      <c r="AB523" s="224"/>
    </row>
    <row r="524" spans="1:28" ht="13.5" customHeight="1">
      <c r="A524" s="222"/>
      <c r="B524" s="222"/>
      <c r="C524" s="222"/>
      <c r="D524" s="222"/>
      <c r="E524" s="222"/>
      <c r="F524" s="222"/>
      <c r="G524" s="222"/>
      <c r="H524" s="222"/>
      <c r="I524" s="222"/>
      <c r="J524" s="222"/>
      <c r="K524" s="222"/>
      <c r="L524" s="222"/>
      <c r="M524" s="222"/>
      <c r="N524" s="222"/>
      <c r="O524" s="222"/>
      <c r="P524" s="222"/>
      <c r="Q524" s="223"/>
      <c r="R524" s="222"/>
      <c r="S524" s="222"/>
      <c r="T524" s="222"/>
      <c r="U524" s="222"/>
      <c r="V524" s="222"/>
      <c r="W524" s="223"/>
      <c r="X524" s="223"/>
      <c r="Y524" s="222"/>
      <c r="Z524" s="222"/>
      <c r="AA524" s="222"/>
      <c r="AB524" s="224"/>
    </row>
    <row r="525" spans="1:28" ht="13.5" customHeight="1">
      <c r="A525" s="222"/>
      <c r="B525" s="222"/>
      <c r="C525" s="222"/>
      <c r="D525" s="222"/>
      <c r="E525" s="222"/>
      <c r="F525" s="222"/>
      <c r="G525" s="222"/>
      <c r="H525" s="222"/>
      <c r="I525" s="222"/>
      <c r="J525" s="222"/>
      <c r="K525" s="222"/>
      <c r="L525" s="222"/>
      <c r="M525" s="222"/>
      <c r="N525" s="222"/>
      <c r="O525" s="222"/>
      <c r="P525" s="222"/>
      <c r="Q525" s="223"/>
      <c r="R525" s="222"/>
      <c r="S525" s="222"/>
      <c r="T525" s="222"/>
      <c r="U525" s="222"/>
      <c r="V525" s="222"/>
      <c r="W525" s="223"/>
      <c r="X525" s="223"/>
      <c r="Y525" s="222"/>
      <c r="Z525" s="222"/>
      <c r="AA525" s="222"/>
      <c r="AB525" s="224"/>
    </row>
    <row r="526" spans="1:28" ht="13.5" customHeight="1">
      <c r="A526" s="222"/>
      <c r="B526" s="222"/>
      <c r="C526" s="222"/>
      <c r="D526" s="222"/>
      <c r="E526" s="222"/>
      <c r="F526" s="222"/>
      <c r="G526" s="222"/>
      <c r="H526" s="222"/>
      <c r="I526" s="222"/>
      <c r="J526" s="222"/>
      <c r="K526" s="222"/>
      <c r="L526" s="222"/>
      <c r="M526" s="222"/>
      <c r="N526" s="222"/>
      <c r="O526" s="222"/>
      <c r="P526" s="222"/>
      <c r="Q526" s="223"/>
      <c r="R526" s="222"/>
      <c r="S526" s="222"/>
      <c r="T526" s="222"/>
      <c r="U526" s="222"/>
      <c r="V526" s="222"/>
      <c r="W526" s="223"/>
      <c r="X526" s="223"/>
      <c r="Y526" s="222"/>
      <c r="Z526" s="222"/>
      <c r="AA526" s="222"/>
      <c r="AB526" s="224"/>
    </row>
    <row r="527" spans="1:28" ht="13.5" customHeight="1">
      <c r="A527" s="222"/>
      <c r="B527" s="222"/>
      <c r="C527" s="222"/>
      <c r="D527" s="222"/>
      <c r="E527" s="222"/>
      <c r="F527" s="222"/>
      <c r="G527" s="222"/>
      <c r="H527" s="222"/>
      <c r="I527" s="222"/>
      <c r="J527" s="222"/>
      <c r="K527" s="222"/>
      <c r="L527" s="222"/>
      <c r="M527" s="222"/>
      <c r="N527" s="222"/>
      <c r="O527" s="222"/>
      <c r="P527" s="222"/>
      <c r="Q527" s="223"/>
      <c r="R527" s="222"/>
      <c r="S527" s="222"/>
      <c r="T527" s="222"/>
      <c r="U527" s="222"/>
      <c r="V527" s="222"/>
      <c r="W527" s="223"/>
      <c r="X527" s="223"/>
      <c r="Y527" s="222"/>
      <c r="Z527" s="222"/>
      <c r="AA527" s="222"/>
      <c r="AB527" s="224"/>
    </row>
    <row r="528" spans="1:28" ht="13.5" customHeight="1">
      <c r="A528" s="222"/>
      <c r="B528" s="222"/>
      <c r="C528" s="222"/>
      <c r="D528" s="222"/>
      <c r="E528" s="222"/>
      <c r="F528" s="222"/>
      <c r="G528" s="222"/>
      <c r="H528" s="222"/>
      <c r="I528" s="222"/>
      <c r="J528" s="222"/>
      <c r="K528" s="222"/>
      <c r="L528" s="222"/>
      <c r="M528" s="222"/>
      <c r="N528" s="222"/>
      <c r="O528" s="222"/>
      <c r="P528" s="222"/>
      <c r="Q528" s="223"/>
      <c r="R528" s="222"/>
      <c r="S528" s="222"/>
      <c r="T528" s="222"/>
      <c r="U528" s="222"/>
      <c r="V528" s="222"/>
      <c r="W528" s="223"/>
      <c r="X528" s="223"/>
      <c r="Y528" s="222"/>
      <c r="Z528" s="222"/>
      <c r="AA528" s="222"/>
      <c r="AB528" s="224"/>
    </row>
    <row r="529" spans="1:28" ht="13.5" customHeight="1">
      <c r="A529" s="222"/>
      <c r="B529" s="222"/>
      <c r="C529" s="222"/>
      <c r="D529" s="222"/>
      <c r="E529" s="222"/>
      <c r="F529" s="222"/>
      <c r="G529" s="222"/>
      <c r="H529" s="222"/>
      <c r="I529" s="222"/>
      <c r="J529" s="222"/>
      <c r="K529" s="222"/>
      <c r="L529" s="222"/>
      <c r="M529" s="222"/>
      <c r="N529" s="222"/>
      <c r="O529" s="222"/>
      <c r="P529" s="222"/>
      <c r="Q529" s="223"/>
      <c r="R529" s="222"/>
      <c r="S529" s="222"/>
      <c r="T529" s="222"/>
      <c r="U529" s="222"/>
      <c r="V529" s="222"/>
      <c r="W529" s="223"/>
      <c r="X529" s="223"/>
      <c r="Y529" s="222"/>
      <c r="Z529" s="222"/>
      <c r="AA529" s="222"/>
      <c r="AB529" s="224"/>
    </row>
    <row r="530" spans="1:28" ht="13.5" customHeight="1">
      <c r="A530" s="222"/>
      <c r="B530" s="222"/>
      <c r="C530" s="222"/>
      <c r="D530" s="222"/>
      <c r="E530" s="222"/>
      <c r="F530" s="222"/>
      <c r="G530" s="222"/>
      <c r="H530" s="222"/>
      <c r="I530" s="222"/>
      <c r="J530" s="222"/>
      <c r="K530" s="222"/>
      <c r="L530" s="222"/>
      <c r="M530" s="222"/>
      <c r="N530" s="222"/>
      <c r="O530" s="222"/>
      <c r="P530" s="222"/>
      <c r="Q530" s="223"/>
      <c r="R530" s="222"/>
      <c r="S530" s="222"/>
      <c r="T530" s="222"/>
      <c r="U530" s="222"/>
      <c r="V530" s="222"/>
      <c r="W530" s="223"/>
      <c r="X530" s="223"/>
      <c r="Y530" s="222"/>
      <c r="Z530" s="222"/>
      <c r="AA530" s="222"/>
      <c r="AB530" s="224"/>
    </row>
    <row r="531" spans="1:28" ht="13.5" customHeight="1">
      <c r="A531" s="222"/>
      <c r="B531" s="222"/>
      <c r="C531" s="222"/>
      <c r="D531" s="222"/>
      <c r="E531" s="222"/>
      <c r="F531" s="222"/>
      <c r="G531" s="222"/>
      <c r="H531" s="222"/>
      <c r="I531" s="222"/>
      <c r="J531" s="222"/>
      <c r="K531" s="222"/>
      <c r="L531" s="222"/>
      <c r="M531" s="222"/>
      <c r="N531" s="222"/>
      <c r="O531" s="222"/>
      <c r="P531" s="222"/>
      <c r="Q531" s="223"/>
      <c r="R531" s="222"/>
      <c r="S531" s="222"/>
      <c r="T531" s="222"/>
      <c r="U531" s="222"/>
      <c r="V531" s="222"/>
      <c r="W531" s="223"/>
      <c r="X531" s="223"/>
      <c r="Y531" s="222"/>
      <c r="Z531" s="222"/>
      <c r="AA531" s="222"/>
      <c r="AB531" s="224"/>
    </row>
    <row r="532" spans="1:28" ht="13.5" customHeight="1">
      <c r="A532" s="222"/>
      <c r="B532" s="222"/>
      <c r="C532" s="222"/>
      <c r="D532" s="222"/>
      <c r="E532" s="222"/>
      <c r="F532" s="222"/>
      <c r="G532" s="222"/>
      <c r="H532" s="222"/>
      <c r="I532" s="222"/>
      <c r="J532" s="222"/>
      <c r="K532" s="222"/>
      <c r="L532" s="222"/>
      <c r="M532" s="222"/>
      <c r="N532" s="222"/>
      <c r="O532" s="222"/>
      <c r="P532" s="222"/>
      <c r="Q532" s="223"/>
      <c r="R532" s="222"/>
      <c r="S532" s="222"/>
      <c r="T532" s="222"/>
      <c r="U532" s="222"/>
      <c r="V532" s="222"/>
      <c r="W532" s="223"/>
      <c r="X532" s="223"/>
      <c r="Y532" s="222"/>
      <c r="Z532" s="222"/>
      <c r="AA532" s="222"/>
      <c r="AB532" s="224"/>
    </row>
    <row r="533" spans="1:28" ht="13.5" customHeight="1">
      <c r="A533" s="222"/>
      <c r="B533" s="222"/>
      <c r="C533" s="222"/>
      <c r="D533" s="222"/>
      <c r="E533" s="222"/>
      <c r="F533" s="222"/>
      <c r="G533" s="222"/>
      <c r="H533" s="222"/>
      <c r="I533" s="222"/>
      <c r="J533" s="222"/>
      <c r="K533" s="222"/>
      <c r="L533" s="222"/>
      <c r="M533" s="222"/>
      <c r="N533" s="222"/>
      <c r="O533" s="222"/>
      <c r="P533" s="222"/>
      <c r="Q533" s="223"/>
      <c r="R533" s="222"/>
      <c r="S533" s="222"/>
      <c r="T533" s="222"/>
      <c r="U533" s="222"/>
      <c r="V533" s="222"/>
      <c r="W533" s="223"/>
      <c r="X533" s="223"/>
      <c r="Y533" s="222"/>
      <c r="Z533" s="222"/>
      <c r="AA533" s="222"/>
      <c r="AB533" s="224"/>
    </row>
    <row r="534" spans="1:28" ht="13.5" customHeight="1">
      <c r="A534" s="222"/>
      <c r="B534" s="222"/>
      <c r="C534" s="222"/>
      <c r="D534" s="222"/>
      <c r="E534" s="222"/>
      <c r="F534" s="222"/>
      <c r="G534" s="222"/>
      <c r="H534" s="222"/>
      <c r="I534" s="222"/>
      <c r="J534" s="222"/>
      <c r="K534" s="222"/>
      <c r="L534" s="222"/>
      <c r="M534" s="222"/>
      <c r="N534" s="222"/>
      <c r="O534" s="222"/>
      <c r="P534" s="222"/>
      <c r="Q534" s="223"/>
      <c r="R534" s="222"/>
      <c r="S534" s="222"/>
      <c r="T534" s="222"/>
      <c r="U534" s="222"/>
      <c r="V534" s="222"/>
      <c r="W534" s="223"/>
      <c r="X534" s="223"/>
      <c r="Y534" s="222"/>
      <c r="Z534" s="222"/>
      <c r="AA534" s="222"/>
      <c r="AB534" s="224"/>
    </row>
    <row r="535" spans="1:28" ht="13.5" customHeight="1">
      <c r="A535" s="222"/>
      <c r="B535" s="222"/>
      <c r="C535" s="222"/>
      <c r="D535" s="222"/>
      <c r="E535" s="222"/>
      <c r="F535" s="222"/>
      <c r="G535" s="222"/>
      <c r="H535" s="222"/>
      <c r="I535" s="222"/>
      <c r="J535" s="222"/>
      <c r="K535" s="222"/>
      <c r="L535" s="222"/>
      <c r="M535" s="222"/>
      <c r="N535" s="222"/>
      <c r="O535" s="222"/>
      <c r="P535" s="222"/>
      <c r="Q535" s="223"/>
      <c r="R535" s="222"/>
      <c r="S535" s="222"/>
      <c r="T535" s="222"/>
      <c r="U535" s="222"/>
      <c r="V535" s="222"/>
      <c r="W535" s="223"/>
      <c r="X535" s="223"/>
      <c r="Y535" s="222"/>
      <c r="Z535" s="222"/>
      <c r="AA535" s="222"/>
      <c r="AB535" s="224"/>
    </row>
    <row r="536" spans="1:28" ht="13.5" customHeight="1">
      <c r="A536" s="222"/>
      <c r="B536" s="222"/>
      <c r="C536" s="222"/>
      <c r="D536" s="222"/>
      <c r="E536" s="222"/>
      <c r="F536" s="222"/>
      <c r="G536" s="222"/>
      <c r="H536" s="222"/>
      <c r="I536" s="222"/>
      <c r="J536" s="222"/>
      <c r="K536" s="222"/>
      <c r="L536" s="222"/>
      <c r="M536" s="222"/>
      <c r="N536" s="222"/>
      <c r="O536" s="222"/>
      <c r="P536" s="222"/>
      <c r="Q536" s="223"/>
      <c r="R536" s="222"/>
      <c r="S536" s="222"/>
      <c r="T536" s="222"/>
      <c r="U536" s="222"/>
      <c r="V536" s="222"/>
      <c r="W536" s="223"/>
      <c r="X536" s="223"/>
      <c r="Y536" s="222"/>
      <c r="Z536" s="222"/>
      <c r="AA536" s="222"/>
      <c r="AB536" s="224"/>
    </row>
    <row r="537" spans="1:28" ht="13.5" customHeight="1">
      <c r="A537" s="222"/>
      <c r="B537" s="222"/>
      <c r="C537" s="222"/>
      <c r="D537" s="222"/>
      <c r="E537" s="222"/>
      <c r="F537" s="222"/>
      <c r="G537" s="222"/>
      <c r="H537" s="222"/>
      <c r="I537" s="222"/>
      <c r="J537" s="222"/>
      <c r="K537" s="222"/>
      <c r="L537" s="222"/>
      <c r="M537" s="222"/>
      <c r="N537" s="222"/>
      <c r="O537" s="222"/>
      <c r="P537" s="222"/>
      <c r="Q537" s="223"/>
      <c r="R537" s="222"/>
      <c r="S537" s="222"/>
      <c r="T537" s="222"/>
      <c r="U537" s="222"/>
      <c r="V537" s="222"/>
      <c r="W537" s="223"/>
      <c r="X537" s="223"/>
      <c r="Y537" s="222"/>
      <c r="Z537" s="222"/>
      <c r="AA537" s="222"/>
      <c r="AB537" s="224"/>
    </row>
    <row r="538" spans="1:28" ht="13.5" customHeight="1">
      <c r="A538" s="222"/>
      <c r="B538" s="222"/>
      <c r="C538" s="222"/>
      <c r="D538" s="222"/>
      <c r="E538" s="222"/>
      <c r="F538" s="222"/>
      <c r="G538" s="222"/>
      <c r="H538" s="222"/>
      <c r="I538" s="222"/>
      <c r="J538" s="222"/>
      <c r="K538" s="222"/>
      <c r="L538" s="222"/>
      <c r="M538" s="222"/>
      <c r="N538" s="222"/>
      <c r="O538" s="222"/>
      <c r="P538" s="222"/>
      <c r="Q538" s="223"/>
      <c r="R538" s="222"/>
      <c r="S538" s="222"/>
      <c r="T538" s="222"/>
      <c r="U538" s="222"/>
      <c r="V538" s="222"/>
      <c r="W538" s="223"/>
      <c r="X538" s="223"/>
      <c r="Y538" s="222"/>
      <c r="Z538" s="222"/>
      <c r="AA538" s="222"/>
      <c r="AB538" s="224"/>
    </row>
    <row r="539" spans="1:28" ht="13.5" customHeight="1">
      <c r="A539" s="222"/>
      <c r="B539" s="222"/>
      <c r="C539" s="222"/>
      <c r="D539" s="222"/>
      <c r="E539" s="222"/>
      <c r="F539" s="222"/>
      <c r="G539" s="222"/>
      <c r="H539" s="222"/>
      <c r="I539" s="222"/>
      <c r="J539" s="222"/>
      <c r="K539" s="222"/>
      <c r="L539" s="222"/>
      <c r="M539" s="222"/>
      <c r="N539" s="222"/>
      <c r="O539" s="222"/>
      <c r="P539" s="222"/>
      <c r="Q539" s="223"/>
      <c r="R539" s="222"/>
      <c r="S539" s="222"/>
      <c r="T539" s="222"/>
      <c r="U539" s="222"/>
      <c r="V539" s="222"/>
      <c r="W539" s="223"/>
      <c r="X539" s="223"/>
      <c r="Y539" s="222"/>
      <c r="Z539" s="222"/>
      <c r="AA539" s="222"/>
      <c r="AB539" s="224"/>
    </row>
    <row r="540" spans="1:28" ht="13.5" customHeight="1">
      <c r="A540" s="222"/>
      <c r="B540" s="222"/>
      <c r="C540" s="222"/>
      <c r="D540" s="222"/>
      <c r="E540" s="222"/>
      <c r="F540" s="222"/>
      <c r="G540" s="222"/>
      <c r="H540" s="222"/>
      <c r="I540" s="222"/>
      <c r="J540" s="222"/>
      <c r="K540" s="222"/>
      <c r="L540" s="222"/>
      <c r="M540" s="222"/>
      <c r="N540" s="222"/>
      <c r="O540" s="222"/>
      <c r="P540" s="222"/>
      <c r="Q540" s="223"/>
      <c r="R540" s="222"/>
      <c r="S540" s="222"/>
      <c r="T540" s="222"/>
      <c r="U540" s="222"/>
      <c r="V540" s="222"/>
      <c r="W540" s="223"/>
      <c r="X540" s="223"/>
      <c r="Y540" s="222"/>
      <c r="Z540" s="222"/>
      <c r="AA540" s="222"/>
      <c r="AB540" s="224"/>
    </row>
    <row r="541" spans="1:28" ht="13.5" customHeight="1">
      <c r="A541" s="222"/>
      <c r="B541" s="222"/>
      <c r="C541" s="222"/>
      <c r="D541" s="222"/>
      <c r="E541" s="222"/>
      <c r="F541" s="222"/>
      <c r="G541" s="222"/>
      <c r="H541" s="222"/>
      <c r="I541" s="222"/>
      <c r="J541" s="222"/>
      <c r="K541" s="222"/>
      <c r="L541" s="222"/>
      <c r="M541" s="222"/>
      <c r="N541" s="222"/>
      <c r="O541" s="222"/>
      <c r="P541" s="222"/>
      <c r="Q541" s="223"/>
      <c r="R541" s="222"/>
      <c r="S541" s="222"/>
      <c r="T541" s="222"/>
      <c r="U541" s="222"/>
      <c r="V541" s="222"/>
      <c r="W541" s="223"/>
      <c r="X541" s="223"/>
      <c r="Y541" s="222"/>
      <c r="Z541" s="222"/>
      <c r="AA541" s="222"/>
      <c r="AB541" s="224"/>
    </row>
    <row r="542" spans="1:28" ht="13.5" customHeight="1">
      <c r="A542" s="222"/>
      <c r="B542" s="222"/>
      <c r="C542" s="222"/>
      <c r="D542" s="222"/>
      <c r="E542" s="222"/>
      <c r="F542" s="222"/>
      <c r="G542" s="222"/>
      <c r="H542" s="222"/>
      <c r="I542" s="222"/>
      <c r="J542" s="222"/>
      <c r="K542" s="222"/>
      <c r="L542" s="222"/>
      <c r="M542" s="222"/>
      <c r="N542" s="222"/>
      <c r="O542" s="222"/>
      <c r="P542" s="222"/>
      <c r="Q542" s="223"/>
      <c r="R542" s="222"/>
      <c r="S542" s="222"/>
      <c r="T542" s="222"/>
      <c r="U542" s="222"/>
      <c r="V542" s="222"/>
      <c r="W542" s="223"/>
      <c r="X542" s="223"/>
      <c r="Y542" s="222"/>
      <c r="Z542" s="222"/>
      <c r="AA542" s="222"/>
      <c r="AB542" s="224"/>
    </row>
    <row r="543" spans="1:28" ht="13.5" customHeight="1">
      <c r="A543" s="222"/>
      <c r="B543" s="222"/>
      <c r="C543" s="222"/>
      <c r="D543" s="222"/>
      <c r="E543" s="222"/>
      <c r="F543" s="222"/>
      <c r="G543" s="222"/>
      <c r="H543" s="222"/>
      <c r="I543" s="222"/>
      <c r="J543" s="222"/>
      <c r="K543" s="222"/>
      <c r="L543" s="222"/>
      <c r="M543" s="222"/>
      <c r="N543" s="222"/>
      <c r="O543" s="222"/>
      <c r="P543" s="222"/>
      <c r="Q543" s="223"/>
      <c r="R543" s="222"/>
      <c r="S543" s="222"/>
      <c r="T543" s="222"/>
      <c r="U543" s="222"/>
      <c r="V543" s="222"/>
      <c r="W543" s="223"/>
      <c r="X543" s="223"/>
      <c r="Y543" s="222"/>
      <c r="Z543" s="222"/>
      <c r="AA543" s="222"/>
      <c r="AB543" s="224"/>
    </row>
    <row r="544" spans="1:28" ht="13.5" customHeight="1">
      <c r="A544" s="222"/>
      <c r="B544" s="222"/>
      <c r="C544" s="222"/>
      <c r="D544" s="222"/>
      <c r="E544" s="222"/>
      <c r="F544" s="222"/>
      <c r="G544" s="222"/>
      <c r="H544" s="222"/>
      <c r="I544" s="222"/>
      <c r="J544" s="222"/>
      <c r="K544" s="222"/>
      <c r="L544" s="222"/>
      <c r="M544" s="222"/>
      <c r="N544" s="222"/>
      <c r="O544" s="222"/>
      <c r="P544" s="222"/>
      <c r="Q544" s="223"/>
      <c r="R544" s="222"/>
      <c r="S544" s="222"/>
      <c r="T544" s="222"/>
      <c r="U544" s="222"/>
      <c r="V544" s="222"/>
      <c r="W544" s="223"/>
      <c r="X544" s="223"/>
      <c r="Y544" s="222"/>
      <c r="Z544" s="222"/>
      <c r="AA544" s="222"/>
      <c r="AB544" s="224"/>
    </row>
    <row r="545" spans="1:28" ht="13.5" customHeight="1">
      <c r="A545" s="222"/>
      <c r="B545" s="222"/>
      <c r="C545" s="222"/>
      <c r="D545" s="222"/>
      <c r="E545" s="222"/>
      <c r="F545" s="222"/>
      <c r="G545" s="222"/>
      <c r="H545" s="222"/>
      <c r="I545" s="222"/>
      <c r="J545" s="222"/>
      <c r="K545" s="222"/>
      <c r="L545" s="222"/>
      <c r="M545" s="222"/>
      <c r="N545" s="222"/>
      <c r="O545" s="222"/>
      <c r="P545" s="222"/>
      <c r="Q545" s="223"/>
      <c r="R545" s="222"/>
      <c r="S545" s="222"/>
      <c r="T545" s="222"/>
      <c r="U545" s="222"/>
      <c r="V545" s="222"/>
      <c r="W545" s="223"/>
      <c r="X545" s="223"/>
      <c r="Y545" s="222"/>
      <c r="Z545" s="222"/>
      <c r="AA545" s="222"/>
      <c r="AB545" s="224"/>
    </row>
    <row r="546" spans="1:28" ht="13.5" customHeight="1">
      <c r="A546" s="222"/>
      <c r="B546" s="222"/>
      <c r="C546" s="222"/>
      <c r="D546" s="222"/>
      <c r="E546" s="222"/>
      <c r="F546" s="222"/>
      <c r="G546" s="222"/>
      <c r="H546" s="222"/>
      <c r="I546" s="222"/>
      <c r="J546" s="222"/>
      <c r="K546" s="222"/>
      <c r="L546" s="222"/>
      <c r="M546" s="222"/>
      <c r="N546" s="222"/>
      <c r="O546" s="222"/>
      <c r="P546" s="222"/>
      <c r="Q546" s="223"/>
      <c r="R546" s="222"/>
      <c r="S546" s="222"/>
      <c r="T546" s="222"/>
      <c r="U546" s="222"/>
      <c r="V546" s="222"/>
      <c r="W546" s="223"/>
      <c r="X546" s="223"/>
      <c r="Y546" s="222"/>
      <c r="Z546" s="222"/>
      <c r="AA546" s="222"/>
      <c r="AB546" s="224"/>
    </row>
    <row r="547" spans="1:28" ht="13.5" customHeight="1">
      <c r="A547" s="222"/>
      <c r="B547" s="222"/>
      <c r="C547" s="222"/>
      <c r="D547" s="222"/>
      <c r="E547" s="222"/>
      <c r="F547" s="222"/>
      <c r="G547" s="222"/>
      <c r="H547" s="222"/>
      <c r="I547" s="222"/>
      <c r="J547" s="222"/>
      <c r="K547" s="222"/>
      <c r="L547" s="222"/>
      <c r="M547" s="222"/>
      <c r="N547" s="222"/>
      <c r="O547" s="222"/>
      <c r="P547" s="222"/>
      <c r="Q547" s="223"/>
      <c r="R547" s="222"/>
      <c r="S547" s="222"/>
      <c r="T547" s="222"/>
      <c r="U547" s="222"/>
      <c r="V547" s="222"/>
      <c r="W547" s="223"/>
      <c r="X547" s="223"/>
      <c r="Y547" s="222"/>
      <c r="Z547" s="222"/>
      <c r="AA547" s="222"/>
      <c r="AB547" s="224"/>
    </row>
    <row r="548" spans="1:28" ht="13.5" customHeight="1">
      <c r="A548" s="222"/>
      <c r="B548" s="222"/>
      <c r="C548" s="222"/>
      <c r="D548" s="222"/>
      <c r="E548" s="222"/>
      <c r="F548" s="222"/>
      <c r="G548" s="222"/>
      <c r="H548" s="222"/>
      <c r="I548" s="222"/>
      <c r="J548" s="222"/>
      <c r="K548" s="222"/>
      <c r="L548" s="222"/>
      <c r="M548" s="222"/>
      <c r="N548" s="222"/>
      <c r="O548" s="222"/>
      <c r="P548" s="222"/>
      <c r="Q548" s="223"/>
      <c r="R548" s="222"/>
      <c r="S548" s="222"/>
      <c r="T548" s="222"/>
      <c r="U548" s="222"/>
      <c r="V548" s="222"/>
      <c r="W548" s="223"/>
      <c r="X548" s="223"/>
      <c r="Y548" s="222"/>
      <c r="Z548" s="222"/>
      <c r="AA548" s="222"/>
      <c r="AB548" s="224"/>
    </row>
    <row r="549" spans="1:28" ht="13.5" customHeight="1">
      <c r="A549" s="222"/>
      <c r="B549" s="222"/>
      <c r="C549" s="222"/>
      <c r="D549" s="222"/>
      <c r="E549" s="222"/>
      <c r="F549" s="222"/>
      <c r="G549" s="222"/>
      <c r="H549" s="222"/>
      <c r="I549" s="222"/>
      <c r="J549" s="222"/>
      <c r="K549" s="222"/>
      <c r="L549" s="222"/>
      <c r="M549" s="222"/>
      <c r="N549" s="222"/>
      <c r="O549" s="222"/>
      <c r="P549" s="222"/>
      <c r="Q549" s="223"/>
      <c r="R549" s="222"/>
      <c r="S549" s="222"/>
      <c r="T549" s="222"/>
      <c r="U549" s="222"/>
      <c r="V549" s="222"/>
      <c r="W549" s="223"/>
      <c r="X549" s="223"/>
      <c r="Y549" s="222"/>
      <c r="Z549" s="222"/>
      <c r="AA549" s="222"/>
      <c r="AB549" s="224"/>
    </row>
    <row r="550" spans="1:28" ht="13.5" customHeight="1">
      <c r="A550" s="222"/>
      <c r="B550" s="222"/>
      <c r="C550" s="222"/>
      <c r="D550" s="222"/>
      <c r="E550" s="222"/>
      <c r="F550" s="222"/>
      <c r="G550" s="222"/>
      <c r="H550" s="222"/>
      <c r="I550" s="222"/>
      <c r="J550" s="222"/>
      <c r="K550" s="222"/>
      <c r="L550" s="222"/>
      <c r="M550" s="222"/>
      <c r="N550" s="222"/>
      <c r="O550" s="222"/>
      <c r="P550" s="222"/>
      <c r="Q550" s="223"/>
      <c r="R550" s="222"/>
      <c r="S550" s="222"/>
      <c r="T550" s="222"/>
      <c r="U550" s="222"/>
      <c r="V550" s="222"/>
      <c r="W550" s="223"/>
      <c r="X550" s="223"/>
      <c r="Y550" s="222"/>
      <c r="Z550" s="222"/>
      <c r="AA550" s="222"/>
      <c r="AB550" s="224"/>
    </row>
    <row r="551" spans="1:28" ht="13.5" customHeight="1">
      <c r="A551" s="222"/>
      <c r="B551" s="222"/>
      <c r="C551" s="222"/>
      <c r="D551" s="222"/>
      <c r="E551" s="222"/>
      <c r="F551" s="222"/>
      <c r="G551" s="222"/>
      <c r="H551" s="222"/>
      <c r="I551" s="222"/>
      <c r="J551" s="222"/>
      <c r="K551" s="222"/>
      <c r="L551" s="222"/>
      <c r="M551" s="222"/>
      <c r="N551" s="222"/>
      <c r="O551" s="222"/>
      <c r="P551" s="222"/>
      <c r="Q551" s="223"/>
      <c r="R551" s="222"/>
      <c r="S551" s="222"/>
      <c r="T551" s="222"/>
      <c r="U551" s="222"/>
      <c r="V551" s="222"/>
      <c r="W551" s="223"/>
      <c r="X551" s="223"/>
      <c r="Y551" s="222"/>
      <c r="Z551" s="222"/>
      <c r="AA551" s="222"/>
      <c r="AB551" s="224"/>
    </row>
    <row r="552" spans="1:28" ht="13.5" customHeight="1">
      <c r="A552" s="222"/>
      <c r="B552" s="222"/>
      <c r="C552" s="222"/>
      <c r="D552" s="222"/>
      <c r="E552" s="222"/>
      <c r="F552" s="222"/>
      <c r="G552" s="222"/>
      <c r="H552" s="222"/>
      <c r="I552" s="222"/>
      <c r="J552" s="222"/>
      <c r="K552" s="222"/>
      <c r="L552" s="222"/>
      <c r="M552" s="222"/>
      <c r="N552" s="222"/>
      <c r="O552" s="222"/>
      <c r="P552" s="222"/>
      <c r="Q552" s="223"/>
      <c r="R552" s="222"/>
      <c r="S552" s="222"/>
      <c r="T552" s="222"/>
      <c r="U552" s="222"/>
      <c r="V552" s="222"/>
      <c r="W552" s="223"/>
      <c r="X552" s="223"/>
      <c r="Y552" s="222"/>
      <c r="Z552" s="222"/>
      <c r="AA552" s="222"/>
      <c r="AB552" s="224"/>
    </row>
    <row r="553" spans="1:28" ht="13.5" customHeight="1">
      <c r="A553" s="222"/>
      <c r="B553" s="222"/>
      <c r="C553" s="222"/>
      <c r="D553" s="222"/>
      <c r="E553" s="222"/>
      <c r="F553" s="222"/>
      <c r="G553" s="222"/>
      <c r="H553" s="222"/>
      <c r="I553" s="222"/>
      <c r="J553" s="222"/>
      <c r="K553" s="222"/>
      <c r="L553" s="222"/>
      <c r="M553" s="222"/>
      <c r="N553" s="222"/>
      <c r="O553" s="222"/>
      <c r="P553" s="222"/>
      <c r="Q553" s="223"/>
      <c r="R553" s="222"/>
      <c r="S553" s="222"/>
      <c r="T553" s="222"/>
      <c r="U553" s="222"/>
      <c r="V553" s="222"/>
      <c r="W553" s="223"/>
      <c r="X553" s="223"/>
      <c r="Y553" s="222"/>
      <c r="Z553" s="222"/>
      <c r="AA553" s="222"/>
      <c r="AB553" s="224"/>
    </row>
    <row r="554" spans="1:28" ht="13.5" customHeight="1">
      <c r="A554" s="222"/>
      <c r="B554" s="222"/>
      <c r="C554" s="222"/>
      <c r="D554" s="222"/>
      <c r="E554" s="222"/>
      <c r="F554" s="222"/>
      <c r="G554" s="222"/>
      <c r="H554" s="222"/>
      <c r="I554" s="222"/>
      <c r="J554" s="222"/>
      <c r="K554" s="222"/>
      <c r="L554" s="222"/>
      <c r="M554" s="222"/>
      <c r="N554" s="222"/>
      <c r="O554" s="222"/>
      <c r="P554" s="222"/>
      <c r="Q554" s="223"/>
      <c r="R554" s="222"/>
      <c r="S554" s="222"/>
      <c r="T554" s="222"/>
      <c r="U554" s="222"/>
      <c r="V554" s="222"/>
      <c r="W554" s="223"/>
      <c r="X554" s="223"/>
      <c r="Y554" s="222"/>
      <c r="Z554" s="222"/>
      <c r="AA554" s="222"/>
      <c r="AB554" s="224"/>
    </row>
    <row r="555" spans="1:28" ht="13.5" customHeight="1">
      <c r="A555" s="222"/>
      <c r="B555" s="222"/>
      <c r="C555" s="222"/>
      <c r="D555" s="222"/>
      <c r="E555" s="222"/>
      <c r="F555" s="222"/>
      <c r="G555" s="222"/>
      <c r="H555" s="222"/>
      <c r="I555" s="222"/>
      <c r="J555" s="222"/>
      <c r="K555" s="222"/>
      <c r="L555" s="222"/>
      <c r="M555" s="222"/>
      <c r="N555" s="222"/>
      <c r="O555" s="222"/>
      <c r="P555" s="222"/>
      <c r="Q555" s="223"/>
      <c r="R555" s="222"/>
      <c r="S555" s="222"/>
      <c r="T555" s="222"/>
      <c r="U555" s="222"/>
      <c r="V555" s="222"/>
      <c r="W555" s="223"/>
      <c r="X555" s="223"/>
      <c r="Y555" s="222"/>
      <c r="Z555" s="222"/>
      <c r="AA555" s="222"/>
      <c r="AB555" s="224"/>
    </row>
    <row r="556" spans="1:28" ht="13.5" customHeight="1">
      <c r="A556" s="222"/>
      <c r="B556" s="222"/>
      <c r="C556" s="222"/>
      <c r="D556" s="222"/>
      <c r="E556" s="222"/>
      <c r="F556" s="222"/>
      <c r="G556" s="222"/>
      <c r="H556" s="222"/>
      <c r="I556" s="222"/>
      <c r="J556" s="222"/>
      <c r="K556" s="222"/>
      <c r="L556" s="222"/>
      <c r="M556" s="222"/>
      <c r="N556" s="222"/>
      <c r="O556" s="222"/>
      <c r="P556" s="222"/>
      <c r="Q556" s="223"/>
      <c r="R556" s="222"/>
      <c r="S556" s="222"/>
      <c r="T556" s="222"/>
      <c r="U556" s="222"/>
      <c r="V556" s="222"/>
      <c r="W556" s="223"/>
      <c r="X556" s="223"/>
      <c r="Y556" s="222"/>
      <c r="Z556" s="222"/>
      <c r="AA556" s="222"/>
      <c r="AB556" s="224"/>
    </row>
    <row r="557" spans="1:28" ht="13.5" customHeight="1">
      <c r="A557" s="222"/>
      <c r="B557" s="222"/>
      <c r="C557" s="222"/>
      <c r="D557" s="222"/>
      <c r="E557" s="222"/>
      <c r="F557" s="222"/>
      <c r="G557" s="222"/>
      <c r="H557" s="222"/>
      <c r="I557" s="222"/>
      <c r="J557" s="222"/>
      <c r="K557" s="222"/>
      <c r="L557" s="222"/>
      <c r="M557" s="222"/>
      <c r="N557" s="222"/>
      <c r="O557" s="222"/>
      <c r="P557" s="222"/>
      <c r="Q557" s="223"/>
      <c r="R557" s="222"/>
      <c r="S557" s="222"/>
      <c r="T557" s="222"/>
      <c r="U557" s="222"/>
      <c r="V557" s="222"/>
      <c r="W557" s="223"/>
      <c r="X557" s="223"/>
      <c r="Y557" s="222"/>
      <c r="Z557" s="222"/>
      <c r="AA557" s="222"/>
      <c r="AB557" s="224"/>
    </row>
    <row r="558" spans="1:28" ht="13.5" customHeight="1">
      <c r="A558" s="222"/>
      <c r="B558" s="222"/>
      <c r="C558" s="222"/>
      <c r="D558" s="222"/>
      <c r="E558" s="222"/>
      <c r="F558" s="222"/>
      <c r="G558" s="222"/>
      <c r="H558" s="222"/>
      <c r="I558" s="222"/>
      <c r="J558" s="222"/>
      <c r="K558" s="222"/>
      <c r="L558" s="222"/>
      <c r="M558" s="222"/>
      <c r="N558" s="222"/>
      <c r="O558" s="222"/>
      <c r="P558" s="222"/>
      <c r="Q558" s="223"/>
      <c r="R558" s="222"/>
      <c r="S558" s="222"/>
      <c r="T558" s="222"/>
      <c r="U558" s="222"/>
      <c r="V558" s="222"/>
      <c r="W558" s="223"/>
      <c r="X558" s="223"/>
      <c r="Y558" s="222"/>
      <c r="Z558" s="222"/>
      <c r="AA558" s="222"/>
      <c r="AB558" s="224"/>
    </row>
    <row r="559" spans="1:28" ht="13.5" customHeight="1">
      <c r="A559" s="222"/>
      <c r="B559" s="222"/>
      <c r="C559" s="222"/>
      <c r="D559" s="222"/>
      <c r="E559" s="222"/>
      <c r="F559" s="222"/>
      <c r="G559" s="222"/>
      <c r="H559" s="222"/>
      <c r="I559" s="222"/>
      <c r="J559" s="222"/>
      <c r="K559" s="222"/>
      <c r="L559" s="222"/>
      <c r="M559" s="222"/>
      <c r="N559" s="222"/>
      <c r="O559" s="222"/>
      <c r="P559" s="222"/>
      <c r="Q559" s="223"/>
      <c r="R559" s="222"/>
      <c r="S559" s="222"/>
      <c r="T559" s="222"/>
      <c r="U559" s="222"/>
      <c r="V559" s="222"/>
      <c r="W559" s="223"/>
      <c r="X559" s="223"/>
      <c r="Y559" s="222"/>
      <c r="Z559" s="222"/>
      <c r="AA559" s="222"/>
      <c r="AB559" s="224"/>
    </row>
    <row r="560" spans="1:28" ht="13.5" customHeight="1">
      <c r="A560" s="222"/>
      <c r="B560" s="222"/>
      <c r="C560" s="222"/>
      <c r="D560" s="222"/>
      <c r="E560" s="222"/>
      <c r="F560" s="222"/>
      <c r="G560" s="222"/>
      <c r="H560" s="222"/>
      <c r="I560" s="222"/>
      <c r="J560" s="222"/>
      <c r="K560" s="222"/>
      <c r="L560" s="222"/>
      <c r="M560" s="222"/>
      <c r="N560" s="222"/>
      <c r="O560" s="222"/>
      <c r="P560" s="222"/>
      <c r="Q560" s="223"/>
      <c r="R560" s="222"/>
      <c r="S560" s="222"/>
      <c r="T560" s="222"/>
      <c r="U560" s="222"/>
      <c r="V560" s="222"/>
      <c r="W560" s="223"/>
      <c r="X560" s="223"/>
      <c r="Y560" s="222"/>
      <c r="Z560" s="222"/>
      <c r="AA560" s="222"/>
      <c r="AB560" s="224"/>
    </row>
    <row r="561" spans="1:28" ht="13.5" customHeight="1">
      <c r="A561" s="222"/>
      <c r="B561" s="222"/>
      <c r="C561" s="222"/>
      <c r="D561" s="222"/>
      <c r="E561" s="222"/>
      <c r="F561" s="222"/>
      <c r="G561" s="222"/>
      <c r="H561" s="222"/>
      <c r="I561" s="222"/>
      <c r="J561" s="222"/>
      <c r="K561" s="222"/>
      <c r="L561" s="222"/>
      <c r="M561" s="222"/>
      <c r="N561" s="222"/>
      <c r="O561" s="222"/>
      <c r="P561" s="222"/>
      <c r="Q561" s="223"/>
      <c r="R561" s="222"/>
      <c r="S561" s="222"/>
      <c r="T561" s="222"/>
      <c r="U561" s="222"/>
      <c r="V561" s="222"/>
      <c r="W561" s="223"/>
      <c r="X561" s="223"/>
      <c r="Y561" s="222"/>
      <c r="Z561" s="222"/>
      <c r="AA561" s="222"/>
      <c r="AB561" s="224"/>
    </row>
    <row r="562" spans="1:28" ht="13.5" customHeight="1">
      <c r="A562" s="222"/>
      <c r="B562" s="222"/>
      <c r="C562" s="222"/>
      <c r="D562" s="222"/>
      <c r="E562" s="222"/>
      <c r="F562" s="222"/>
      <c r="G562" s="222"/>
      <c r="H562" s="222"/>
      <c r="I562" s="222"/>
      <c r="J562" s="222"/>
      <c r="K562" s="222"/>
      <c r="L562" s="222"/>
      <c r="M562" s="222"/>
      <c r="N562" s="222"/>
      <c r="O562" s="222"/>
      <c r="P562" s="222"/>
      <c r="Q562" s="223"/>
      <c r="R562" s="222"/>
      <c r="S562" s="222"/>
      <c r="T562" s="222"/>
      <c r="U562" s="222"/>
      <c r="V562" s="222"/>
      <c r="W562" s="223"/>
      <c r="X562" s="223"/>
      <c r="Y562" s="222"/>
      <c r="Z562" s="222"/>
      <c r="AA562" s="222"/>
      <c r="AB562" s="224"/>
    </row>
    <row r="563" spans="1:28" ht="13.5" customHeight="1">
      <c r="A563" s="222"/>
      <c r="B563" s="222"/>
      <c r="C563" s="222"/>
      <c r="D563" s="222"/>
      <c r="E563" s="222"/>
      <c r="F563" s="222"/>
      <c r="G563" s="222"/>
      <c r="H563" s="222"/>
      <c r="I563" s="222"/>
      <c r="J563" s="222"/>
      <c r="K563" s="222"/>
      <c r="L563" s="222"/>
      <c r="M563" s="222"/>
      <c r="N563" s="222"/>
      <c r="O563" s="222"/>
      <c r="P563" s="222"/>
      <c r="Q563" s="223"/>
      <c r="R563" s="222"/>
      <c r="S563" s="222"/>
      <c r="T563" s="222"/>
      <c r="U563" s="222"/>
      <c r="V563" s="222"/>
      <c r="W563" s="223"/>
      <c r="X563" s="223"/>
      <c r="Y563" s="222"/>
      <c r="Z563" s="222"/>
      <c r="AA563" s="222"/>
      <c r="AB563" s="224"/>
    </row>
    <row r="564" spans="1:28" ht="13.5" customHeight="1">
      <c r="A564" s="222"/>
      <c r="B564" s="222"/>
      <c r="C564" s="222"/>
      <c r="D564" s="222"/>
      <c r="E564" s="222"/>
      <c r="F564" s="222"/>
      <c r="G564" s="222"/>
      <c r="H564" s="222"/>
      <c r="I564" s="222"/>
      <c r="J564" s="222"/>
      <c r="K564" s="222"/>
      <c r="L564" s="222"/>
      <c r="M564" s="222"/>
      <c r="N564" s="222"/>
      <c r="O564" s="222"/>
      <c r="P564" s="222"/>
      <c r="Q564" s="223"/>
      <c r="R564" s="222"/>
      <c r="S564" s="222"/>
      <c r="T564" s="222"/>
      <c r="U564" s="222"/>
      <c r="V564" s="222"/>
      <c r="W564" s="223"/>
      <c r="X564" s="223"/>
      <c r="Y564" s="222"/>
      <c r="Z564" s="222"/>
      <c r="AA564" s="222"/>
      <c r="AB564" s="224"/>
    </row>
    <row r="565" spans="1:28" ht="13.5" customHeight="1">
      <c r="A565" s="222"/>
      <c r="B565" s="222"/>
      <c r="C565" s="222"/>
      <c r="D565" s="222"/>
      <c r="E565" s="222"/>
      <c r="F565" s="222"/>
      <c r="G565" s="222"/>
      <c r="H565" s="222"/>
      <c r="I565" s="222"/>
      <c r="J565" s="222"/>
      <c r="K565" s="222"/>
      <c r="L565" s="222"/>
      <c r="M565" s="222"/>
      <c r="N565" s="222"/>
      <c r="O565" s="222"/>
      <c r="P565" s="222"/>
      <c r="Q565" s="223"/>
      <c r="R565" s="222"/>
      <c r="S565" s="222"/>
      <c r="T565" s="222"/>
      <c r="U565" s="222"/>
      <c r="V565" s="222"/>
      <c r="W565" s="223"/>
      <c r="X565" s="223"/>
      <c r="Y565" s="222"/>
      <c r="Z565" s="222"/>
      <c r="AA565" s="222"/>
      <c r="AB565" s="224"/>
    </row>
    <row r="566" spans="1:28" ht="13.5" customHeight="1">
      <c r="A566" s="222"/>
      <c r="B566" s="222"/>
      <c r="C566" s="222"/>
      <c r="D566" s="222"/>
      <c r="E566" s="222"/>
      <c r="F566" s="222"/>
      <c r="G566" s="222"/>
      <c r="H566" s="222"/>
      <c r="I566" s="222"/>
      <c r="J566" s="222"/>
      <c r="K566" s="222"/>
      <c r="L566" s="222"/>
      <c r="M566" s="222"/>
      <c r="N566" s="222"/>
      <c r="O566" s="222"/>
      <c r="P566" s="222"/>
      <c r="Q566" s="223"/>
      <c r="R566" s="222"/>
      <c r="S566" s="222"/>
      <c r="T566" s="222"/>
      <c r="U566" s="222"/>
      <c r="V566" s="222"/>
      <c r="W566" s="223"/>
      <c r="X566" s="223"/>
      <c r="Y566" s="222"/>
      <c r="Z566" s="222"/>
      <c r="AA566" s="222"/>
      <c r="AB566" s="224"/>
    </row>
    <row r="567" spans="1:28" ht="13.5" customHeight="1">
      <c r="A567" s="222"/>
      <c r="B567" s="222"/>
      <c r="C567" s="222"/>
      <c r="D567" s="222"/>
      <c r="E567" s="222"/>
      <c r="F567" s="222"/>
      <c r="G567" s="222"/>
      <c r="H567" s="222"/>
      <c r="I567" s="222"/>
      <c r="J567" s="222"/>
      <c r="K567" s="222"/>
      <c r="L567" s="222"/>
      <c r="M567" s="222"/>
      <c r="N567" s="222"/>
      <c r="O567" s="222"/>
      <c r="P567" s="222"/>
      <c r="Q567" s="223"/>
      <c r="R567" s="222"/>
      <c r="S567" s="222"/>
      <c r="T567" s="222"/>
      <c r="U567" s="222"/>
      <c r="V567" s="222"/>
      <c r="W567" s="223"/>
      <c r="X567" s="223"/>
      <c r="Y567" s="222"/>
      <c r="Z567" s="222"/>
      <c r="AA567" s="222"/>
      <c r="AB567" s="224"/>
    </row>
    <row r="568" spans="1:28" ht="13.5" customHeight="1">
      <c r="A568" s="222"/>
      <c r="B568" s="222"/>
      <c r="C568" s="222"/>
      <c r="D568" s="222"/>
      <c r="E568" s="222"/>
      <c r="F568" s="222"/>
      <c r="G568" s="222"/>
      <c r="H568" s="222"/>
      <c r="I568" s="222"/>
      <c r="J568" s="222"/>
      <c r="K568" s="222"/>
      <c r="L568" s="222"/>
      <c r="M568" s="222"/>
      <c r="N568" s="222"/>
      <c r="O568" s="222"/>
      <c r="P568" s="222"/>
      <c r="Q568" s="223"/>
      <c r="R568" s="222"/>
      <c r="S568" s="222"/>
      <c r="T568" s="222"/>
      <c r="U568" s="222"/>
      <c r="V568" s="222"/>
      <c r="W568" s="223"/>
      <c r="X568" s="223"/>
      <c r="Y568" s="222"/>
      <c r="Z568" s="222"/>
      <c r="AA568" s="222"/>
      <c r="AB568" s="224"/>
    </row>
    <row r="569" spans="1:28" ht="13.5" customHeight="1">
      <c r="A569" s="222"/>
      <c r="B569" s="222"/>
      <c r="C569" s="222"/>
      <c r="D569" s="222"/>
      <c r="E569" s="222"/>
      <c r="F569" s="222"/>
      <c r="G569" s="222"/>
      <c r="H569" s="222"/>
      <c r="I569" s="222"/>
      <c r="J569" s="222"/>
      <c r="K569" s="222"/>
      <c r="L569" s="222"/>
      <c r="M569" s="222"/>
      <c r="N569" s="222"/>
      <c r="O569" s="222"/>
      <c r="P569" s="222"/>
      <c r="Q569" s="223"/>
      <c r="R569" s="222"/>
      <c r="S569" s="222"/>
      <c r="T569" s="222"/>
      <c r="U569" s="222"/>
      <c r="V569" s="222"/>
      <c r="W569" s="223"/>
      <c r="X569" s="223"/>
      <c r="Y569" s="222"/>
      <c r="Z569" s="222"/>
      <c r="AA569" s="222"/>
      <c r="AB569" s="224"/>
    </row>
    <row r="570" spans="1:28" ht="13.5" customHeight="1">
      <c r="A570" s="222"/>
      <c r="B570" s="222"/>
      <c r="C570" s="222"/>
      <c r="D570" s="222"/>
      <c r="E570" s="222"/>
      <c r="F570" s="222"/>
      <c r="G570" s="222"/>
      <c r="H570" s="222"/>
      <c r="I570" s="222"/>
      <c r="J570" s="222"/>
      <c r="K570" s="222"/>
      <c r="L570" s="222"/>
      <c r="M570" s="222"/>
      <c r="N570" s="222"/>
      <c r="O570" s="222"/>
      <c r="P570" s="222"/>
      <c r="Q570" s="223"/>
      <c r="R570" s="222"/>
      <c r="S570" s="222"/>
      <c r="T570" s="222"/>
      <c r="U570" s="222"/>
      <c r="V570" s="222"/>
      <c r="W570" s="223"/>
      <c r="X570" s="223"/>
      <c r="Y570" s="222"/>
      <c r="Z570" s="222"/>
      <c r="AA570" s="222"/>
      <c r="AB570" s="224"/>
    </row>
    <row r="571" spans="1:28" ht="13.5" customHeight="1">
      <c r="A571" s="222"/>
      <c r="B571" s="222"/>
      <c r="C571" s="222"/>
      <c r="D571" s="222"/>
      <c r="E571" s="222"/>
      <c r="F571" s="222"/>
      <c r="G571" s="222"/>
      <c r="H571" s="222"/>
      <c r="I571" s="222"/>
      <c r="J571" s="222"/>
      <c r="K571" s="222"/>
      <c r="L571" s="222"/>
      <c r="M571" s="222"/>
      <c r="N571" s="222"/>
      <c r="O571" s="222"/>
      <c r="P571" s="222"/>
      <c r="Q571" s="223"/>
      <c r="R571" s="222"/>
      <c r="S571" s="222"/>
      <c r="T571" s="222"/>
      <c r="U571" s="222"/>
      <c r="V571" s="222"/>
      <c r="W571" s="223"/>
      <c r="X571" s="223"/>
      <c r="Y571" s="222"/>
      <c r="Z571" s="222"/>
      <c r="AA571" s="222"/>
      <c r="AB571" s="224"/>
    </row>
    <row r="572" spans="1:28" ht="13.5" customHeight="1">
      <c r="A572" s="222"/>
      <c r="B572" s="222"/>
      <c r="C572" s="222"/>
      <c r="D572" s="222"/>
      <c r="E572" s="222"/>
      <c r="F572" s="222"/>
      <c r="G572" s="222"/>
      <c r="H572" s="222"/>
      <c r="I572" s="222"/>
      <c r="J572" s="222"/>
      <c r="K572" s="222"/>
      <c r="L572" s="222"/>
      <c r="M572" s="222"/>
      <c r="N572" s="222"/>
      <c r="O572" s="222"/>
      <c r="P572" s="222"/>
      <c r="Q572" s="223"/>
      <c r="R572" s="222"/>
      <c r="S572" s="222"/>
      <c r="T572" s="222"/>
      <c r="U572" s="222"/>
      <c r="V572" s="222"/>
      <c r="W572" s="223"/>
      <c r="X572" s="223"/>
      <c r="Y572" s="222"/>
      <c r="Z572" s="222"/>
      <c r="AA572" s="222"/>
      <c r="AB572" s="224"/>
    </row>
    <row r="573" spans="1:28" ht="13.5" customHeight="1">
      <c r="A573" s="222"/>
      <c r="B573" s="222"/>
      <c r="C573" s="222"/>
      <c r="D573" s="222"/>
      <c r="E573" s="222"/>
      <c r="F573" s="222"/>
      <c r="G573" s="222"/>
      <c r="H573" s="222"/>
      <c r="I573" s="222"/>
      <c r="J573" s="222"/>
      <c r="K573" s="222"/>
      <c r="L573" s="222"/>
      <c r="M573" s="222"/>
      <c r="N573" s="222"/>
      <c r="O573" s="222"/>
      <c r="P573" s="222"/>
      <c r="Q573" s="223"/>
      <c r="R573" s="222"/>
      <c r="S573" s="222"/>
      <c r="T573" s="222"/>
      <c r="U573" s="222"/>
      <c r="V573" s="222"/>
      <c r="W573" s="223"/>
      <c r="X573" s="223"/>
      <c r="Y573" s="222"/>
      <c r="Z573" s="222"/>
      <c r="AA573" s="222"/>
      <c r="AB573" s="224"/>
    </row>
    <row r="574" spans="1:28" ht="13.5" customHeight="1">
      <c r="A574" s="222"/>
      <c r="B574" s="222"/>
      <c r="C574" s="222"/>
      <c r="D574" s="222"/>
      <c r="E574" s="222"/>
      <c r="F574" s="222"/>
      <c r="G574" s="222"/>
      <c r="H574" s="222"/>
      <c r="I574" s="222"/>
      <c r="J574" s="222"/>
      <c r="K574" s="222"/>
      <c r="L574" s="222"/>
      <c r="M574" s="222"/>
      <c r="N574" s="222"/>
      <c r="O574" s="222"/>
      <c r="P574" s="222"/>
      <c r="Q574" s="223"/>
      <c r="R574" s="222"/>
      <c r="S574" s="222"/>
      <c r="T574" s="222"/>
      <c r="U574" s="222"/>
      <c r="V574" s="222"/>
      <c r="W574" s="223"/>
      <c r="X574" s="223"/>
      <c r="Y574" s="222"/>
      <c r="Z574" s="222"/>
      <c r="AA574" s="222"/>
      <c r="AB574" s="224"/>
    </row>
    <row r="575" spans="1:28" ht="13.5" customHeight="1">
      <c r="A575" s="222"/>
      <c r="B575" s="222"/>
      <c r="C575" s="222"/>
      <c r="D575" s="222"/>
      <c r="E575" s="222"/>
      <c r="F575" s="222"/>
      <c r="G575" s="222"/>
      <c r="H575" s="222"/>
      <c r="I575" s="222"/>
      <c r="J575" s="222"/>
      <c r="K575" s="222"/>
      <c r="L575" s="222"/>
      <c r="M575" s="222"/>
      <c r="N575" s="222"/>
      <c r="O575" s="222"/>
      <c r="P575" s="222"/>
      <c r="Q575" s="223"/>
      <c r="R575" s="222"/>
      <c r="S575" s="222"/>
      <c r="T575" s="222"/>
      <c r="U575" s="222"/>
      <c r="V575" s="222"/>
      <c r="W575" s="223"/>
      <c r="X575" s="223"/>
      <c r="Y575" s="222"/>
      <c r="Z575" s="222"/>
      <c r="AA575" s="222"/>
      <c r="AB575" s="224"/>
    </row>
    <row r="576" spans="1:28" ht="13.5" customHeight="1">
      <c r="A576" s="222"/>
      <c r="B576" s="222"/>
      <c r="C576" s="222"/>
      <c r="D576" s="222"/>
      <c r="E576" s="222"/>
      <c r="F576" s="222"/>
      <c r="G576" s="222"/>
      <c r="H576" s="222"/>
      <c r="I576" s="222"/>
      <c r="J576" s="222"/>
      <c r="K576" s="222"/>
      <c r="L576" s="222"/>
      <c r="M576" s="222"/>
      <c r="N576" s="222"/>
      <c r="O576" s="222"/>
      <c r="P576" s="222"/>
      <c r="Q576" s="223"/>
      <c r="R576" s="222"/>
      <c r="S576" s="222"/>
      <c r="T576" s="222"/>
      <c r="U576" s="222"/>
      <c r="V576" s="222"/>
      <c r="W576" s="223"/>
      <c r="X576" s="223"/>
      <c r="Y576" s="222"/>
      <c r="Z576" s="222"/>
      <c r="AA576" s="222"/>
      <c r="AB576" s="224"/>
    </row>
    <row r="577" spans="1:28" ht="13.5" customHeight="1">
      <c r="A577" s="222"/>
      <c r="B577" s="222"/>
      <c r="C577" s="222"/>
      <c r="D577" s="222"/>
      <c r="E577" s="222"/>
      <c r="F577" s="222"/>
      <c r="G577" s="222"/>
      <c r="H577" s="222"/>
      <c r="I577" s="222"/>
      <c r="J577" s="222"/>
      <c r="K577" s="222"/>
      <c r="L577" s="222"/>
      <c r="M577" s="222"/>
      <c r="N577" s="222"/>
      <c r="O577" s="222"/>
      <c r="P577" s="222"/>
      <c r="Q577" s="223"/>
      <c r="R577" s="222"/>
      <c r="S577" s="222"/>
      <c r="T577" s="222"/>
      <c r="U577" s="222"/>
      <c r="V577" s="222"/>
      <c r="W577" s="223"/>
      <c r="X577" s="223"/>
      <c r="Y577" s="222"/>
      <c r="Z577" s="222"/>
      <c r="AA577" s="222"/>
      <c r="AB577" s="224"/>
    </row>
    <row r="578" spans="1:28" ht="13.5" customHeight="1">
      <c r="A578" s="222"/>
      <c r="B578" s="222"/>
      <c r="C578" s="222"/>
      <c r="D578" s="222"/>
      <c r="E578" s="222"/>
      <c r="F578" s="222"/>
      <c r="G578" s="222"/>
      <c r="H578" s="222"/>
      <c r="I578" s="222"/>
      <c r="J578" s="222"/>
      <c r="K578" s="222"/>
      <c r="L578" s="222"/>
      <c r="M578" s="222"/>
      <c r="N578" s="222"/>
      <c r="O578" s="222"/>
      <c r="P578" s="222"/>
      <c r="Q578" s="223"/>
      <c r="R578" s="222"/>
      <c r="S578" s="222"/>
      <c r="T578" s="222"/>
      <c r="U578" s="222"/>
      <c r="V578" s="222"/>
      <c r="W578" s="223"/>
      <c r="X578" s="223"/>
      <c r="Y578" s="222"/>
      <c r="Z578" s="222"/>
      <c r="AA578" s="222"/>
      <c r="AB578" s="224"/>
    </row>
    <row r="579" spans="1:28" ht="13.5" customHeight="1">
      <c r="A579" s="222"/>
      <c r="B579" s="222"/>
      <c r="C579" s="222"/>
      <c r="D579" s="222"/>
      <c r="E579" s="222"/>
      <c r="F579" s="222"/>
      <c r="G579" s="222"/>
      <c r="H579" s="222"/>
      <c r="I579" s="222"/>
      <c r="J579" s="222"/>
      <c r="K579" s="222"/>
      <c r="L579" s="222"/>
      <c r="M579" s="222"/>
      <c r="N579" s="222"/>
      <c r="O579" s="222"/>
      <c r="P579" s="222"/>
      <c r="Q579" s="223"/>
      <c r="R579" s="222"/>
      <c r="S579" s="222"/>
      <c r="T579" s="222"/>
      <c r="U579" s="222"/>
      <c r="V579" s="222"/>
      <c r="W579" s="223"/>
      <c r="X579" s="223"/>
      <c r="Y579" s="222"/>
      <c r="Z579" s="222"/>
      <c r="AA579" s="222"/>
      <c r="AB579" s="224"/>
    </row>
    <row r="580" spans="1:28" ht="13.5" customHeight="1">
      <c r="A580" s="222"/>
      <c r="B580" s="222"/>
      <c r="C580" s="222"/>
      <c r="D580" s="222"/>
      <c r="E580" s="222"/>
      <c r="F580" s="222"/>
      <c r="G580" s="222"/>
      <c r="H580" s="222"/>
      <c r="I580" s="222"/>
      <c r="J580" s="222"/>
      <c r="K580" s="222"/>
      <c r="L580" s="222"/>
      <c r="M580" s="222"/>
      <c r="N580" s="222"/>
      <c r="O580" s="222"/>
      <c r="P580" s="222"/>
      <c r="Q580" s="223"/>
      <c r="R580" s="222"/>
      <c r="S580" s="222"/>
      <c r="T580" s="222"/>
      <c r="U580" s="222"/>
      <c r="V580" s="222"/>
      <c r="W580" s="223"/>
      <c r="X580" s="223"/>
      <c r="Y580" s="222"/>
      <c r="Z580" s="222"/>
      <c r="AA580" s="222"/>
      <c r="AB580" s="224"/>
    </row>
    <row r="581" spans="1:28" ht="13.5" customHeight="1">
      <c r="A581" s="222"/>
      <c r="B581" s="222"/>
      <c r="C581" s="222"/>
      <c r="D581" s="222"/>
      <c r="E581" s="222"/>
      <c r="F581" s="222"/>
      <c r="G581" s="222"/>
      <c r="H581" s="222"/>
      <c r="I581" s="222"/>
      <c r="J581" s="222"/>
      <c r="K581" s="222"/>
      <c r="L581" s="222"/>
      <c r="M581" s="222"/>
      <c r="N581" s="222"/>
      <c r="O581" s="222"/>
      <c r="P581" s="222"/>
      <c r="Q581" s="223"/>
      <c r="R581" s="222"/>
      <c r="S581" s="222"/>
      <c r="T581" s="222"/>
      <c r="U581" s="222"/>
      <c r="V581" s="222"/>
      <c r="W581" s="223"/>
      <c r="X581" s="223"/>
      <c r="Y581" s="222"/>
      <c r="Z581" s="222"/>
      <c r="AA581" s="222"/>
      <c r="AB581" s="224"/>
    </row>
    <row r="582" spans="1:28" ht="13.5" customHeight="1">
      <c r="A582" s="222"/>
      <c r="B582" s="222"/>
      <c r="C582" s="222"/>
      <c r="D582" s="222"/>
      <c r="E582" s="222"/>
      <c r="F582" s="222"/>
      <c r="G582" s="222"/>
      <c r="H582" s="222"/>
      <c r="I582" s="222"/>
      <c r="J582" s="222"/>
      <c r="K582" s="222"/>
      <c r="L582" s="222"/>
      <c r="M582" s="222"/>
      <c r="N582" s="222"/>
      <c r="O582" s="222"/>
      <c r="P582" s="222"/>
      <c r="Q582" s="223"/>
      <c r="R582" s="222"/>
      <c r="S582" s="222"/>
      <c r="T582" s="222"/>
      <c r="U582" s="222"/>
      <c r="V582" s="222"/>
      <c r="W582" s="223"/>
      <c r="X582" s="223"/>
      <c r="Y582" s="222"/>
      <c r="Z582" s="222"/>
      <c r="AA582" s="222"/>
      <c r="AB582" s="224"/>
    </row>
    <row r="583" spans="1:28" ht="13.5" customHeight="1">
      <c r="A583" s="222"/>
      <c r="B583" s="222"/>
      <c r="C583" s="222"/>
      <c r="D583" s="222"/>
      <c r="E583" s="222"/>
      <c r="F583" s="222"/>
      <c r="G583" s="222"/>
      <c r="H583" s="222"/>
      <c r="I583" s="222"/>
      <c r="J583" s="222"/>
      <c r="K583" s="222"/>
      <c r="L583" s="222"/>
      <c r="M583" s="222"/>
      <c r="N583" s="222"/>
      <c r="O583" s="222"/>
      <c r="P583" s="222"/>
      <c r="Q583" s="223"/>
      <c r="R583" s="222"/>
      <c r="S583" s="222"/>
      <c r="T583" s="222"/>
      <c r="U583" s="222"/>
      <c r="V583" s="222"/>
      <c r="W583" s="223"/>
      <c r="X583" s="223"/>
      <c r="Y583" s="222"/>
      <c r="Z583" s="222"/>
      <c r="AA583" s="222"/>
      <c r="AB583" s="224"/>
    </row>
    <row r="584" spans="1:28" ht="13.5" customHeight="1">
      <c r="A584" s="222"/>
      <c r="B584" s="222"/>
      <c r="C584" s="222"/>
      <c r="D584" s="222"/>
      <c r="E584" s="222"/>
      <c r="F584" s="222"/>
      <c r="G584" s="222"/>
      <c r="H584" s="222"/>
      <c r="I584" s="222"/>
      <c r="J584" s="222"/>
      <c r="K584" s="222"/>
      <c r="L584" s="222"/>
      <c r="M584" s="222"/>
      <c r="N584" s="222"/>
      <c r="O584" s="222"/>
      <c r="P584" s="222"/>
      <c r="Q584" s="223"/>
      <c r="R584" s="222"/>
      <c r="S584" s="222"/>
      <c r="T584" s="222"/>
      <c r="U584" s="222"/>
      <c r="V584" s="222"/>
      <c r="W584" s="223"/>
      <c r="X584" s="223"/>
      <c r="Y584" s="222"/>
      <c r="Z584" s="222"/>
      <c r="AA584" s="222"/>
      <c r="AB584" s="224"/>
    </row>
    <row r="585" spans="1:28" ht="13.5" customHeight="1">
      <c r="A585" s="222"/>
      <c r="B585" s="222"/>
      <c r="C585" s="222"/>
      <c r="D585" s="222"/>
      <c r="E585" s="222"/>
      <c r="F585" s="222"/>
      <c r="G585" s="222"/>
      <c r="H585" s="222"/>
      <c r="I585" s="222"/>
      <c r="J585" s="222"/>
      <c r="K585" s="222"/>
      <c r="L585" s="222"/>
      <c r="M585" s="222"/>
      <c r="N585" s="222"/>
      <c r="O585" s="222"/>
      <c r="P585" s="222"/>
      <c r="Q585" s="223"/>
      <c r="R585" s="222"/>
      <c r="S585" s="222"/>
      <c r="T585" s="222"/>
      <c r="U585" s="222"/>
      <c r="V585" s="222"/>
      <c r="W585" s="223"/>
      <c r="X585" s="223"/>
      <c r="Y585" s="222"/>
      <c r="Z585" s="222"/>
      <c r="AA585" s="222"/>
      <c r="AB585" s="224"/>
    </row>
    <row r="586" spans="1:28" ht="13.5" customHeight="1">
      <c r="A586" s="222"/>
      <c r="B586" s="222"/>
      <c r="C586" s="222"/>
      <c r="D586" s="222"/>
      <c r="E586" s="222"/>
      <c r="F586" s="222"/>
      <c r="G586" s="222"/>
      <c r="H586" s="222"/>
      <c r="I586" s="222"/>
      <c r="J586" s="222"/>
      <c r="K586" s="222"/>
      <c r="L586" s="222"/>
      <c r="M586" s="222"/>
      <c r="N586" s="222"/>
      <c r="O586" s="222"/>
      <c r="P586" s="222"/>
      <c r="Q586" s="223"/>
      <c r="R586" s="222"/>
      <c r="S586" s="222"/>
      <c r="T586" s="222"/>
      <c r="U586" s="222"/>
      <c r="V586" s="222"/>
      <c r="W586" s="223"/>
      <c r="X586" s="223"/>
      <c r="Y586" s="222"/>
      <c r="Z586" s="222"/>
      <c r="AA586" s="222"/>
      <c r="AB586" s="224"/>
    </row>
    <row r="587" spans="1:28" ht="13.5" customHeight="1">
      <c r="A587" s="222"/>
      <c r="B587" s="222"/>
      <c r="C587" s="222"/>
      <c r="D587" s="222"/>
      <c r="E587" s="222"/>
      <c r="F587" s="222"/>
      <c r="G587" s="222"/>
      <c r="H587" s="222"/>
      <c r="I587" s="222"/>
      <c r="J587" s="222"/>
      <c r="K587" s="222"/>
      <c r="L587" s="222"/>
      <c r="M587" s="222"/>
      <c r="N587" s="222"/>
      <c r="O587" s="222"/>
      <c r="P587" s="222"/>
      <c r="Q587" s="223"/>
      <c r="R587" s="222"/>
      <c r="S587" s="222"/>
      <c r="T587" s="222"/>
      <c r="U587" s="222"/>
      <c r="V587" s="222"/>
      <c r="W587" s="223"/>
      <c r="X587" s="223"/>
      <c r="Y587" s="222"/>
      <c r="Z587" s="222"/>
      <c r="AA587" s="222"/>
      <c r="AB587" s="224"/>
    </row>
    <row r="588" spans="1:28" ht="13.5" customHeight="1">
      <c r="A588" s="222"/>
      <c r="B588" s="222"/>
      <c r="C588" s="222"/>
      <c r="D588" s="222"/>
      <c r="E588" s="222"/>
      <c r="F588" s="222"/>
      <c r="G588" s="222"/>
      <c r="H588" s="222"/>
      <c r="I588" s="222"/>
      <c r="J588" s="222"/>
      <c r="K588" s="222"/>
      <c r="L588" s="222"/>
      <c r="M588" s="222"/>
      <c r="N588" s="222"/>
      <c r="O588" s="222"/>
      <c r="P588" s="222"/>
      <c r="Q588" s="223"/>
      <c r="R588" s="222"/>
      <c r="S588" s="222"/>
      <c r="T588" s="222"/>
      <c r="U588" s="222"/>
      <c r="V588" s="222"/>
      <c r="W588" s="223"/>
      <c r="X588" s="223"/>
      <c r="Y588" s="222"/>
      <c r="Z588" s="222"/>
      <c r="AA588" s="222"/>
      <c r="AB588" s="224"/>
    </row>
    <row r="589" spans="1:28" ht="13.5" customHeight="1">
      <c r="A589" s="222"/>
      <c r="B589" s="222"/>
      <c r="C589" s="222"/>
      <c r="D589" s="222"/>
      <c r="E589" s="222"/>
      <c r="F589" s="222"/>
      <c r="G589" s="222"/>
      <c r="H589" s="222"/>
      <c r="I589" s="222"/>
      <c r="J589" s="222"/>
      <c r="K589" s="222"/>
      <c r="L589" s="222"/>
      <c r="M589" s="222"/>
      <c r="N589" s="222"/>
      <c r="O589" s="222"/>
      <c r="P589" s="222"/>
      <c r="Q589" s="223"/>
      <c r="R589" s="222"/>
      <c r="S589" s="222"/>
      <c r="T589" s="222"/>
      <c r="U589" s="222"/>
      <c r="V589" s="222"/>
      <c r="W589" s="223"/>
      <c r="X589" s="223"/>
      <c r="Y589" s="222"/>
      <c r="Z589" s="222"/>
      <c r="AA589" s="222"/>
      <c r="AB589" s="224"/>
    </row>
    <row r="590" spans="1:28" ht="13.5" customHeight="1">
      <c r="A590" s="222"/>
      <c r="B590" s="222"/>
      <c r="C590" s="222"/>
      <c r="D590" s="222"/>
      <c r="E590" s="222"/>
      <c r="F590" s="222"/>
      <c r="G590" s="222"/>
      <c r="H590" s="222"/>
      <c r="I590" s="222"/>
      <c r="J590" s="222"/>
      <c r="K590" s="222"/>
      <c r="L590" s="222"/>
      <c r="M590" s="222"/>
      <c r="N590" s="222"/>
      <c r="O590" s="222"/>
      <c r="P590" s="222"/>
      <c r="Q590" s="223"/>
      <c r="R590" s="222"/>
      <c r="S590" s="222"/>
      <c r="T590" s="222"/>
      <c r="U590" s="222"/>
      <c r="V590" s="222"/>
      <c r="W590" s="223"/>
      <c r="X590" s="223"/>
      <c r="Y590" s="222"/>
      <c r="Z590" s="222"/>
      <c r="AA590" s="222"/>
      <c r="AB590" s="224"/>
    </row>
    <row r="591" spans="1:28" ht="13.5" customHeight="1">
      <c r="A591" s="222"/>
      <c r="B591" s="222"/>
      <c r="C591" s="222"/>
      <c r="D591" s="222"/>
      <c r="E591" s="222"/>
      <c r="F591" s="222"/>
      <c r="G591" s="222"/>
      <c r="H591" s="222"/>
      <c r="I591" s="222"/>
      <c r="J591" s="222"/>
      <c r="K591" s="222"/>
      <c r="L591" s="222"/>
      <c r="M591" s="222"/>
      <c r="N591" s="222"/>
      <c r="O591" s="222"/>
      <c r="P591" s="222"/>
      <c r="Q591" s="223"/>
      <c r="R591" s="222"/>
      <c r="S591" s="222"/>
      <c r="T591" s="222"/>
      <c r="U591" s="222"/>
      <c r="V591" s="222"/>
      <c r="W591" s="223"/>
      <c r="X591" s="223"/>
      <c r="Y591" s="222"/>
      <c r="Z591" s="222"/>
      <c r="AA591" s="222"/>
      <c r="AB591" s="224"/>
    </row>
    <row r="592" spans="1:28" ht="13.5" customHeight="1">
      <c r="A592" s="222"/>
      <c r="B592" s="222"/>
      <c r="C592" s="222"/>
      <c r="D592" s="222"/>
      <c r="E592" s="222"/>
      <c r="F592" s="222"/>
      <c r="G592" s="222"/>
      <c r="H592" s="222"/>
      <c r="I592" s="222"/>
      <c r="J592" s="222"/>
      <c r="K592" s="222"/>
      <c r="L592" s="222"/>
      <c r="M592" s="222"/>
      <c r="N592" s="222"/>
      <c r="O592" s="222"/>
      <c r="P592" s="222"/>
      <c r="Q592" s="223"/>
      <c r="R592" s="222"/>
      <c r="S592" s="222"/>
      <c r="T592" s="222"/>
      <c r="U592" s="222"/>
      <c r="V592" s="222"/>
      <c r="W592" s="223"/>
      <c r="X592" s="223"/>
      <c r="Y592" s="222"/>
      <c r="Z592" s="222"/>
      <c r="AA592" s="222"/>
      <c r="AB592" s="224"/>
    </row>
    <row r="593" spans="1:28" ht="13.5" customHeight="1">
      <c r="A593" s="222"/>
      <c r="B593" s="222"/>
      <c r="C593" s="222"/>
      <c r="D593" s="222"/>
      <c r="E593" s="222"/>
      <c r="F593" s="222"/>
      <c r="G593" s="222"/>
      <c r="H593" s="222"/>
      <c r="I593" s="222"/>
      <c r="J593" s="222"/>
      <c r="K593" s="222"/>
      <c r="L593" s="222"/>
      <c r="M593" s="222"/>
      <c r="N593" s="222"/>
      <c r="O593" s="222"/>
      <c r="P593" s="222"/>
      <c r="Q593" s="223"/>
      <c r="R593" s="222"/>
      <c r="S593" s="222"/>
      <c r="T593" s="222"/>
      <c r="U593" s="222"/>
      <c r="V593" s="222"/>
      <c r="W593" s="223"/>
      <c r="X593" s="223"/>
      <c r="Y593" s="222"/>
      <c r="Z593" s="222"/>
      <c r="AA593" s="222"/>
      <c r="AB593" s="224"/>
    </row>
    <row r="594" spans="1:28" ht="13.5" customHeight="1">
      <c r="A594" s="222"/>
      <c r="B594" s="222"/>
      <c r="C594" s="222"/>
      <c r="D594" s="222"/>
      <c r="E594" s="222"/>
      <c r="F594" s="222"/>
      <c r="G594" s="222"/>
      <c r="H594" s="222"/>
      <c r="I594" s="222"/>
      <c r="J594" s="222"/>
      <c r="K594" s="222"/>
      <c r="L594" s="222"/>
      <c r="M594" s="222"/>
      <c r="N594" s="222"/>
      <c r="O594" s="222"/>
      <c r="P594" s="222"/>
      <c r="Q594" s="223"/>
      <c r="R594" s="222"/>
      <c r="S594" s="222"/>
      <c r="T594" s="222"/>
      <c r="U594" s="222"/>
      <c r="V594" s="222"/>
      <c r="W594" s="223"/>
      <c r="X594" s="223"/>
      <c r="Y594" s="222"/>
      <c r="Z594" s="222"/>
      <c r="AA594" s="222"/>
      <c r="AB594" s="224"/>
    </row>
    <row r="595" spans="1:28" ht="13.5" customHeight="1">
      <c r="A595" s="222"/>
      <c r="B595" s="222"/>
      <c r="C595" s="222"/>
      <c r="D595" s="222"/>
      <c r="E595" s="222"/>
      <c r="F595" s="222"/>
      <c r="G595" s="222"/>
      <c r="H595" s="222"/>
      <c r="I595" s="222"/>
      <c r="J595" s="222"/>
      <c r="K595" s="222"/>
      <c r="L595" s="222"/>
      <c r="M595" s="222"/>
      <c r="N595" s="222"/>
      <c r="O595" s="222"/>
      <c r="P595" s="222"/>
      <c r="Q595" s="223"/>
      <c r="R595" s="222"/>
      <c r="S595" s="222"/>
      <c r="T595" s="222"/>
      <c r="U595" s="222"/>
      <c r="V595" s="222"/>
      <c r="W595" s="223"/>
      <c r="X595" s="223"/>
      <c r="Y595" s="222"/>
      <c r="Z595" s="222"/>
      <c r="AA595" s="222"/>
      <c r="AB595" s="224"/>
    </row>
    <row r="596" spans="1:28" ht="13.5" customHeight="1">
      <c r="A596" s="222"/>
      <c r="B596" s="222"/>
      <c r="C596" s="222"/>
      <c r="D596" s="222"/>
      <c r="E596" s="222"/>
      <c r="F596" s="222"/>
      <c r="G596" s="222"/>
      <c r="H596" s="222"/>
      <c r="I596" s="222"/>
      <c r="J596" s="222"/>
      <c r="K596" s="222"/>
      <c r="L596" s="222"/>
      <c r="M596" s="222"/>
      <c r="N596" s="222"/>
      <c r="O596" s="222"/>
      <c r="P596" s="222"/>
      <c r="Q596" s="223"/>
      <c r="R596" s="222"/>
      <c r="S596" s="222"/>
      <c r="T596" s="222"/>
      <c r="U596" s="222"/>
      <c r="V596" s="222"/>
      <c r="W596" s="223"/>
      <c r="X596" s="223"/>
      <c r="Y596" s="222"/>
      <c r="Z596" s="222"/>
      <c r="AA596" s="222"/>
      <c r="AB596" s="224"/>
    </row>
    <row r="597" spans="1:28" ht="13.5" customHeight="1">
      <c r="A597" s="222"/>
      <c r="B597" s="222"/>
      <c r="C597" s="222"/>
      <c r="D597" s="222"/>
      <c r="E597" s="222"/>
      <c r="F597" s="222"/>
      <c r="G597" s="222"/>
      <c r="H597" s="222"/>
      <c r="I597" s="222"/>
      <c r="J597" s="222"/>
      <c r="K597" s="222"/>
      <c r="L597" s="222"/>
      <c r="M597" s="222"/>
      <c r="N597" s="222"/>
      <c r="O597" s="222"/>
      <c r="P597" s="222"/>
      <c r="Q597" s="223"/>
      <c r="R597" s="222"/>
      <c r="S597" s="222"/>
      <c r="T597" s="222"/>
      <c r="U597" s="222"/>
      <c r="V597" s="222"/>
      <c r="W597" s="223"/>
      <c r="X597" s="223"/>
      <c r="Y597" s="222"/>
      <c r="Z597" s="222"/>
      <c r="AA597" s="222"/>
      <c r="AB597" s="224"/>
    </row>
    <row r="598" spans="1:28" ht="13.5" customHeight="1">
      <c r="A598" s="222"/>
      <c r="B598" s="222"/>
      <c r="C598" s="222"/>
      <c r="D598" s="222"/>
      <c r="E598" s="222"/>
      <c r="F598" s="222"/>
      <c r="G598" s="222"/>
      <c r="H598" s="222"/>
      <c r="I598" s="222"/>
      <c r="J598" s="222"/>
      <c r="K598" s="222"/>
      <c r="L598" s="222"/>
      <c r="M598" s="222"/>
      <c r="N598" s="222"/>
      <c r="O598" s="222"/>
      <c r="P598" s="222"/>
      <c r="Q598" s="223"/>
      <c r="R598" s="222"/>
      <c r="S598" s="222"/>
      <c r="T598" s="222"/>
      <c r="U598" s="222"/>
      <c r="V598" s="222"/>
      <c r="W598" s="223"/>
      <c r="X598" s="223"/>
      <c r="Y598" s="222"/>
      <c r="Z598" s="222"/>
      <c r="AA598" s="222"/>
      <c r="AB598" s="224"/>
    </row>
    <row r="599" spans="1:28" ht="13.5" customHeight="1">
      <c r="A599" s="222"/>
      <c r="B599" s="222"/>
      <c r="C599" s="222"/>
      <c r="D599" s="222"/>
      <c r="E599" s="222"/>
      <c r="F599" s="222"/>
      <c r="G599" s="222"/>
      <c r="H599" s="222"/>
      <c r="I599" s="222"/>
      <c r="J599" s="222"/>
      <c r="K599" s="222"/>
      <c r="L599" s="222"/>
      <c r="M599" s="222"/>
      <c r="N599" s="222"/>
      <c r="O599" s="222"/>
      <c r="P599" s="222"/>
      <c r="Q599" s="223"/>
      <c r="R599" s="222"/>
      <c r="S599" s="222"/>
      <c r="T599" s="222"/>
      <c r="U599" s="222"/>
      <c r="V599" s="222"/>
      <c r="W599" s="223"/>
      <c r="X599" s="223"/>
      <c r="Y599" s="222"/>
      <c r="Z599" s="222"/>
      <c r="AA599" s="222"/>
      <c r="AB599" s="224"/>
    </row>
    <row r="600" spans="1:28" ht="13.5" customHeight="1">
      <c r="A600" s="222"/>
      <c r="B600" s="222"/>
      <c r="C600" s="222"/>
      <c r="D600" s="222"/>
      <c r="E600" s="222"/>
      <c r="F600" s="222"/>
      <c r="G600" s="222"/>
      <c r="H600" s="222"/>
      <c r="I600" s="222"/>
      <c r="J600" s="222"/>
      <c r="K600" s="222"/>
      <c r="L600" s="222"/>
      <c r="M600" s="222"/>
      <c r="N600" s="222"/>
      <c r="O600" s="222"/>
      <c r="P600" s="222"/>
      <c r="Q600" s="223"/>
      <c r="R600" s="222"/>
      <c r="S600" s="222"/>
      <c r="T600" s="222"/>
      <c r="U600" s="222"/>
      <c r="V600" s="222"/>
      <c r="W600" s="223"/>
      <c r="X600" s="223"/>
      <c r="Y600" s="222"/>
      <c r="Z600" s="222"/>
      <c r="AA600" s="222"/>
      <c r="AB600" s="224"/>
    </row>
    <row r="601" spans="1:28" ht="13.5" customHeight="1">
      <c r="A601" s="222"/>
      <c r="B601" s="222"/>
      <c r="C601" s="222"/>
      <c r="D601" s="222"/>
      <c r="E601" s="222"/>
      <c r="F601" s="222"/>
      <c r="G601" s="222"/>
      <c r="H601" s="222"/>
      <c r="I601" s="222"/>
      <c r="J601" s="222"/>
      <c r="K601" s="222"/>
      <c r="L601" s="222"/>
      <c r="M601" s="222"/>
      <c r="N601" s="222"/>
      <c r="O601" s="222"/>
      <c r="P601" s="222"/>
      <c r="Q601" s="223"/>
      <c r="R601" s="222"/>
      <c r="S601" s="222"/>
      <c r="T601" s="222"/>
      <c r="U601" s="222"/>
      <c r="V601" s="222"/>
      <c r="W601" s="223"/>
      <c r="X601" s="223"/>
      <c r="Y601" s="222"/>
      <c r="Z601" s="222"/>
      <c r="AA601" s="222"/>
      <c r="AB601" s="224"/>
    </row>
    <row r="602" spans="1:28" ht="13.5" customHeight="1">
      <c r="A602" s="222"/>
      <c r="B602" s="222"/>
      <c r="C602" s="222"/>
      <c r="D602" s="222"/>
      <c r="E602" s="222"/>
      <c r="F602" s="222"/>
      <c r="G602" s="222"/>
      <c r="H602" s="222"/>
      <c r="I602" s="222"/>
      <c r="J602" s="222"/>
      <c r="K602" s="222"/>
      <c r="L602" s="222"/>
      <c r="M602" s="222"/>
      <c r="N602" s="222"/>
      <c r="O602" s="222"/>
      <c r="P602" s="222"/>
      <c r="Q602" s="223"/>
      <c r="R602" s="222"/>
      <c r="S602" s="222"/>
      <c r="T602" s="222"/>
      <c r="U602" s="222"/>
      <c r="V602" s="222"/>
      <c r="W602" s="223"/>
      <c r="X602" s="223"/>
      <c r="Y602" s="222"/>
      <c r="Z602" s="222"/>
      <c r="AA602" s="222"/>
      <c r="AB602" s="224"/>
    </row>
    <row r="603" spans="1:28" ht="13.5" customHeight="1">
      <c r="A603" s="222"/>
      <c r="B603" s="222"/>
      <c r="C603" s="222"/>
      <c r="D603" s="222"/>
      <c r="E603" s="222"/>
      <c r="F603" s="222"/>
      <c r="G603" s="222"/>
      <c r="H603" s="222"/>
      <c r="I603" s="222"/>
      <c r="J603" s="222"/>
      <c r="K603" s="222"/>
      <c r="L603" s="222"/>
      <c r="M603" s="222"/>
      <c r="N603" s="222"/>
      <c r="O603" s="222"/>
      <c r="P603" s="222"/>
      <c r="Q603" s="223"/>
      <c r="R603" s="222"/>
      <c r="S603" s="222"/>
      <c r="T603" s="222"/>
      <c r="U603" s="222"/>
      <c r="V603" s="222"/>
      <c r="W603" s="223"/>
      <c r="X603" s="223"/>
      <c r="Y603" s="222"/>
      <c r="Z603" s="222"/>
      <c r="AA603" s="222"/>
      <c r="AB603" s="224"/>
    </row>
    <row r="604" spans="1:28" ht="13.5" customHeight="1">
      <c r="A604" s="222"/>
      <c r="B604" s="222"/>
      <c r="C604" s="222"/>
      <c r="D604" s="222"/>
      <c r="E604" s="222"/>
      <c r="F604" s="222"/>
      <c r="G604" s="222"/>
      <c r="H604" s="222"/>
      <c r="I604" s="222"/>
      <c r="J604" s="222"/>
      <c r="K604" s="222"/>
      <c r="L604" s="222"/>
      <c r="M604" s="222"/>
      <c r="N604" s="222"/>
      <c r="O604" s="222"/>
      <c r="P604" s="222"/>
      <c r="Q604" s="223"/>
      <c r="R604" s="222"/>
      <c r="S604" s="222"/>
      <c r="T604" s="222"/>
      <c r="U604" s="222"/>
      <c r="V604" s="222"/>
      <c r="W604" s="223"/>
      <c r="X604" s="223"/>
      <c r="Y604" s="222"/>
      <c r="Z604" s="222"/>
      <c r="AA604" s="222"/>
      <c r="AB604" s="224"/>
    </row>
    <row r="605" spans="1:28" ht="13.5" customHeight="1">
      <c r="A605" s="222"/>
      <c r="B605" s="222"/>
      <c r="C605" s="222"/>
      <c r="D605" s="222"/>
      <c r="E605" s="222"/>
      <c r="F605" s="222"/>
      <c r="G605" s="222"/>
      <c r="H605" s="222"/>
      <c r="I605" s="222"/>
      <c r="J605" s="222"/>
      <c r="K605" s="222"/>
      <c r="L605" s="222"/>
      <c r="M605" s="222"/>
      <c r="N605" s="222"/>
      <c r="O605" s="222"/>
      <c r="P605" s="222"/>
      <c r="Q605" s="223"/>
      <c r="R605" s="222"/>
      <c r="S605" s="222"/>
      <c r="T605" s="222"/>
      <c r="U605" s="222"/>
      <c r="V605" s="222"/>
      <c r="W605" s="223"/>
      <c r="X605" s="223"/>
      <c r="Y605" s="222"/>
      <c r="Z605" s="222"/>
      <c r="AA605" s="222"/>
      <c r="AB605" s="224"/>
    </row>
    <row r="606" spans="1:28" ht="13.5" customHeight="1">
      <c r="A606" s="222"/>
      <c r="B606" s="222"/>
      <c r="C606" s="222"/>
      <c r="D606" s="222"/>
      <c r="E606" s="222"/>
      <c r="F606" s="222"/>
      <c r="G606" s="222"/>
      <c r="H606" s="222"/>
      <c r="I606" s="222"/>
      <c r="J606" s="222"/>
      <c r="K606" s="222"/>
      <c r="L606" s="222"/>
      <c r="M606" s="222"/>
      <c r="N606" s="222"/>
      <c r="O606" s="222"/>
      <c r="P606" s="222"/>
      <c r="Q606" s="223"/>
      <c r="R606" s="222"/>
      <c r="S606" s="222"/>
      <c r="T606" s="222"/>
      <c r="U606" s="222"/>
      <c r="V606" s="222"/>
      <c r="W606" s="223"/>
      <c r="X606" s="223"/>
      <c r="Y606" s="222"/>
      <c r="Z606" s="222"/>
      <c r="AA606" s="222"/>
      <c r="AB606" s="224"/>
    </row>
    <row r="607" spans="1:28" ht="13.5" customHeight="1">
      <c r="A607" s="222"/>
      <c r="B607" s="222"/>
      <c r="C607" s="222"/>
      <c r="D607" s="222"/>
      <c r="E607" s="222"/>
      <c r="F607" s="222"/>
      <c r="G607" s="222"/>
      <c r="H607" s="222"/>
      <c r="I607" s="222"/>
      <c r="J607" s="222"/>
      <c r="K607" s="222"/>
      <c r="L607" s="222"/>
      <c r="M607" s="222"/>
      <c r="N607" s="222"/>
      <c r="O607" s="222"/>
      <c r="P607" s="222"/>
      <c r="Q607" s="223"/>
      <c r="R607" s="222"/>
      <c r="S607" s="222"/>
      <c r="T607" s="222"/>
      <c r="U607" s="222"/>
      <c r="V607" s="222"/>
      <c r="W607" s="223"/>
      <c r="X607" s="223"/>
      <c r="Y607" s="222"/>
      <c r="Z607" s="222"/>
      <c r="AA607" s="222"/>
      <c r="AB607" s="224"/>
    </row>
    <row r="608" spans="1:28" ht="13.5" customHeight="1">
      <c r="A608" s="222"/>
      <c r="B608" s="222"/>
      <c r="C608" s="222"/>
      <c r="D608" s="222"/>
      <c r="E608" s="222"/>
      <c r="F608" s="222"/>
      <c r="G608" s="222"/>
      <c r="H608" s="222"/>
      <c r="I608" s="222"/>
      <c r="J608" s="222"/>
      <c r="K608" s="222"/>
      <c r="L608" s="222"/>
      <c r="M608" s="222"/>
      <c r="N608" s="222"/>
      <c r="O608" s="222"/>
      <c r="P608" s="222"/>
      <c r="Q608" s="223"/>
      <c r="R608" s="222"/>
      <c r="S608" s="222"/>
      <c r="T608" s="222"/>
      <c r="U608" s="222"/>
      <c r="V608" s="222"/>
      <c r="W608" s="223"/>
      <c r="X608" s="223"/>
      <c r="Y608" s="222"/>
      <c r="Z608" s="222"/>
      <c r="AA608" s="222"/>
      <c r="AB608" s="224"/>
    </row>
    <row r="609" spans="1:28" ht="13.5" customHeight="1">
      <c r="A609" s="222"/>
      <c r="B609" s="222"/>
      <c r="C609" s="222"/>
      <c r="D609" s="222"/>
      <c r="E609" s="222"/>
      <c r="F609" s="222"/>
      <c r="G609" s="222"/>
      <c r="H609" s="222"/>
      <c r="I609" s="222"/>
      <c r="J609" s="222"/>
      <c r="K609" s="222"/>
      <c r="L609" s="222"/>
      <c r="M609" s="222"/>
      <c r="N609" s="222"/>
      <c r="O609" s="222"/>
      <c r="P609" s="222"/>
      <c r="Q609" s="223"/>
      <c r="R609" s="222"/>
      <c r="S609" s="222"/>
      <c r="T609" s="222"/>
      <c r="U609" s="222"/>
      <c r="V609" s="222"/>
      <c r="W609" s="223"/>
      <c r="X609" s="223"/>
      <c r="Y609" s="222"/>
      <c r="Z609" s="222"/>
      <c r="AA609" s="222"/>
      <c r="AB609" s="224"/>
    </row>
    <row r="610" spans="1:28" ht="13.5" customHeight="1">
      <c r="A610" s="222"/>
      <c r="B610" s="222"/>
      <c r="C610" s="222"/>
      <c r="D610" s="222"/>
      <c r="E610" s="222"/>
      <c r="F610" s="222"/>
      <c r="G610" s="222"/>
      <c r="H610" s="222"/>
      <c r="I610" s="222"/>
      <c r="J610" s="222"/>
      <c r="K610" s="222"/>
      <c r="L610" s="222"/>
      <c r="M610" s="222"/>
      <c r="N610" s="222"/>
      <c r="O610" s="222"/>
      <c r="P610" s="222"/>
      <c r="Q610" s="223"/>
      <c r="R610" s="222"/>
      <c r="S610" s="222"/>
      <c r="T610" s="222"/>
      <c r="U610" s="222"/>
      <c r="V610" s="222"/>
      <c r="W610" s="223"/>
      <c r="X610" s="223"/>
      <c r="Y610" s="222"/>
      <c r="Z610" s="222"/>
      <c r="AA610" s="222"/>
      <c r="AB610" s="224"/>
    </row>
    <row r="611" spans="1:28" ht="13.5" customHeight="1">
      <c r="A611" s="222"/>
      <c r="B611" s="222"/>
      <c r="C611" s="222"/>
      <c r="D611" s="222"/>
      <c r="E611" s="222"/>
      <c r="F611" s="222"/>
      <c r="G611" s="222"/>
      <c r="H611" s="222"/>
      <c r="I611" s="222"/>
      <c r="J611" s="222"/>
      <c r="K611" s="222"/>
      <c r="L611" s="222"/>
      <c r="M611" s="222"/>
      <c r="N611" s="222"/>
      <c r="O611" s="222"/>
      <c r="P611" s="222"/>
      <c r="Q611" s="223"/>
      <c r="R611" s="222"/>
      <c r="S611" s="222"/>
      <c r="T611" s="222"/>
      <c r="U611" s="222"/>
      <c r="V611" s="222"/>
      <c r="W611" s="223"/>
      <c r="X611" s="223"/>
      <c r="Y611" s="222"/>
      <c r="Z611" s="222"/>
      <c r="AA611" s="222"/>
      <c r="AB611" s="224"/>
    </row>
    <row r="612" spans="1:28" ht="13.5" customHeight="1">
      <c r="A612" s="222"/>
      <c r="B612" s="222"/>
      <c r="C612" s="222"/>
      <c r="D612" s="222"/>
      <c r="E612" s="222"/>
      <c r="F612" s="222"/>
      <c r="G612" s="222"/>
      <c r="H612" s="222"/>
      <c r="I612" s="222"/>
      <c r="J612" s="222"/>
      <c r="K612" s="222"/>
      <c r="L612" s="222"/>
      <c r="M612" s="222"/>
      <c r="N612" s="222"/>
      <c r="O612" s="222"/>
      <c r="P612" s="222"/>
      <c r="Q612" s="223"/>
      <c r="R612" s="222"/>
      <c r="S612" s="222"/>
      <c r="T612" s="222"/>
      <c r="U612" s="222"/>
      <c r="V612" s="222"/>
      <c r="W612" s="223"/>
      <c r="X612" s="223"/>
      <c r="Y612" s="222"/>
      <c r="Z612" s="222"/>
      <c r="AA612" s="222"/>
      <c r="AB612" s="224"/>
    </row>
    <row r="613" spans="1:28" ht="13.5" customHeight="1">
      <c r="A613" s="222"/>
      <c r="B613" s="222"/>
      <c r="C613" s="222"/>
      <c r="D613" s="222"/>
      <c r="E613" s="222"/>
      <c r="F613" s="222"/>
      <c r="G613" s="222"/>
      <c r="H613" s="222"/>
      <c r="I613" s="222"/>
      <c r="J613" s="222"/>
      <c r="K613" s="222"/>
      <c r="L613" s="222"/>
      <c r="M613" s="222"/>
      <c r="N613" s="222"/>
      <c r="O613" s="222"/>
      <c r="P613" s="222"/>
      <c r="Q613" s="223"/>
      <c r="R613" s="222"/>
      <c r="S613" s="222"/>
      <c r="T613" s="222"/>
      <c r="U613" s="222"/>
      <c r="V613" s="222"/>
      <c r="W613" s="223"/>
      <c r="X613" s="223"/>
      <c r="Y613" s="222"/>
      <c r="Z613" s="222"/>
      <c r="AA613" s="222"/>
      <c r="AB613" s="224"/>
    </row>
    <row r="614" spans="1:28" ht="13.5" customHeight="1">
      <c r="A614" s="222"/>
      <c r="B614" s="222"/>
      <c r="C614" s="222"/>
      <c r="D614" s="222"/>
      <c r="E614" s="222"/>
      <c r="F614" s="222"/>
      <c r="G614" s="222"/>
      <c r="H614" s="222"/>
      <c r="I614" s="222"/>
      <c r="J614" s="222"/>
      <c r="K614" s="222"/>
      <c r="L614" s="222"/>
      <c r="M614" s="222"/>
      <c r="N614" s="222"/>
      <c r="O614" s="222"/>
      <c r="P614" s="222"/>
      <c r="Q614" s="223"/>
      <c r="R614" s="222"/>
      <c r="S614" s="222"/>
      <c r="T614" s="222"/>
      <c r="U614" s="222"/>
      <c r="V614" s="222"/>
      <c r="W614" s="223"/>
      <c r="X614" s="223"/>
      <c r="Y614" s="222"/>
      <c r="Z614" s="222"/>
      <c r="AA614" s="222"/>
      <c r="AB614" s="224"/>
    </row>
    <row r="615" spans="1:28" ht="13.5" customHeight="1">
      <c r="A615" s="222"/>
      <c r="B615" s="222"/>
      <c r="C615" s="222"/>
      <c r="D615" s="222"/>
      <c r="E615" s="222"/>
      <c r="F615" s="222"/>
      <c r="G615" s="222"/>
      <c r="H615" s="222"/>
      <c r="I615" s="222"/>
      <c r="J615" s="222"/>
      <c r="K615" s="222"/>
      <c r="L615" s="222"/>
      <c r="M615" s="222"/>
      <c r="N615" s="222"/>
      <c r="O615" s="222"/>
      <c r="P615" s="222"/>
      <c r="Q615" s="223"/>
      <c r="R615" s="222"/>
      <c r="S615" s="222"/>
      <c r="T615" s="222"/>
      <c r="U615" s="222"/>
      <c r="V615" s="222"/>
      <c r="W615" s="223"/>
      <c r="X615" s="223"/>
      <c r="Y615" s="222"/>
      <c r="Z615" s="222"/>
      <c r="AA615" s="222"/>
      <c r="AB615" s="224"/>
    </row>
    <row r="616" spans="1:28" ht="13.5" customHeight="1">
      <c r="A616" s="222"/>
      <c r="B616" s="222"/>
      <c r="C616" s="222"/>
      <c r="D616" s="222"/>
      <c r="E616" s="222"/>
      <c r="F616" s="222"/>
      <c r="G616" s="222"/>
      <c r="H616" s="222"/>
      <c r="I616" s="222"/>
      <c r="J616" s="222"/>
      <c r="K616" s="222"/>
      <c r="L616" s="222"/>
      <c r="M616" s="222"/>
      <c r="N616" s="222"/>
      <c r="O616" s="222"/>
      <c r="P616" s="222"/>
      <c r="Q616" s="223"/>
      <c r="R616" s="222"/>
      <c r="S616" s="222"/>
      <c r="T616" s="222"/>
      <c r="U616" s="222"/>
      <c r="V616" s="222"/>
      <c r="W616" s="223"/>
      <c r="X616" s="223"/>
      <c r="Y616" s="222"/>
      <c r="Z616" s="222"/>
      <c r="AA616" s="222"/>
      <c r="AB616" s="224"/>
    </row>
    <row r="617" spans="1:28" ht="13.5" customHeight="1">
      <c r="A617" s="222"/>
      <c r="B617" s="222"/>
      <c r="C617" s="222"/>
      <c r="D617" s="222"/>
      <c r="E617" s="222"/>
      <c r="F617" s="222"/>
      <c r="G617" s="222"/>
      <c r="H617" s="222"/>
      <c r="I617" s="222"/>
      <c r="J617" s="222"/>
      <c r="K617" s="222"/>
      <c r="L617" s="222"/>
      <c r="M617" s="222"/>
      <c r="N617" s="222"/>
      <c r="O617" s="222"/>
      <c r="P617" s="222"/>
      <c r="Q617" s="223"/>
      <c r="R617" s="222"/>
      <c r="S617" s="222"/>
      <c r="T617" s="222"/>
      <c r="U617" s="222"/>
      <c r="V617" s="222"/>
      <c r="W617" s="223"/>
      <c r="X617" s="223"/>
      <c r="Y617" s="222"/>
      <c r="Z617" s="222"/>
      <c r="AA617" s="222"/>
      <c r="AB617" s="224"/>
    </row>
    <row r="618" spans="1:28" ht="13.5" customHeight="1">
      <c r="A618" s="222"/>
      <c r="B618" s="222"/>
      <c r="C618" s="222"/>
      <c r="D618" s="222"/>
      <c r="E618" s="222"/>
      <c r="F618" s="222"/>
      <c r="G618" s="222"/>
      <c r="H618" s="222"/>
      <c r="I618" s="222"/>
      <c r="J618" s="222"/>
      <c r="K618" s="222"/>
      <c r="L618" s="222"/>
      <c r="M618" s="222"/>
      <c r="N618" s="222"/>
      <c r="O618" s="222"/>
      <c r="P618" s="222"/>
      <c r="Q618" s="223"/>
      <c r="R618" s="222"/>
      <c r="S618" s="222"/>
      <c r="T618" s="222"/>
      <c r="U618" s="222"/>
      <c r="V618" s="222"/>
      <c r="W618" s="223"/>
      <c r="X618" s="223"/>
      <c r="Y618" s="222"/>
      <c r="Z618" s="222"/>
      <c r="AA618" s="222"/>
      <c r="AB618" s="224"/>
    </row>
    <row r="619" spans="1:28" ht="13.5" customHeight="1">
      <c r="A619" s="222"/>
      <c r="B619" s="222"/>
      <c r="C619" s="222"/>
      <c r="D619" s="222"/>
      <c r="E619" s="222"/>
      <c r="F619" s="222"/>
      <c r="G619" s="222"/>
      <c r="H619" s="222"/>
      <c r="I619" s="222"/>
      <c r="J619" s="222"/>
      <c r="K619" s="222"/>
      <c r="L619" s="222"/>
      <c r="M619" s="222"/>
      <c r="N619" s="222"/>
      <c r="O619" s="222"/>
      <c r="P619" s="222"/>
      <c r="Q619" s="223"/>
      <c r="R619" s="222"/>
      <c r="S619" s="222"/>
      <c r="T619" s="222"/>
      <c r="U619" s="222"/>
      <c r="V619" s="222"/>
      <c r="W619" s="223"/>
      <c r="X619" s="223"/>
      <c r="Y619" s="222"/>
      <c r="Z619" s="222"/>
      <c r="AA619" s="222"/>
      <c r="AB619" s="224"/>
    </row>
    <row r="620" spans="1:28" ht="13.5" customHeight="1">
      <c r="A620" s="222"/>
      <c r="B620" s="222"/>
      <c r="C620" s="222"/>
      <c r="D620" s="222"/>
      <c r="E620" s="222"/>
      <c r="F620" s="222"/>
      <c r="G620" s="222"/>
      <c r="H620" s="222"/>
      <c r="I620" s="222"/>
      <c r="J620" s="222"/>
      <c r="K620" s="222"/>
      <c r="L620" s="222"/>
      <c r="M620" s="222"/>
      <c r="N620" s="222"/>
      <c r="O620" s="222"/>
      <c r="P620" s="222"/>
      <c r="Q620" s="223"/>
      <c r="R620" s="222"/>
      <c r="S620" s="222"/>
      <c r="T620" s="222"/>
      <c r="U620" s="222"/>
      <c r="V620" s="222"/>
      <c r="W620" s="223"/>
      <c r="X620" s="223"/>
      <c r="Y620" s="222"/>
      <c r="Z620" s="222"/>
      <c r="AA620" s="222"/>
      <c r="AB620" s="224"/>
    </row>
    <row r="621" spans="1:28" ht="13.5" customHeight="1">
      <c r="A621" s="222"/>
      <c r="B621" s="222"/>
      <c r="C621" s="222"/>
      <c r="D621" s="222"/>
      <c r="E621" s="222"/>
      <c r="F621" s="222"/>
      <c r="G621" s="222"/>
      <c r="H621" s="222"/>
      <c r="I621" s="222"/>
      <c r="J621" s="222"/>
      <c r="K621" s="222"/>
      <c r="L621" s="222"/>
      <c r="M621" s="222"/>
      <c r="N621" s="222"/>
      <c r="O621" s="222"/>
      <c r="P621" s="222"/>
      <c r="Q621" s="223"/>
      <c r="R621" s="222"/>
      <c r="S621" s="222"/>
      <c r="T621" s="222"/>
      <c r="U621" s="222"/>
      <c r="V621" s="222"/>
      <c r="W621" s="223"/>
      <c r="X621" s="223"/>
      <c r="Y621" s="222"/>
      <c r="Z621" s="222"/>
      <c r="AA621" s="222"/>
      <c r="AB621" s="224"/>
    </row>
    <row r="622" spans="1:28" ht="13.5" customHeight="1">
      <c r="A622" s="222"/>
      <c r="B622" s="222"/>
      <c r="C622" s="222"/>
      <c r="D622" s="222"/>
      <c r="E622" s="222"/>
      <c r="F622" s="222"/>
      <c r="G622" s="222"/>
      <c r="H622" s="222"/>
      <c r="I622" s="222"/>
      <c r="J622" s="222"/>
      <c r="K622" s="222"/>
      <c r="L622" s="222"/>
      <c r="M622" s="222"/>
      <c r="N622" s="222"/>
      <c r="O622" s="222"/>
      <c r="P622" s="222"/>
      <c r="Q622" s="223"/>
      <c r="R622" s="222"/>
      <c r="S622" s="222"/>
      <c r="T622" s="222"/>
      <c r="U622" s="222"/>
      <c r="V622" s="222"/>
      <c r="W622" s="223"/>
      <c r="X622" s="223"/>
      <c r="Y622" s="222"/>
      <c r="Z622" s="222"/>
      <c r="AA622" s="222"/>
      <c r="AB622" s="224"/>
    </row>
    <row r="623" spans="1:28" ht="13.5" customHeight="1">
      <c r="A623" s="222"/>
      <c r="B623" s="222"/>
      <c r="C623" s="222"/>
      <c r="D623" s="222"/>
      <c r="E623" s="222"/>
      <c r="F623" s="222"/>
      <c r="G623" s="222"/>
      <c r="H623" s="222"/>
      <c r="I623" s="222"/>
      <c r="J623" s="222"/>
      <c r="K623" s="222"/>
      <c r="L623" s="222"/>
      <c r="M623" s="222"/>
      <c r="N623" s="222"/>
      <c r="O623" s="222"/>
      <c r="P623" s="222"/>
      <c r="Q623" s="223"/>
      <c r="R623" s="222"/>
      <c r="S623" s="222"/>
      <c r="T623" s="222"/>
      <c r="U623" s="222"/>
      <c r="V623" s="222"/>
      <c r="W623" s="223"/>
      <c r="X623" s="223"/>
      <c r="Y623" s="222"/>
      <c r="Z623" s="222"/>
      <c r="AA623" s="222"/>
      <c r="AB623" s="224"/>
    </row>
    <row r="624" spans="1:28" ht="13.5" customHeight="1">
      <c r="A624" s="222"/>
      <c r="B624" s="222"/>
      <c r="C624" s="222"/>
      <c r="D624" s="222"/>
      <c r="E624" s="222"/>
      <c r="F624" s="222"/>
      <c r="G624" s="222"/>
      <c r="H624" s="222"/>
      <c r="I624" s="222"/>
      <c r="J624" s="222"/>
      <c r="K624" s="222"/>
      <c r="L624" s="222"/>
      <c r="M624" s="222"/>
      <c r="N624" s="222"/>
      <c r="O624" s="222"/>
      <c r="P624" s="222"/>
      <c r="Q624" s="223"/>
      <c r="R624" s="222"/>
      <c r="S624" s="222"/>
      <c r="T624" s="222"/>
      <c r="U624" s="222"/>
      <c r="V624" s="222"/>
      <c r="W624" s="223"/>
      <c r="X624" s="223"/>
      <c r="Y624" s="222"/>
      <c r="Z624" s="222"/>
      <c r="AA624" s="222"/>
      <c r="AB624" s="224"/>
    </row>
    <row r="625" spans="1:28" ht="13.5" customHeight="1">
      <c r="A625" s="222"/>
      <c r="B625" s="222"/>
      <c r="C625" s="222"/>
      <c r="D625" s="222"/>
      <c r="E625" s="222"/>
      <c r="F625" s="222"/>
      <c r="G625" s="222"/>
      <c r="H625" s="222"/>
      <c r="I625" s="222"/>
      <c r="J625" s="222"/>
      <c r="K625" s="222"/>
      <c r="L625" s="222"/>
      <c r="M625" s="222"/>
      <c r="N625" s="222"/>
      <c r="O625" s="222"/>
      <c r="P625" s="222"/>
      <c r="Q625" s="223"/>
      <c r="R625" s="222"/>
      <c r="S625" s="222"/>
      <c r="T625" s="222"/>
      <c r="U625" s="222"/>
      <c r="V625" s="222"/>
      <c r="W625" s="223"/>
      <c r="X625" s="223"/>
      <c r="Y625" s="222"/>
      <c r="Z625" s="222"/>
      <c r="AA625" s="222"/>
      <c r="AB625" s="224"/>
    </row>
    <row r="626" spans="1:28" ht="13.5" customHeight="1">
      <c r="A626" s="222"/>
      <c r="B626" s="222"/>
      <c r="C626" s="222"/>
      <c r="D626" s="222"/>
      <c r="E626" s="222"/>
      <c r="F626" s="222"/>
      <c r="G626" s="222"/>
      <c r="H626" s="222"/>
      <c r="I626" s="222"/>
      <c r="J626" s="222"/>
      <c r="K626" s="222"/>
      <c r="L626" s="222"/>
      <c r="M626" s="222"/>
      <c r="N626" s="222"/>
      <c r="O626" s="222"/>
      <c r="P626" s="222"/>
      <c r="Q626" s="223"/>
      <c r="R626" s="222"/>
      <c r="S626" s="222"/>
      <c r="T626" s="222"/>
      <c r="U626" s="222"/>
      <c r="V626" s="222"/>
      <c r="W626" s="223"/>
      <c r="X626" s="223"/>
      <c r="Y626" s="222"/>
      <c r="Z626" s="222"/>
      <c r="AA626" s="222"/>
      <c r="AB626" s="224"/>
    </row>
    <row r="627" spans="1:28" ht="13.5" customHeight="1">
      <c r="A627" s="222"/>
      <c r="B627" s="222"/>
      <c r="C627" s="222"/>
      <c r="D627" s="222"/>
      <c r="E627" s="222"/>
      <c r="F627" s="222"/>
      <c r="G627" s="222"/>
      <c r="H627" s="222"/>
      <c r="I627" s="222"/>
      <c r="J627" s="222"/>
      <c r="K627" s="222"/>
      <c r="L627" s="222"/>
      <c r="M627" s="222"/>
      <c r="N627" s="222"/>
      <c r="O627" s="222"/>
      <c r="P627" s="222"/>
      <c r="Q627" s="223"/>
      <c r="R627" s="222"/>
      <c r="S627" s="222"/>
      <c r="T627" s="222"/>
      <c r="U627" s="222"/>
      <c r="V627" s="222"/>
      <c r="W627" s="223"/>
      <c r="X627" s="223"/>
      <c r="Y627" s="222"/>
      <c r="Z627" s="222"/>
      <c r="AA627" s="222"/>
      <c r="AB627" s="224"/>
    </row>
    <row r="628" spans="1:28" ht="13.5" customHeight="1">
      <c r="A628" s="222"/>
      <c r="B628" s="222"/>
      <c r="C628" s="222"/>
      <c r="D628" s="222"/>
      <c r="E628" s="222"/>
      <c r="F628" s="222"/>
      <c r="G628" s="222"/>
      <c r="H628" s="222"/>
      <c r="I628" s="222"/>
      <c r="J628" s="222"/>
      <c r="K628" s="222"/>
      <c r="L628" s="222"/>
      <c r="M628" s="222"/>
      <c r="N628" s="222"/>
      <c r="O628" s="222"/>
      <c r="P628" s="222"/>
      <c r="Q628" s="223"/>
      <c r="R628" s="222"/>
      <c r="S628" s="222"/>
      <c r="T628" s="222"/>
      <c r="U628" s="222"/>
      <c r="V628" s="222"/>
      <c r="W628" s="223"/>
      <c r="X628" s="223"/>
      <c r="Y628" s="222"/>
      <c r="Z628" s="222"/>
      <c r="AA628" s="222"/>
      <c r="AB628" s="224"/>
    </row>
    <row r="629" spans="1:28" ht="13.5" customHeight="1">
      <c r="A629" s="222"/>
      <c r="B629" s="222"/>
      <c r="C629" s="222"/>
      <c r="D629" s="222"/>
      <c r="E629" s="222"/>
      <c r="F629" s="222"/>
      <c r="G629" s="222"/>
      <c r="H629" s="222"/>
      <c r="I629" s="222"/>
      <c r="J629" s="222"/>
      <c r="K629" s="222"/>
      <c r="L629" s="222"/>
      <c r="M629" s="222"/>
      <c r="N629" s="222"/>
      <c r="O629" s="222"/>
      <c r="P629" s="222"/>
      <c r="Q629" s="223"/>
      <c r="R629" s="222"/>
      <c r="S629" s="222"/>
      <c r="T629" s="222"/>
      <c r="U629" s="222"/>
      <c r="V629" s="222"/>
      <c r="W629" s="223"/>
      <c r="X629" s="223"/>
      <c r="Y629" s="222"/>
      <c r="Z629" s="222"/>
      <c r="AA629" s="222"/>
      <c r="AB629" s="224"/>
    </row>
    <row r="630" spans="1:28" ht="13.5" customHeight="1">
      <c r="A630" s="222"/>
      <c r="B630" s="222"/>
      <c r="C630" s="222"/>
      <c r="D630" s="222"/>
      <c r="E630" s="222"/>
      <c r="F630" s="222"/>
      <c r="G630" s="222"/>
      <c r="H630" s="222"/>
      <c r="I630" s="222"/>
      <c r="J630" s="222"/>
      <c r="K630" s="222"/>
      <c r="L630" s="222"/>
      <c r="M630" s="222"/>
      <c r="N630" s="222"/>
      <c r="O630" s="222"/>
      <c r="P630" s="222"/>
      <c r="Q630" s="223"/>
      <c r="R630" s="222"/>
      <c r="S630" s="222"/>
      <c r="T630" s="222"/>
      <c r="U630" s="222"/>
      <c r="V630" s="222"/>
      <c r="W630" s="223"/>
      <c r="X630" s="223"/>
      <c r="Y630" s="222"/>
      <c r="Z630" s="222"/>
      <c r="AA630" s="222"/>
      <c r="AB630" s="224"/>
    </row>
    <row r="631" spans="1:28" ht="13.5" customHeight="1">
      <c r="A631" s="222"/>
      <c r="B631" s="222"/>
      <c r="C631" s="222"/>
      <c r="D631" s="222"/>
      <c r="E631" s="222"/>
      <c r="F631" s="222"/>
      <c r="G631" s="222"/>
      <c r="H631" s="222"/>
      <c r="I631" s="222"/>
      <c r="J631" s="222"/>
      <c r="K631" s="222"/>
      <c r="L631" s="222"/>
      <c r="M631" s="222"/>
      <c r="N631" s="222"/>
      <c r="O631" s="222"/>
      <c r="P631" s="222"/>
      <c r="Q631" s="223"/>
      <c r="R631" s="222"/>
      <c r="S631" s="222"/>
      <c r="T631" s="222"/>
      <c r="U631" s="222"/>
      <c r="V631" s="222"/>
      <c r="W631" s="223"/>
      <c r="X631" s="223"/>
      <c r="Y631" s="222"/>
      <c r="Z631" s="222"/>
      <c r="AA631" s="222"/>
      <c r="AB631" s="224"/>
    </row>
    <row r="632" spans="1:28" ht="13.5" customHeight="1">
      <c r="A632" s="222"/>
      <c r="B632" s="222"/>
      <c r="C632" s="222"/>
      <c r="D632" s="222"/>
      <c r="E632" s="222"/>
      <c r="F632" s="222"/>
      <c r="G632" s="222"/>
      <c r="H632" s="222"/>
      <c r="I632" s="222"/>
      <c r="J632" s="222"/>
      <c r="K632" s="222"/>
      <c r="L632" s="222"/>
      <c r="M632" s="222"/>
      <c r="N632" s="222"/>
      <c r="O632" s="222"/>
      <c r="P632" s="222"/>
      <c r="Q632" s="223"/>
      <c r="R632" s="222"/>
      <c r="S632" s="222"/>
      <c r="T632" s="222"/>
      <c r="U632" s="222"/>
      <c r="V632" s="222"/>
      <c r="W632" s="223"/>
      <c r="X632" s="223"/>
      <c r="Y632" s="222"/>
      <c r="Z632" s="222"/>
      <c r="AA632" s="222"/>
      <c r="AB632" s="224"/>
    </row>
    <row r="633" spans="1:28" ht="13.5" customHeight="1">
      <c r="A633" s="222"/>
      <c r="B633" s="222"/>
      <c r="C633" s="222"/>
      <c r="D633" s="222"/>
      <c r="E633" s="222"/>
      <c r="F633" s="222"/>
      <c r="G633" s="222"/>
      <c r="H633" s="222"/>
      <c r="I633" s="222"/>
      <c r="J633" s="222"/>
      <c r="K633" s="222"/>
      <c r="L633" s="222"/>
      <c r="M633" s="222"/>
      <c r="N633" s="222"/>
      <c r="O633" s="222"/>
      <c r="P633" s="222"/>
      <c r="Q633" s="223"/>
      <c r="R633" s="222"/>
      <c r="S633" s="222"/>
      <c r="T633" s="222"/>
      <c r="U633" s="222"/>
      <c r="V633" s="222"/>
      <c r="W633" s="223"/>
      <c r="X633" s="223"/>
      <c r="Y633" s="222"/>
      <c r="Z633" s="222"/>
      <c r="AA633" s="222"/>
      <c r="AB633" s="224"/>
    </row>
    <row r="634" spans="1:28" ht="13.5" customHeight="1">
      <c r="A634" s="222"/>
      <c r="B634" s="222"/>
      <c r="C634" s="222"/>
      <c r="D634" s="222"/>
      <c r="E634" s="222"/>
      <c r="F634" s="222"/>
      <c r="G634" s="222"/>
      <c r="H634" s="222"/>
      <c r="I634" s="222"/>
      <c r="J634" s="222"/>
      <c r="K634" s="222"/>
      <c r="L634" s="222"/>
      <c r="M634" s="222"/>
      <c r="N634" s="222"/>
      <c r="O634" s="222"/>
      <c r="P634" s="222"/>
      <c r="Q634" s="223"/>
      <c r="R634" s="222"/>
      <c r="S634" s="222"/>
      <c r="T634" s="222"/>
      <c r="U634" s="222"/>
      <c r="V634" s="222"/>
      <c r="W634" s="223"/>
      <c r="X634" s="223"/>
      <c r="Y634" s="222"/>
      <c r="Z634" s="222"/>
      <c r="AA634" s="222"/>
      <c r="AB634" s="224"/>
    </row>
    <row r="635" spans="1:28" ht="13.5" customHeight="1">
      <c r="A635" s="222"/>
      <c r="B635" s="222"/>
      <c r="C635" s="222"/>
      <c r="D635" s="222"/>
      <c r="E635" s="222"/>
      <c r="F635" s="222"/>
      <c r="G635" s="222"/>
      <c r="H635" s="222"/>
      <c r="I635" s="222"/>
      <c r="J635" s="222"/>
      <c r="K635" s="222"/>
      <c r="L635" s="222"/>
      <c r="M635" s="222"/>
      <c r="N635" s="222"/>
      <c r="O635" s="222"/>
      <c r="P635" s="222"/>
      <c r="Q635" s="223"/>
      <c r="R635" s="222"/>
      <c r="S635" s="222"/>
      <c r="T635" s="222"/>
      <c r="U635" s="222"/>
      <c r="V635" s="222"/>
      <c r="W635" s="223"/>
      <c r="X635" s="223"/>
      <c r="Y635" s="222"/>
      <c r="Z635" s="222"/>
      <c r="AA635" s="222"/>
      <c r="AB635" s="224"/>
    </row>
    <row r="636" spans="1:28" ht="13.5" customHeight="1">
      <c r="A636" s="222"/>
      <c r="B636" s="222"/>
      <c r="C636" s="222"/>
      <c r="D636" s="222"/>
      <c r="E636" s="222"/>
      <c r="F636" s="222"/>
      <c r="G636" s="222"/>
      <c r="H636" s="222"/>
      <c r="I636" s="222"/>
      <c r="J636" s="222"/>
      <c r="K636" s="222"/>
      <c r="L636" s="222"/>
      <c r="M636" s="222"/>
      <c r="N636" s="222"/>
      <c r="O636" s="222"/>
      <c r="P636" s="222"/>
      <c r="Q636" s="223"/>
      <c r="R636" s="222"/>
      <c r="S636" s="222"/>
      <c r="T636" s="222"/>
      <c r="U636" s="222"/>
      <c r="V636" s="222"/>
      <c r="W636" s="223"/>
      <c r="X636" s="223"/>
      <c r="Y636" s="222"/>
      <c r="Z636" s="222"/>
      <c r="AA636" s="222"/>
      <c r="AB636" s="224"/>
    </row>
    <row r="637" spans="1:28" ht="13.5" customHeight="1">
      <c r="A637" s="222"/>
      <c r="B637" s="222"/>
      <c r="C637" s="222"/>
      <c r="D637" s="222"/>
      <c r="E637" s="222"/>
      <c r="F637" s="222"/>
      <c r="G637" s="222"/>
      <c r="H637" s="222"/>
      <c r="I637" s="222"/>
      <c r="J637" s="222"/>
      <c r="K637" s="222"/>
      <c r="L637" s="222"/>
      <c r="M637" s="222"/>
      <c r="N637" s="222"/>
      <c r="O637" s="222"/>
      <c r="P637" s="222"/>
      <c r="Q637" s="223"/>
      <c r="R637" s="222"/>
      <c r="S637" s="222"/>
      <c r="T637" s="222"/>
      <c r="U637" s="222"/>
      <c r="V637" s="222"/>
      <c r="W637" s="223"/>
      <c r="X637" s="223"/>
      <c r="Y637" s="222"/>
      <c r="Z637" s="222"/>
      <c r="AA637" s="222"/>
      <c r="AB637" s="224"/>
    </row>
    <row r="638" spans="1:28" ht="13.5" customHeight="1">
      <c r="A638" s="222"/>
      <c r="B638" s="222"/>
      <c r="C638" s="222"/>
      <c r="D638" s="222"/>
      <c r="E638" s="222"/>
      <c r="F638" s="222"/>
      <c r="G638" s="222"/>
      <c r="H638" s="222"/>
      <c r="I638" s="222"/>
      <c r="J638" s="222"/>
      <c r="K638" s="222"/>
      <c r="L638" s="222"/>
      <c r="M638" s="222"/>
      <c r="N638" s="222"/>
      <c r="O638" s="222"/>
      <c r="P638" s="222"/>
      <c r="Q638" s="223"/>
      <c r="R638" s="222"/>
      <c r="S638" s="222"/>
      <c r="T638" s="222"/>
      <c r="U638" s="222"/>
      <c r="V638" s="222"/>
      <c r="W638" s="223"/>
      <c r="X638" s="223"/>
      <c r="Y638" s="222"/>
      <c r="Z638" s="222"/>
      <c r="AA638" s="222"/>
      <c r="AB638" s="224"/>
    </row>
    <row r="639" spans="1:28" ht="13.5" customHeight="1">
      <c r="A639" s="222"/>
      <c r="B639" s="222"/>
      <c r="C639" s="222"/>
      <c r="D639" s="222"/>
      <c r="E639" s="222"/>
      <c r="F639" s="222"/>
      <c r="G639" s="222"/>
      <c r="H639" s="222"/>
      <c r="I639" s="222"/>
      <c r="J639" s="222"/>
      <c r="K639" s="222"/>
      <c r="L639" s="222"/>
      <c r="M639" s="222"/>
      <c r="N639" s="222"/>
      <c r="O639" s="222"/>
      <c r="P639" s="222"/>
      <c r="Q639" s="223"/>
      <c r="R639" s="222"/>
      <c r="S639" s="222"/>
      <c r="T639" s="222"/>
      <c r="U639" s="222"/>
      <c r="V639" s="222"/>
      <c r="W639" s="223"/>
      <c r="X639" s="223"/>
      <c r="Y639" s="222"/>
      <c r="Z639" s="222"/>
      <c r="AA639" s="222"/>
      <c r="AB639" s="224"/>
    </row>
    <row r="640" spans="1:28" ht="13.5" customHeight="1">
      <c r="A640" s="222"/>
      <c r="B640" s="222"/>
      <c r="C640" s="222"/>
      <c r="D640" s="222"/>
      <c r="E640" s="222"/>
      <c r="F640" s="222"/>
      <c r="G640" s="222"/>
      <c r="H640" s="222"/>
      <c r="I640" s="222"/>
      <c r="J640" s="222"/>
      <c r="K640" s="222"/>
      <c r="L640" s="222"/>
      <c r="M640" s="222"/>
      <c r="N640" s="222"/>
      <c r="O640" s="222"/>
      <c r="P640" s="222"/>
      <c r="Q640" s="223"/>
      <c r="R640" s="222"/>
      <c r="S640" s="222"/>
      <c r="T640" s="222"/>
      <c r="U640" s="222"/>
      <c r="V640" s="222"/>
      <c r="W640" s="223"/>
      <c r="X640" s="223"/>
      <c r="Y640" s="222"/>
      <c r="Z640" s="222"/>
      <c r="AA640" s="222"/>
      <c r="AB640" s="224"/>
    </row>
    <row r="641" spans="1:28" ht="13.5" customHeight="1">
      <c r="A641" s="222"/>
      <c r="B641" s="222"/>
      <c r="C641" s="222"/>
      <c r="D641" s="222"/>
      <c r="E641" s="222"/>
      <c r="F641" s="222"/>
      <c r="G641" s="222"/>
      <c r="H641" s="222"/>
      <c r="I641" s="222"/>
      <c r="J641" s="222"/>
      <c r="K641" s="222"/>
      <c r="L641" s="222"/>
      <c r="M641" s="222"/>
      <c r="N641" s="222"/>
      <c r="O641" s="222"/>
      <c r="P641" s="222"/>
      <c r="Q641" s="223"/>
      <c r="R641" s="222"/>
      <c r="S641" s="222"/>
      <c r="T641" s="222"/>
      <c r="U641" s="222"/>
      <c r="V641" s="222"/>
      <c r="W641" s="223"/>
      <c r="X641" s="223"/>
      <c r="Y641" s="222"/>
      <c r="Z641" s="222"/>
      <c r="AA641" s="222"/>
      <c r="AB641" s="224"/>
    </row>
    <row r="642" spans="1:28" ht="13.5" customHeight="1">
      <c r="A642" s="222"/>
      <c r="B642" s="222"/>
      <c r="C642" s="222"/>
      <c r="D642" s="222"/>
      <c r="E642" s="222"/>
      <c r="F642" s="222"/>
      <c r="G642" s="222"/>
      <c r="H642" s="222"/>
      <c r="I642" s="222"/>
      <c r="J642" s="222"/>
      <c r="K642" s="222"/>
      <c r="L642" s="222"/>
      <c r="M642" s="222"/>
      <c r="N642" s="222"/>
      <c r="O642" s="222"/>
      <c r="P642" s="222"/>
      <c r="Q642" s="223"/>
      <c r="R642" s="222"/>
      <c r="S642" s="222"/>
      <c r="T642" s="222"/>
      <c r="U642" s="222"/>
      <c r="V642" s="222"/>
      <c r="W642" s="223"/>
      <c r="X642" s="223"/>
      <c r="Y642" s="222"/>
      <c r="Z642" s="222"/>
      <c r="AA642" s="222"/>
      <c r="AB642" s="224"/>
    </row>
    <row r="643" spans="1:28" ht="13.5" customHeight="1">
      <c r="A643" s="222"/>
      <c r="B643" s="222"/>
      <c r="C643" s="222"/>
      <c r="D643" s="222"/>
      <c r="E643" s="222"/>
      <c r="F643" s="222"/>
      <c r="G643" s="222"/>
      <c r="H643" s="222"/>
      <c r="I643" s="222"/>
      <c r="J643" s="222"/>
      <c r="K643" s="222"/>
      <c r="L643" s="222"/>
      <c r="M643" s="222"/>
      <c r="N643" s="222"/>
      <c r="O643" s="222"/>
      <c r="P643" s="222"/>
      <c r="Q643" s="223"/>
      <c r="R643" s="222"/>
      <c r="S643" s="222"/>
      <c r="T643" s="222"/>
      <c r="U643" s="222"/>
      <c r="V643" s="222"/>
      <c r="W643" s="223"/>
      <c r="X643" s="223"/>
      <c r="Y643" s="222"/>
      <c r="Z643" s="222"/>
      <c r="AA643" s="222"/>
      <c r="AB643" s="224"/>
    </row>
    <row r="644" spans="1:28" ht="13.5" customHeight="1">
      <c r="A644" s="222"/>
      <c r="B644" s="222"/>
      <c r="C644" s="222"/>
      <c r="D644" s="222"/>
      <c r="E644" s="222"/>
      <c r="F644" s="222"/>
      <c r="G644" s="222"/>
      <c r="H644" s="222"/>
      <c r="I644" s="222"/>
      <c r="J644" s="222"/>
      <c r="K644" s="222"/>
      <c r="L644" s="222"/>
      <c r="M644" s="222"/>
      <c r="N644" s="222"/>
      <c r="O644" s="222"/>
      <c r="P644" s="222"/>
      <c r="Q644" s="223"/>
      <c r="R644" s="222"/>
      <c r="S644" s="222"/>
      <c r="T644" s="222"/>
      <c r="U644" s="222"/>
      <c r="V644" s="222"/>
      <c r="W644" s="223"/>
      <c r="X644" s="223"/>
      <c r="Y644" s="222"/>
      <c r="Z644" s="222"/>
      <c r="AA644" s="222"/>
      <c r="AB644" s="224"/>
    </row>
    <row r="645" spans="1:28" ht="13.5" customHeight="1">
      <c r="A645" s="222"/>
      <c r="B645" s="222"/>
      <c r="C645" s="222"/>
      <c r="D645" s="222"/>
      <c r="E645" s="222"/>
      <c r="F645" s="222"/>
      <c r="G645" s="222"/>
      <c r="H645" s="222"/>
      <c r="I645" s="222"/>
      <c r="J645" s="222"/>
      <c r="K645" s="222"/>
      <c r="L645" s="222"/>
      <c r="M645" s="222"/>
      <c r="N645" s="222"/>
      <c r="O645" s="222"/>
      <c r="P645" s="222"/>
      <c r="Q645" s="223"/>
      <c r="R645" s="222"/>
      <c r="S645" s="222"/>
      <c r="T645" s="222"/>
      <c r="U645" s="222"/>
      <c r="V645" s="222"/>
      <c r="W645" s="223"/>
      <c r="X645" s="223"/>
      <c r="Y645" s="222"/>
      <c r="Z645" s="222"/>
      <c r="AA645" s="222"/>
      <c r="AB645" s="224"/>
    </row>
    <row r="646" spans="1:28" ht="13.5" customHeight="1">
      <c r="A646" s="222"/>
      <c r="B646" s="222"/>
      <c r="C646" s="222"/>
      <c r="D646" s="222"/>
      <c r="E646" s="222"/>
      <c r="F646" s="222"/>
      <c r="G646" s="222"/>
      <c r="H646" s="222"/>
      <c r="I646" s="222"/>
      <c r="J646" s="222"/>
      <c r="K646" s="222"/>
      <c r="L646" s="222"/>
      <c r="M646" s="222"/>
      <c r="N646" s="222"/>
      <c r="O646" s="222"/>
      <c r="P646" s="222"/>
      <c r="Q646" s="223"/>
      <c r="R646" s="222"/>
      <c r="S646" s="222"/>
      <c r="T646" s="222"/>
      <c r="U646" s="222"/>
      <c r="V646" s="222"/>
      <c r="W646" s="223"/>
      <c r="X646" s="223"/>
      <c r="Y646" s="222"/>
      <c r="Z646" s="222"/>
      <c r="AA646" s="222"/>
      <c r="AB646" s="224"/>
    </row>
    <row r="647" spans="1:28" ht="13.5" customHeight="1">
      <c r="A647" s="222"/>
      <c r="B647" s="222"/>
      <c r="C647" s="222"/>
      <c r="D647" s="222"/>
      <c r="E647" s="222"/>
      <c r="F647" s="222"/>
      <c r="G647" s="222"/>
      <c r="H647" s="222"/>
      <c r="I647" s="222"/>
      <c r="J647" s="222"/>
      <c r="K647" s="222"/>
      <c r="L647" s="222"/>
      <c r="M647" s="222"/>
      <c r="N647" s="222"/>
      <c r="O647" s="222"/>
      <c r="P647" s="222"/>
      <c r="Q647" s="223"/>
      <c r="R647" s="222"/>
      <c r="S647" s="222"/>
      <c r="T647" s="222"/>
      <c r="U647" s="222"/>
      <c r="V647" s="222"/>
      <c r="W647" s="223"/>
      <c r="X647" s="223"/>
      <c r="Y647" s="222"/>
      <c r="Z647" s="222"/>
      <c r="AA647" s="222"/>
      <c r="AB647" s="224"/>
    </row>
    <row r="648" spans="1:28" ht="13.5" customHeight="1">
      <c r="A648" s="222"/>
      <c r="B648" s="222"/>
      <c r="C648" s="222"/>
      <c r="D648" s="222"/>
      <c r="E648" s="222"/>
      <c r="F648" s="222"/>
      <c r="G648" s="222"/>
      <c r="H648" s="222"/>
      <c r="I648" s="222"/>
      <c r="J648" s="222"/>
      <c r="K648" s="222"/>
      <c r="L648" s="222"/>
      <c r="M648" s="222"/>
      <c r="N648" s="222"/>
      <c r="O648" s="222"/>
      <c r="P648" s="222"/>
      <c r="Q648" s="223"/>
      <c r="R648" s="222"/>
      <c r="S648" s="222"/>
      <c r="T648" s="222"/>
      <c r="U648" s="222"/>
      <c r="V648" s="222"/>
      <c r="W648" s="223"/>
      <c r="X648" s="223"/>
      <c r="Y648" s="222"/>
      <c r="Z648" s="222"/>
      <c r="AA648" s="222"/>
      <c r="AB648" s="224"/>
    </row>
    <row r="649" spans="1:28" ht="13.5" customHeight="1">
      <c r="A649" s="222"/>
      <c r="B649" s="222"/>
      <c r="C649" s="222"/>
      <c r="D649" s="222"/>
      <c r="E649" s="222"/>
      <c r="F649" s="222"/>
      <c r="G649" s="222"/>
      <c r="H649" s="222"/>
      <c r="I649" s="222"/>
      <c r="J649" s="222"/>
      <c r="K649" s="222"/>
      <c r="L649" s="222"/>
      <c r="M649" s="222"/>
      <c r="N649" s="222"/>
      <c r="O649" s="222"/>
      <c r="P649" s="222"/>
      <c r="Q649" s="223"/>
      <c r="R649" s="222"/>
      <c r="S649" s="222"/>
      <c r="T649" s="222"/>
      <c r="U649" s="222"/>
      <c r="V649" s="222"/>
      <c r="W649" s="223"/>
      <c r="X649" s="223"/>
      <c r="Y649" s="222"/>
      <c r="Z649" s="222"/>
      <c r="AA649" s="222"/>
      <c r="AB649" s="224"/>
    </row>
    <row r="650" spans="1:28" ht="13.5" customHeight="1">
      <c r="A650" s="222"/>
      <c r="B650" s="222"/>
      <c r="C650" s="222"/>
      <c r="D650" s="222"/>
      <c r="E650" s="222"/>
      <c r="F650" s="222"/>
      <c r="G650" s="222"/>
      <c r="H650" s="222"/>
      <c r="I650" s="222"/>
      <c r="J650" s="222"/>
      <c r="K650" s="222"/>
      <c r="L650" s="222"/>
      <c r="M650" s="222"/>
      <c r="N650" s="222"/>
      <c r="O650" s="222"/>
      <c r="P650" s="222"/>
      <c r="Q650" s="223"/>
      <c r="R650" s="222"/>
      <c r="S650" s="222"/>
      <c r="T650" s="222"/>
      <c r="U650" s="222"/>
      <c r="V650" s="222"/>
      <c r="W650" s="223"/>
      <c r="X650" s="223"/>
      <c r="Y650" s="222"/>
      <c r="Z650" s="222"/>
      <c r="AA650" s="222"/>
      <c r="AB650" s="224"/>
    </row>
    <row r="651" spans="1:28" ht="13.5" customHeight="1">
      <c r="A651" s="222"/>
      <c r="B651" s="222"/>
      <c r="C651" s="222"/>
      <c r="D651" s="222"/>
      <c r="E651" s="222"/>
      <c r="F651" s="222"/>
      <c r="G651" s="222"/>
      <c r="H651" s="222"/>
      <c r="I651" s="222"/>
      <c r="J651" s="222"/>
      <c r="K651" s="222"/>
      <c r="L651" s="222"/>
      <c r="M651" s="222"/>
      <c r="N651" s="222"/>
      <c r="O651" s="222"/>
      <c r="P651" s="222"/>
      <c r="Q651" s="223"/>
      <c r="R651" s="222"/>
      <c r="S651" s="222"/>
      <c r="T651" s="222"/>
      <c r="U651" s="222"/>
      <c r="V651" s="222"/>
      <c r="W651" s="223"/>
      <c r="X651" s="223"/>
      <c r="Y651" s="222"/>
      <c r="Z651" s="222"/>
      <c r="AA651" s="222"/>
      <c r="AB651" s="224"/>
    </row>
    <row r="652" spans="1:28" ht="13.5" customHeight="1">
      <c r="A652" s="222"/>
      <c r="B652" s="222"/>
      <c r="C652" s="222"/>
      <c r="D652" s="222"/>
      <c r="E652" s="222"/>
      <c r="F652" s="222"/>
      <c r="G652" s="222"/>
      <c r="H652" s="222"/>
      <c r="I652" s="222"/>
      <c r="J652" s="222"/>
      <c r="K652" s="222"/>
      <c r="L652" s="222"/>
      <c r="M652" s="222"/>
      <c r="N652" s="222"/>
      <c r="O652" s="222"/>
      <c r="P652" s="222"/>
      <c r="Q652" s="223"/>
      <c r="R652" s="222"/>
      <c r="S652" s="222"/>
      <c r="T652" s="222"/>
      <c r="U652" s="222"/>
      <c r="V652" s="222"/>
      <c r="W652" s="223"/>
      <c r="X652" s="223"/>
      <c r="Y652" s="222"/>
      <c r="Z652" s="222"/>
      <c r="AA652" s="222"/>
      <c r="AB652" s="224"/>
    </row>
    <row r="653" spans="1:28" ht="13.5" customHeight="1">
      <c r="A653" s="222"/>
      <c r="B653" s="222"/>
      <c r="C653" s="222"/>
      <c r="D653" s="222"/>
      <c r="E653" s="222"/>
      <c r="F653" s="222"/>
      <c r="G653" s="222"/>
      <c r="H653" s="222"/>
      <c r="I653" s="222"/>
      <c r="J653" s="222"/>
      <c r="K653" s="222"/>
      <c r="L653" s="222"/>
      <c r="M653" s="222"/>
      <c r="N653" s="222"/>
      <c r="O653" s="222"/>
      <c r="P653" s="222"/>
      <c r="Q653" s="223"/>
      <c r="R653" s="222"/>
      <c r="S653" s="222"/>
      <c r="T653" s="222"/>
      <c r="U653" s="222"/>
      <c r="V653" s="222"/>
      <c r="W653" s="223"/>
      <c r="X653" s="223"/>
      <c r="Y653" s="222"/>
      <c r="Z653" s="222"/>
      <c r="AA653" s="222"/>
      <c r="AB653" s="224"/>
    </row>
    <row r="654" spans="1:28" ht="13.5" customHeight="1">
      <c r="A654" s="222"/>
      <c r="B654" s="222"/>
      <c r="C654" s="222"/>
      <c r="D654" s="222"/>
      <c r="E654" s="222"/>
      <c r="F654" s="222"/>
      <c r="G654" s="222"/>
      <c r="H654" s="222"/>
      <c r="I654" s="222"/>
      <c r="J654" s="222"/>
      <c r="K654" s="222"/>
      <c r="L654" s="222"/>
      <c r="M654" s="222"/>
      <c r="N654" s="222"/>
      <c r="O654" s="222"/>
      <c r="P654" s="222"/>
      <c r="Q654" s="223"/>
      <c r="R654" s="222"/>
      <c r="S654" s="222"/>
      <c r="T654" s="222"/>
      <c r="U654" s="222"/>
      <c r="V654" s="222"/>
      <c r="W654" s="223"/>
      <c r="X654" s="223"/>
      <c r="Y654" s="222"/>
      <c r="Z654" s="222"/>
      <c r="AA654" s="222"/>
      <c r="AB654" s="224"/>
    </row>
    <row r="655" spans="1:28" ht="13.5" customHeight="1">
      <c r="A655" s="222"/>
      <c r="B655" s="222"/>
      <c r="C655" s="222"/>
      <c r="D655" s="222"/>
      <c r="E655" s="222"/>
      <c r="F655" s="222"/>
      <c r="G655" s="222"/>
      <c r="H655" s="222"/>
      <c r="I655" s="222"/>
      <c r="J655" s="222"/>
      <c r="K655" s="222"/>
      <c r="L655" s="222"/>
      <c r="M655" s="222"/>
      <c r="N655" s="222"/>
      <c r="O655" s="222"/>
      <c r="P655" s="222"/>
      <c r="Q655" s="223"/>
      <c r="R655" s="222"/>
      <c r="S655" s="222"/>
      <c r="T655" s="222"/>
      <c r="U655" s="222"/>
      <c r="V655" s="222"/>
      <c r="W655" s="223"/>
      <c r="X655" s="223"/>
      <c r="Y655" s="222"/>
      <c r="Z655" s="222"/>
      <c r="AA655" s="222"/>
      <c r="AB655" s="224"/>
    </row>
    <row r="656" spans="1:28" ht="13.5" customHeight="1">
      <c r="A656" s="222"/>
      <c r="B656" s="222"/>
      <c r="C656" s="222"/>
      <c r="D656" s="222"/>
      <c r="E656" s="222"/>
      <c r="F656" s="222"/>
      <c r="G656" s="222"/>
      <c r="H656" s="222"/>
      <c r="I656" s="222"/>
      <c r="J656" s="222"/>
      <c r="K656" s="222"/>
      <c r="L656" s="222"/>
      <c r="M656" s="222"/>
      <c r="N656" s="222"/>
      <c r="O656" s="222"/>
      <c r="P656" s="222"/>
      <c r="Q656" s="223"/>
      <c r="R656" s="222"/>
      <c r="S656" s="222"/>
      <c r="T656" s="222"/>
      <c r="U656" s="222"/>
      <c r="V656" s="222"/>
      <c r="W656" s="223"/>
      <c r="X656" s="223"/>
      <c r="Y656" s="222"/>
      <c r="Z656" s="222"/>
      <c r="AA656" s="222"/>
      <c r="AB656" s="224"/>
    </row>
    <row r="657" spans="1:28" ht="13.5" customHeight="1">
      <c r="A657" s="222"/>
      <c r="B657" s="222"/>
      <c r="C657" s="222"/>
      <c r="D657" s="222"/>
      <c r="E657" s="222"/>
      <c r="F657" s="222"/>
      <c r="G657" s="222"/>
      <c r="H657" s="222"/>
      <c r="I657" s="222"/>
      <c r="J657" s="222"/>
      <c r="K657" s="222"/>
      <c r="L657" s="222"/>
      <c r="M657" s="222"/>
      <c r="N657" s="222"/>
      <c r="O657" s="222"/>
      <c r="P657" s="222"/>
      <c r="Q657" s="223"/>
      <c r="R657" s="222"/>
      <c r="S657" s="222"/>
      <c r="T657" s="222"/>
      <c r="U657" s="222"/>
      <c r="V657" s="222"/>
      <c r="W657" s="223"/>
      <c r="X657" s="223"/>
      <c r="Y657" s="222"/>
      <c r="Z657" s="222"/>
      <c r="AA657" s="222"/>
      <c r="AB657" s="224"/>
    </row>
    <row r="658" spans="1:28" ht="13.5" customHeight="1">
      <c r="A658" s="222"/>
      <c r="B658" s="222"/>
      <c r="C658" s="222"/>
      <c r="D658" s="222"/>
      <c r="E658" s="222"/>
      <c r="F658" s="222"/>
      <c r="G658" s="222"/>
      <c r="H658" s="222"/>
      <c r="I658" s="222"/>
      <c r="J658" s="222"/>
      <c r="K658" s="222"/>
      <c r="L658" s="222"/>
      <c r="M658" s="222"/>
      <c r="N658" s="222"/>
      <c r="O658" s="222"/>
      <c r="P658" s="222"/>
      <c r="Q658" s="223"/>
      <c r="R658" s="222"/>
      <c r="S658" s="222"/>
      <c r="T658" s="222"/>
      <c r="U658" s="222"/>
      <c r="V658" s="222"/>
      <c r="W658" s="223"/>
      <c r="X658" s="223"/>
      <c r="Y658" s="222"/>
      <c r="Z658" s="222"/>
      <c r="AA658" s="222"/>
      <c r="AB658" s="224"/>
    </row>
    <row r="659" spans="1:28" ht="13.5" customHeight="1">
      <c r="A659" s="222"/>
      <c r="B659" s="222"/>
      <c r="C659" s="222"/>
      <c r="D659" s="222"/>
      <c r="E659" s="222"/>
      <c r="F659" s="222"/>
      <c r="G659" s="222"/>
      <c r="H659" s="222"/>
      <c r="I659" s="222"/>
      <c r="J659" s="222"/>
      <c r="K659" s="222"/>
      <c r="L659" s="222"/>
      <c r="M659" s="222"/>
      <c r="N659" s="222"/>
      <c r="O659" s="222"/>
      <c r="P659" s="222"/>
      <c r="Q659" s="223"/>
      <c r="R659" s="222"/>
      <c r="S659" s="222"/>
      <c r="T659" s="222"/>
      <c r="U659" s="222"/>
      <c r="V659" s="222"/>
      <c r="W659" s="223"/>
      <c r="X659" s="223"/>
      <c r="Y659" s="222"/>
      <c r="Z659" s="222"/>
      <c r="AA659" s="222"/>
      <c r="AB659" s="224"/>
    </row>
    <row r="660" spans="1:28" ht="13.5" customHeight="1">
      <c r="A660" s="222"/>
      <c r="B660" s="222"/>
      <c r="C660" s="222"/>
      <c r="D660" s="222"/>
      <c r="E660" s="222"/>
      <c r="F660" s="222"/>
      <c r="G660" s="222"/>
      <c r="H660" s="222"/>
      <c r="I660" s="222"/>
      <c r="J660" s="222"/>
      <c r="K660" s="222"/>
      <c r="L660" s="222"/>
      <c r="M660" s="222"/>
      <c r="N660" s="222"/>
      <c r="O660" s="222"/>
      <c r="P660" s="222"/>
      <c r="Q660" s="223"/>
      <c r="R660" s="222"/>
      <c r="S660" s="222"/>
      <c r="T660" s="222"/>
      <c r="U660" s="222"/>
      <c r="V660" s="222"/>
      <c r="W660" s="223"/>
      <c r="X660" s="223"/>
      <c r="Y660" s="222"/>
      <c r="Z660" s="222"/>
      <c r="AA660" s="222"/>
      <c r="AB660" s="224"/>
    </row>
    <row r="661" spans="1:28" ht="13.5" customHeight="1">
      <c r="A661" s="222"/>
      <c r="B661" s="222"/>
      <c r="C661" s="222"/>
      <c r="D661" s="222"/>
      <c r="E661" s="222"/>
      <c r="F661" s="222"/>
      <c r="G661" s="222"/>
      <c r="H661" s="222"/>
      <c r="I661" s="222"/>
      <c r="J661" s="222"/>
      <c r="K661" s="222"/>
      <c r="L661" s="222"/>
      <c r="M661" s="222"/>
      <c r="N661" s="222"/>
      <c r="O661" s="222"/>
      <c r="P661" s="222"/>
      <c r="Q661" s="223"/>
      <c r="R661" s="222"/>
      <c r="S661" s="222"/>
      <c r="T661" s="222"/>
      <c r="U661" s="222"/>
      <c r="V661" s="222"/>
      <c r="W661" s="223"/>
      <c r="X661" s="223"/>
      <c r="Y661" s="222"/>
      <c r="Z661" s="222"/>
      <c r="AA661" s="222"/>
      <c r="AB661" s="224"/>
    </row>
    <row r="662" spans="1:28" ht="13.5" customHeight="1">
      <c r="A662" s="222"/>
      <c r="B662" s="222"/>
      <c r="C662" s="222"/>
      <c r="D662" s="222"/>
      <c r="E662" s="222"/>
      <c r="F662" s="222"/>
      <c r="G662" s="222"/>
      <c r="H662" s="222"/>
      <c r="I662" s="222"/>
      <c r="J662" s="222"/>
      <c r="K662" s="222"/>
      <c r="L662" s="222"/>
      <c r="M662" s="222"/>
      <c r="N662" s="222"/>
      <c r="O662" s="222"/>
      <c r="P662" s="222"/>
      <c r="Q662" s="223"/>
      <c r="R662" s="222"/>
      <c r="S662" s="222"/>
      <c r="T662" s="222"/>
      <c r="U662" s="222"/>
      <c r="V662" s="222"/>
      <c r="W662" s="223"/>
      <c r="X662" s="223"/>
      <c r="Y662" s="222"/>
      <c r="Z662" s="222"/>
      <c r="AA662" s="222"/>
      <c r="AB662" s="224"/>
    </row>
    <row r="663" spans="1:28" ht="13.5" customHeight="1">
      <c r="A663" s="222"/>
      <c r="B663" s="222"/>
      <c r="C663" s="222"/>
      <c r="D663" s="222"/>
      <c r="E663" s="222"/>
      <c r="F663" s="222"/>
      <c r="G663" s="222"/>
      <c r="H663" s="222"/>
      <c r="I663" s="222"/>
      <c r="J663" s="222"/>
      <c r="K663" s="222"/>
      <c r="L663" s="222"/>
      <c r="M663" s="222"/>
      <c r="N663" s="222"/>
      <c r="O663" s="222"/>
      <c r="P663" s="222"/>
      <c r="Q663" s="223"/>
      <c r="R663" s="222"/>
      <c r="S663" s="222"/>
      <c r="T663" s="222"/>
      <c r="U663" s="222"/>
      <c r="V663" s="222"/>
      <c r="W663" s="223"/>
      <c r="X663" s="223"/>
      <c r="Y663" s="222"/>
      <c r="Z663" s="222"/>
      <c r="AA663" s="222"/>
      <c r="AB663" s="224"/>
    </row>
    <row r="664" spans="1:28" ht="13.5" customHeight="1">
      <c r="A664" s="222"/>
      <c r="B664" s="222"/>
      <c r="C664" s="222"/>
      <c r="D664" s="222"/>
      <c r="E664" s="222"/>
      <c r="F664" s="222"/>
      <c r="G664" s="222"/>
      <c r="H664" s="222"/>
      <c r="I664" s="222"/>
      <c r="J664" s="222"/>
      <c r="K664" s="222"/>
      <c r="L664" s="222"/>
      <c r="M664" s="222"/>
      <c r="N664" s="222"/>
      <c r="O664" s="222"/>
      <c r="P664" s="222"/>
      <c r="Q664" s="223"/>
      <c r="R664" s="222"/>
      <c r="S664" s="222"/>
      <c r="T664" s="222"/>
      <c r="U664" s="222"/>
      <c r="V664" s="222"/>
      <c r="W664" s="223"/>
      <c r="X664" s="223"/>
      <c r="Y664" s="222"/>
      <c r="Z664" s="222"/>
      <c r="AA664" s="222"/>
      <c r="AB664" s="224"/>
    </row>
    <row r="665" spans="1:28" ht="13.5" customHeight="1">
      <c r="A665" s="222"/>
      <c r="B665" s="222"/>
      <c r="C665" s="222"/>
      <c r="D665" s="222"/>
      <c r="E665" s="222"/>
      <c r="F665" s="222"/>
      <c r="G665" s="222"/>
      <c r="H665" s="222"/>
      <c r="I665" s="222"/>
      <c r="J665" s="222"/>
      <c r="K665" s="222"/>
      <c r="L665" s="222"/>
      <c r="M665" s="222"/>
      <c r="N665" s="222"/>
      <c r="O665" s="222"/>
      <c r="P665" s="222"/>
      <c r="Q665" s="223"/>
      <c r="R665" s="222"/>
      <c r="S665" s="222"/>
      <c r="T665" s="222"/>
      <c r="U665" s="222"/>
      <c r="V665" s="222"/>
      <c r="W665" s="223"/>
      <c r="X665" s="223"/>
      <c r="Y665" s="222"/>
      <c r="Z665" s="222"/>
      <c r="AA665" s="222"/>
      <c r="AB665" s="224"/>
    </row>
    <row r="666" spans="1:28" ht="13.5" customHeight="1">
      <c r="A666" s="222"/>
      <c r="B666" s="222"/>
      <c r="C666" s="222"/>
      <c r="D666" s="222"/>
      <c r="E666" s="222"/>
      <c r="F666" s="222"/>
      <c r="G666" s="222"/>
      <c r="H666" s="222"/>
      <c r="I666" s="222"/>
      <c r="J666" s="222"/>
      <c r="K666" s="222"/>
      <c r="L666" s="222"/>
      <c r="M666" s="222"/>
      <c r="N666" s="222"/>
      <c r="O666" s="222"/>
      <c r="P666" s="222"/>
      <c r="Q666" s="223"/>
      <c r="R666" s="222"/>
      <c r="S666" s="222"/>
      <c r="T666" s="222"/>
      <c r="U666" s="222"/>
      <c r="V666" s="222"/>
      <c r="W666" s="223"/>
      <c r="X666" s="223"/>
      <c r="Y666" s="222"/>
      <c r="Z666" s="222"/>
      <c r="AA666" s="222"/>
      <c r="AB666" s="224"/>
    </row>
    <row r="667" spans="1:28" ht="13.5" customHeight="1">
      <c r="A667" s="222"/>
      <c r="B667" s="222"/>
      <c r="C667" s="222"/>
      <c r="D667" s="222"/>
      <c r="E667" s="222"/>
      <c r="F667" s="222"/>
      <c r="G667" s="222"/>
      <c r="H667" s="222"/>
      <c r="I667" s="222"/>
      <c r="J667" s="222"/>
      <c r="K667" s="222"/>
      <c r="L667" s="222"/>
      <c r="M667" s="222"/>
      <c r="N667" s="222"/>
      <c r="O667" s="222"/>
      <c r="P667" s="222"/>
      <c r="Q667" s="223"/>
      <c r="R667" s="222"/>
      <c r="S667" s="222"/>
      <c r="T667" s="222"/>
      <c r="U667" s="222"/>
      <c r="V667" s="222"/>
      <c r="W667" s="223"/>
      <c r="X667" s="223"/>
      <c r="Y667" s="222"/>
      <c r="Z667" s="222"/>
      <c r="AA667" s="222"/>
      <c r="AB667" s="224"/>
    </row>
    <row r="668" spans="1:28" ht="13.5" customHeight="1">
      <c r="A668" s="222"/>
      <c r="B668" s="222"/>
      <c r="C668" s="222"/>
      <c r="D668" s="222"/>
      <c r="E668" s="222"/>
      <c r="F668" s="222"/>
      <c r="G668" s="222"/>
      <c r="H668" s="222"/>
      <c r="I668" s="222"/>
      <c r="J668" s="222"/>
      <c r="K668" s="222"/>
      <c r="L668" s="222"/>
      <c r="M668" s="222"/>
      <c r="N668" s="222"/>
      <c r="O668" s="222"/>
      <c r="P668" s="222"/>
      <c r="Q668" s="223"/>
      <c r="R668" s="222"/>
      <c r="S668" s="222"/>
      <c r="T668" s="222"/>
      <c r="U668" s="222"/>
      <c r="V668" s="222"/>
      <c r="W668" s="223"/>
      <c r="X668" s="223"/>
      <c r="Y668" s="222"/>
      <c r="Z668" s="222"/>
      <c r="AA668" s="222"/>
      <c r="AB668" s="224"/>
    </row>
    <row r="669" spans="1:28" ht="13.5" customHeight="1">
      <c r="A669" s="222"/>
      <c r="B669" s="222"/>
      <c r="C669" s="222"/>
      <c r="D669" s="222"/>
      <c r="E669" s="222"/>
      <c r="F669" s="222"/>
      <c r="G669" s="222"/>
      <c r="H669" s="222"/>
      <c r="I669" s="222"/>
      <c r="J669" s="222"/>
      <c r="K669" s="222"/>
      <c r="L669" s="222"/>
      <c r="M669" s="222"/>
      <c r="N669" s="222"/>
      <c r="O669" s="222"/>
      <c r="P669" s="222"/>
      <c r="Q669" s="223"/>
      <c r="R669" s="222"/>
      <c r="S669" s="222"/>
      <c r="T669" s="222"/>
      <c r="U669" s="222"/>
      <c r="V669" s="222"/>
      <c r="W669" s="223"/>
      <c r="X669" s="223"/>
      <c r="Y669" s="222"/>
      <c r="Z669" s="222"/>
      <c r="AA669" s="222"/>
      <c r="AB669" s="224"/>
    </row>
    <row r="670" spans="1:28" ht="13.5" customHeight="1">
      <c r="A670" s="222"/>
      <c r="B670" s="222"/>
      <c r="C670" s="222"/>
      <c r="D670" s="222"/>
      <c r="E670" s="222"/>
      <c r="F670" s="222"/>
      <c r="G670" s="222"/>
      <c r="H670" s="222"/>
      <c r="I670" s="222"/>
      <c r="J670" s="222"/>
      <c r="K670" s="222"/>
      <c r="L670" s="222"/>
      <c r="M670" s="222"/>
      <c r="N670" s="222"/>
      <c r="O670" s="222"/>
      <c r="P670" s="222"/>
      <c r="Q670" s="223"/>
      <c r="R670" s="222"/>
      <c r="S670" s="222"/>
      <c r="T670" s="222"/>
      <c r="U670" s="222"/>
      <c r="V670" s="222"/>
      <c r="W670" s="223"/>
      <c r="X670" s="223"/>
      <c r="Y670" s="222"/>
      <c r="Z670" s="222"/>
      <c r="AA670" s="222"/>
      <c r="AB670" s="224"/>
    </row>
    <row r="671" spans="1:28" ht="13.5" customHeight="1">
      <c r="A671" s="222"/>
      <c r="B671" s="222"/>
      <c r="C671" s="222"/>
      <c r="D671" s="222"/>
      <c r="E671" s="222"/>
      <c r="F671" s="222"/>
      <c r="G671" s="222"/>
      <c r="H671" s="222"/>
      <c r="I671" s="222"/>
      <c r="J671" s="222"/>
      <c r="K671" s="222"/>
      <c r="L671" s="222"/>
      <c r="M671" s="222"/>
      <c r="N671" s="222"/>
      <c r="O671" s="222"/>
      <c r="P671" s="222"/>
      <c r="Q671" s="223"/>
      <c r="R671" s="222"/>
      <c r="S671" s="222"/>
      <c r="T671" s="222"/>
      <c r="U671" s="222"/>
      <c r="V671" s="222"/>
      <c r="W671" s="223"/>
      <c r="X671" s="223"/>
      <c r="Y671" s="222"/>
      <c r="Z671" s="222"/>
      <c r="AA671" s="222"/>
      <c r="AB671" s="224"/>
    </row>
    <row r="672" spans="1:28" ht="13.5" customHeight="1">
      <c r="A672" s="222"/>
      <c r="B672" s="222"/>
      <c r="C672" s="222"/>
      <c r="D672" s="222"/>
      <c r="E672" s="222"/>
      <c r="F672" s="222"/>
      <c r="G672" s="222"/>
      <c r="H672" s="222"/>
      <c r="I672" s="222"/>
      <c r="J672" s="222"/>
      <c r="K672" s="222"/>
      <c r="L672" s="222"/>
      <c r="M672" s="222"/>
      <c r="N672" s="222"/>
      <c r="O672" s="222"/>
      <c r="P672" s="222"/>
      <c r="Q672" s="223"/>
      <c r="R672" s="222"/>
      <c r="S672" s="222"/>
      <c r="T672" s="222"/>
      <c r="U672" s="222"/>
      <c r="V672" s="222"/>
      <c r="W672" s="223"/>
      <c r="X672" s="223"/>
      <c r="Y672" s="222"/>
      <c r="Z672" s="222"/>
      <c r="AA672" s="222"/>
      <c r="AB672" s="224"/>
    </row>
    <row r="673" spans="1:28" ht="13.5" customHeight="1">
      <c r="A673" s="222"/>
      <c r="B673" s="222"/>
      <c r="C673" s="222"/>
      <c r="D673" s="222"/>
      <c r="E673" s="222"/>
      <c r="F673" s="222"/>
      <c r="G673" s="222"/>
      <c r="H673" s="222"/>
      <c r="I673" s="222"/>
      <c r="J673" s="222"/>
      <c r="K673" s="222"/>
      <c r="L673" s="222"/>
      <c r="M673" s="222"/>
      <c r="N673" s="222"/>
      <c r="O673" s="222"/>
      <c r="P673" s="222"/>
      <c r="Q673" s="223"/>
      <c r="R673" s="222"/>
      <c r="S673" s="222"/>
      <c r="T673" s="222"/>
      <c r="U673" s="222"/>
      <c r="V673" s="222"/>
      <c r="W673" s="223"/>
      <c r="X673" s="223"/>
      <c r="Y673" s="222"/>
      <c r="Z673" s="222"/>
      <c r="AA673" s="222"/>
      <c r="AB673" s="224"/>
    </row>
    <row r="674" spans="1:28" ht="13.5" customHeight="1">
      <c r="A674" s="222"/>
      <c r="B674" s="222"/>
      <c r="C674" s="222"/>
      <c r="D674" s="222"/>
      <c r="E674" s="222"/>
      <c r="F674" s="222"/>
      <c r="G674" s="222"/>
      <c r="H674" s="222"/>
      <c r="I674" s="222"/>
      <c r="J674" s="222"/>
      <c r="K674" s="222"/>
      <c r="L674" s="222"/>
      <c r="M674" s="222"/>
      <c r="N674" s="222"/>
      <c r="O674" s="222"/>
      <c r="P674" s="222"/>
      <c r="Q674" s="223"/>
      <c r="R674" s="222"/>
      <c r="S674" s="222"/>
      <c r="T674" s="222"/>
      <c r="U674" s="222"/>
      <c r="V674" s="222"/>
      <c r="W674" s="223"/>
      <c r="X674" s="223"/>
      <c r="Y674" s="222"/>
      <c r="Z674" s="222"/>
      <c r="AA674" s="222"/>
      <c r="AB674" s="224"/>
    </row>
    <row r="675" spans="1:28" ht="13.5" customHeight="1">
      <c r="A675" s="222"/>
      <c r="B675" s="222"/>
      <c r="C675" s="222"/>
      <c r="D675" s="222"/>
      <c r="E675" s="222"/>
      <c r="F675" s="222"/>
      <c r="G675" s="222"/>
      <c r="H675" s="222"/>
      <c r="I675" s="222"/>
      <c r="J675" s="222"/>
      <c r="K675" s="222"/>
      <c r="L675" s="222"/>
      <c r="M675" s="222"/>
      <c r="N675" s="222"/>
      <c r="O675" s="222"/>
      <c r="P675" s="222"/>
      <c r="Q675" s="223"/>
      <c r="R675" s="222"/>
      <c r="S675" s="222"/>
      <c r="T675" s="222"/>
      <c r="U675" s="222"/>
      <c r="V675" s="222"/>
      <c r="W675" s="223"/>
      <c r="X675" s="223"/>
      <c r="Y675" s="222"/>
      <c r="Z675" s="222"/>
      <c r="AA675" s="222"/>
      <c r="AB675" s="224"/>
    </row>
    <row r="676" spans="1:28" ht="13.5" customHeight="1">
      <c r="A676" s="222"/>
      <c r="B676" s="222"/>
      <c r="C676" s="222"/>
      <c r="D676" s="222"/>
      <c r="E676" s="222"/>
      <c r="F676" s="222"/>
      <c r="G676" s="222"/>
      <c r="H676" s="222"/>
      <c r="I676" s="222"/>
      <c r="J676" s="222"/>
      <c r="K676" s="222"/>
      <c r="L676" s="222"/>
      <c r="M676" s="222"/>
      <c r="N676" s="222"/>
      <c r="O676" s="222"/>
      <c r="P676" s="222"/>
      <c r="Q676" s="223"/>
      <c r="R676" s="222"/>
      <c r="S676" s="222"/>
      <c r="T676" s="222"/>
      <c r="U676" s="222"/>
      <c r="V676" s="222"/>
      <c r="W676" s="223"/>
      <c r="X676" s="223"/>
      <c r="Y676" s="222"/>
      <c r="Z676" s="222"/>
      <c r="AA676" s="222"/>
      <c r="AB676" s="224"/>
    </row>
    <row r="677" spans="1:28" ht="13.5" customHeight="1">
      <c r="A677" s="222"/>
      <c r="B677" s="222"/>
      <c r="C677" s="222"/>
      <c r="D677" s="222"/>
      <c r="E677" s="222"/>
      <c r="F677" s="222"/>
      <c r="G677" s="222"/>
      <c r="H677" s="222"/>
      <c r="I677" s="222"/>
      <c r="J677" s="222"/>
      <c r="K677" s="222"/>
      <c r="L677" s="222"/>
      <c r="M677" s="222"/>
      <c r="N677" s="222"/>
      <c r="O677" s="222"/>
      <c r="P677" s="222"/>
      <c r="Q677" s="223"/>
      <c r="R677" s="222"/>
      <c r="S677" s="222"/>
      <c r="T677" s="222"/>
      <c r="U677" s="222"/>
      <c r="V677" s="222"/>
      <c r="W677" s="223"/>
      <c r="X677" s="223"/>
      <c r="Y677" s="222"/>
      <c r="Z677" s="222"/>
      <c r="AA677" s="222"/>
      <c r="AB677" s="224"/>
    </row>
    <row r="678" spans="1:28" ht="13.5" customHeight="1">
      <c r="A678" s="222"/>
      <c r="B678" s="222"/>
      <c r="C678" s="222"/>
      <c r="D678" s="222"/>
      <c r="E678" s="222"/>
      <c r="F678" s="222"/>
      <c r="G678" s="222"/>
      <c r="H678" s="222"/>
      <c r="I678" s="222"/>
      <c r="J678" s="222"/>
      <c r="K678" s="222"/>
      <c r="L678" s="222"/>
      <c r="M678" s="222"/>
      <c r="N678" s="222"/>
      <c r="O678" s="222"/>
      <c r="P678" s="222"/>
      <c r="Q678" s="223"/>
      <c r="R678" s="222"/>
      <c r="S678" s="222"/>
      <c r="T678" s="222"/>
      <c r="U678" s="222"/>
      <c r="V678" s="222"/>
      <c r="W678" s="223"/>
      <c r="X678" s="223"/>
      <c r="Y678" s="222"/>
      <c r="Z678" s="222"/>
      <c r="AA678" s="222"/>
      <c r="AB678" s="224"/>
    </row>
    <row r="679" spans="1:28" ht="13.5" customHeight="1">
      <c r="A679" s="222"/>
      <c r="B679" s="222"/>
      <c r="C679" s="222"/>
      <c r="D679" s="222"/>
      <c r="E679" s="222"/>
      <c r="F679" s="222"/>
      <c r="G679" s="222"/>
      <c r="H679" s="222"/>
      <c r="I679" s="222"/>
      <c r="J679" s="222"/>
      <c r="K679" s="222"/>
      <c r="L679" s="222"/>
      <c r="M679" s="222"/>
      <c r="N679" s="222"/>
      <c r="O679" s="222"/>
      <c r="P679" s="222"/>
      <c r="Q679" s="223"/>
      <c r="R679" s="222"/>
      <c r="S679" s="222"/>
      <c r="T679" s="222"/>
      <c r="U679" s="222"/>
      <c r="V679" s="222"/>
      <c r="W679" s="223"/>
      <c r="X679" s="223"/>
      <c r="Y679" s="222"/>
      <c r="Z679" s="222"/>
      <c r="AA679" s="222"/>
      <c r="AB679" s="224"/>
    </row>
    <row r="680" spans="1:28" ht="13.5" customHeight="1">
      <c r="A680" s="222"/>
      <c r="B680" s="222"/>
      <c r="C680" s="222"/>
      <c r="D680" s="222"/>
      <c r="E680" s="222"/>
      <c r="F680" s="222"/>
      <c r="G680" s="222"/>
      <c r="H680" s="222"/>
      <c r="I680" s="222"/>
      <c r="J680" s="222"/>
      <c r="K680" s="222"/>
      <c r="L680" s="222"/>
      <c r="M680" s="222"/>
      <c r="N680" s="222"/>
      <c r="O680" s="222"/>
      <c r="P680" s="222"/>
      <c r="Q680" s="223"/>
      <c r="R680" s="222"/>
      <c r="S680" s="222"/>
      <c r="T680" s="222"/>
      <c r="U680" s="222"/>
      <c r="V680" s="222"/>
      <c r="W680" s="223"/>
      <c r="X680" s="223"/>
      <c r="Y680" s="222"/>
      <c r="Z680" s="222"/>
      <c r="AA680" s="222"/>
      <c r="AB680" s="224"/>
    </row>
    <row r="681" spans="1:28" ht="13.5" customHeight="1">
      <c r="A681" s="222"/>
      <c r="B681" s="222"/>
      <c r="C681" s="222"/>
      <c r="D681" s="222"/>
      <c r="E681" s="222"/>
      <c r="F681" s="222"/>
      <c r="G681" s="222"/>
      <c r="H681" s="222"/>
      <c r="I681" s="222"/>
      <c r="J681" s="222"/>
      <c r="K681" s="222"/>
      <c r="L681" s="222"/>
      <c r="M681" s="222"/>
      <c r="N681" s="222"/>
      <c r="O681" s="222"/>
      <c r="P681" s="222"/>
      <c r="Q681" s="223"/>
      <c r="R681" s="222"/>
      <c r="S681" s="222"/>
      <c r="T681" s="222"/>
      <c r="U681" s="222"/>
      <c r="V681" s="222"/>
      <c r="W681" s="223"/>
      <c r="X681" s="223"/>
      <c r="Y681" s="222"/>
      <c r="Z681" s="222"/>
      <c r="AA681" s="222"/>
      <c r="AB681" s="224"/>
    </row>
    <row r="682" spans="1:28" ht="13.5" customHeight="1">
      <c r="A682" s="222"/>
      <c r="B682" s="222"/>
      <c r="C682" s="222"/>
      <c r="D682" s="222"/>
      <c r="E682" s="222"/>
      <c r="F682" s="222"/>
      <c r="G682" s="222"/>
      <c r="H682" s="222"/>
      <c r="I682" s="222"/>
      <c r="J682" s="222"/>
      <c r="K682" s="222"/>
      <c r="L682" s="222"/>
      <c r="M682" s="222"/>
      <c r="N682" s="222"/>
      <c r="O682" s="222"/>
      <c r="P682" s="222"/>
      <c r="Q682" s="223"/>
      <c r="R682" s="222"/>
      <c r="S682" s="222"/>
      <c r="T682" s="222"/>
      <c r="U682" s="222"/>
      <c r="V682" s="222"/>
      <c r="W682" s="223"/>
      <c r="X682" s="223"/>
      <c r="Y682" s="222"/>
      <c r="Z682" s="222"/>
      <c r="AA682" s="222"/>
      <c r="AB682" s="224"/>
    </row>
    <row r="683" spans="1:28" ht="13.5" customHeight="1">
      <c r="A683" s="222"/>
      <c r="B683" s="222"/>
      <c r="C683" s="222"/>
      <c r="D683" s="222"/>
      <c r="E683" s="222"/>
      <c r="F683" s="222"/>
      <c r="G683" s="222"/>
      <c r="H683" s="222"/>
      <c r="I683" s="222"/>
      <c r="J683" s="222"/>
      <c r="K683" s="222"/>
      <c r="L683" s="222"/>
      <c r="M683" s="222"/>
      <c r="N683" s="222"/>
      <c r="O683" s="222"/>
      <c r="P683" s="222"/>
      <c r="Q683" s="223"/>
      <c r="R683" s="222"/>
      <c r="S683" s="222"/>
      <c r="T683" s="222"/>
      <c r="U683" s="222"/>
      <c r="V683" s="222"/>
      <c r="W683" s="223"/>
      <c r="X683" s="223"/>
      <c r="Y683" s="222"/>
      <c r="Z683" s="222"/>
      <c r="AA683" s="222"/>
      <c r="AB683" s="224"/>
    </row>
    <row r="684" spans="1:28" ht="13.5" customHeight="1">
      <c r="A684" s="222"/>
      <c r="B684" s="222"/>
      <c r="C684" s="222"/>
      <c r="D684" s="222"/>
      <c r="E684" s="222"/>
      <c r="F684" s="222"/>
      <c r="G684" s="222"/>
      <c r="H684" s="222"/>
      <c r="I684" s="222"/>
      <c r="J684" s="222"/>
      <c r="K684" s="222"/>
      <c r="L684" s="222"/>
      <c r="M684" s="222"/>
      <c r="N684" s="222"/>
      <c r="O684" s="222"/>
      <c r="P684" s="222"/>
      <c r="Q684" s="223"/>
      <c r="R684" s="222"/>
      <c r="S684" s="222"/>
      <c r="T684" s="222"/>
      <c r="U684" s="222"/>
      <c r="V684" s="222"/>
      <c r="W684" s="223"/>
      <c r="X684" s="223"/>
      <c r="Y684" s="222"/>
      <c r="Z684" s="222"/>
      <c r="AA684" s="222"/>
      <c r="AB684" s="224"/>
    </row>
    <row r="685" spans="1:28" ht="13.5" customHeight="1">
      <c r="A685" s="222"/>
      <c r="B685" s="222"/>
      <c r="C685" s="222"/>
      <c r="D685" s="222"/>
      <c r="E685" s="222"/>
      <c r="F685" s="222"/>
      <c r="G685" s="222"/>
      <c r="H685" s="222"/>
      <c r="I685" s="222"/>
      <c r="J685" s="222"/>
      <c r="K685" s="222"/>
      <c r="L685" s="222"/>
      <c r="M685" s="222"/>
      <c r="N685" s="222"/>
      <c r="O685" s="222"/>
      <c r="P685" s="222"/>
      <c r="Q685" s="223"/>
      <c r="R685" s="222"/>
      <c r="S685" s="222"/>
      <c r="T685" s="222"/>
      <c r="U685" s="222"/>
      <c r="V685" s="222"/>
      <c r="W685" s="223"/>
      <c r="X685" s="223"/>
      <c r="Y685" s="222"/>
      <c r="Z685" s="222"/>
      <c r="AA685" s="222"/>
      <c r="AB685" s="224"/>
    </row>
    <row r="686" spans="1:28" ht="13.5" customHeight="1">
      <c r="A686" s="222"/>
      <c r="B686" s="222"/>
      <c r="C686" s="222"/>
      <c r="D686" s="222"/>
      <c r="E686" s="222"/>
      <c r="F686" s="222"/>
      <c r="G686" s="222"/>
      <c r="H686" s="222"/>
      <c r="I686" s="222"/>
      <c r="J686" s="222"/>
      <c r="K686" s="222"/>
      <c r="L686" s="222"/>
      <c r="M686" s="222"/>
      <c r="N686" s="222"/>
      <c r="O686" s="222"/>
      <c r="P686" s="222"/>
      <c r="Q686" s="223"/>
      <c r="R686" s="222"/>
      <c r="S686" s="222"/>
      <c r="T686" s="222"/>
      <c r="U686" s="222"/>
      <c r="V686" s="222"/>
      <c r="W686" s="223"/>
      <c r="X686" s="223"/>
      <c r="Y686" s="222"/>
      <c r="Z686" s="222"/>
      <c r="AA686" s="222"/>
      <c r="AB686" s="224"/>
    </row>
    <row r="687" spans="1:28" ht="13.5" customHeight="1">
      <c r="A687" s="222"/>
      <c r="B687" s="222"/>
      <c r="C687" s="222"/>
      <c r="D687" s="222"/>
      <c r="E687" s="222"/>
      <c r="F687" s="222"/>
      <c r="G687" s="222"/>
      <c r="H687" s="222"/>
      <c r="I687" s="222"/>
      <c r="J687" s="222"/>
      <c r="K687" s="222"/>
      <c r="L687" s="222"/>
      <c r="M687" s="222"/>
      <c r="N687" s="222"/>
      <c r="O687" s="222"/>
      <c r="P687" s="222"/>
      <c r="Q687" s="223"/>
      <c r="R687" s="222"/>
      <c r="S687" s="222"/>
      <c r="T687" s="222"/>
      <c r="U687" s="222"/>
      <c r="V687" s="222"/>
      <c r="W687" s="223"/>
      <c r="X687" s="223"/>
      <c r="Y687" s="222"/>
      <c r="Z687" s="222"/>
      <c r="AA687" s="222"/>
      <c r="AB687" s="224"/>
    </row>
    <row r="688" spans="1:28" ht="13.5" customHeight="1">
      <c r="A688" s="222"/>
      <c r="B688" s="222"/>
      <c r="C688" s="222"/>
      <c r="D688" s="222"/>
      <c r="E688" s="222"/>
      <c r="F688" s="222"/>
      <c r="G688" s="222"/>
      <c r="H688" s="222"/>
      <c r="I688" s="222"/>
      <c r="J688" s="222"/>
      <c r="K688" s="222"/>
      <c r="L688" s="222"/>
      <c r="M688" s="222"/>
      <c r="N688" s="222"/>
      <c r="O688" s="222"/>
      <c r="P688" s="222"/>
      <c r="Q688" s="223"/>
      <c r="R688" s="222"/>
      <c r="S688" s="222"/>
      <c r="T688" s="222"/>
      <c r="U688" s="222"/>
      <c r="V688" s="222"/>
      <c r="W688" s="223"/>
      <c r="X688" s="223"/>
      <c r="Y688" s="222"/>
      <c r="Z688" s="222"/>
      <c r="AA688" s="222"/>
      <c r="AB688" s="224"/>
    </row>
    <row r="689" spans="1:28" ht="13.5" customHeight="1">
      <c r="A689" s="222"/>
      <c r="B689" s="222"/>
      <c r="C689" s="222"/>
      <c r="D689" s="222"/>
      <c r="E689" s="222"/>
      <c r="F689" s="222"/>
      <c r="G689" s="222"/>
      <c r="H689" s="222"/>
      <c r="I689" s="222"/>
      <c r="J689" s="222"/>
      <c r="K689" s="222"/>
      <c r="L689" s="222"/>
      <c r="M689" s="222"/>
      <c r="N689" s="222"/>
      <c r="O689" s="222"/>
      <c r="P689" s="222"/>
      <c r="Q689" s="223"/>
      <c r="R689" s="222"/>
      <c r="S689" s="222"/>
      <c r="T689" s="222"/>
      <c r="U689" s="222"/>
      <c r="V689" s="222"/>
      <c r="W689" s="223"/>
      <c r="X689" s="223"/>
      <c r="Y689" s="222"/>
      <c r="Z689" s="222"/>
      <c r="AA689" s="222"/>
      <c r="AB689" s="224"/>
    </row>
    <row r="690" spans="1:28" ht="13.5" customHeight="1">
      <c r="A690" s="222"/>
      <c r="B690" s="222"/>
      <c r="C690" s="222"/>
      <c r="D690" s="222"/>
      <c r="E690" s="222"/>
      <c r="F690" s="222"/>
      <c r="G690" s="222"/>
      <c r="H690" s="222"/>
      <c r="I690" s="222"/>
      <c r="J690" s="222"/>
      <c r="K690" s="222"/>
      <c r="L690" s="222"/>
      <c r="M690" s="222"/>
      <c r="N690" s="222"/>
      <c r="O690" s="222"/>
      <c r="P690" s="222"/>
      <c r="Q690" s="223"/>
      <c r="R690" s="222"/>
      <c r="S690" s="222"/>
      <c r="T690" s="222"/>
      <c r="U690" s="222"/>
      <c r="V690" s="222"/>
      <c r="W690" s="223"/>
      <c r="X690" s="223"/>
      <c r="Y690" s="222"/>
      <c r="Z690" s="222"/>
      <c r="AA690" s="222"/>
      <c r="AB690" s="224"/>
    </row>
    <row r="691" spans="1:28" ht="13.5" customHeight="1">
      <c r="A691" s="222"/>
      <c r="B691" s="222"/>
      <c r="C691" s="222"/>
      <c r="D691" s="222"/>
      <c r="E691" s="222"/>
      <c r="F691" s="222"/>
      <c r="G691" s="222"/>
      <c r="H691" s="222"/>
      <c r="I691" s="222"/>
      <c r="J691" s="222"/>
      <c r="K691" s="222"/>
      <c r="L691" s="222"/>
      <c r="M691" s="222"/>
      <c r="N691" s="222"/>
      <c r="O691" s="222"/>
      <c r="P691" s="222"/>
      <c r="Q691" s="223"/>
      <c r="R691" s="222"/>
      <c r="S691" s="222"/>
      <c r="T691" s="222"/>
      <c r="U691" s="222"/>
      <c r="V691" s="222"/>
      <c r="W691" s="223"/>
      <c r="X691" s="223"/>
      <c r="Y691" s="222"/>
      <c r="Z691" s="222"/>
      <c r="AA691" s="222"/>
      <c r="AB691" s="224"/>
    </row>
    <row r="692" spans="1:28" ht="13.5" customHeight="1">
      <c r="A692" s="222"/>
      <c r="B692" s="222"/>
      <c r="C692" s="222"/>
      <c r="D692" s="222"/>
      <c r="E692" s="222"/>
      <c r="F692" s="222"/>
      <c r="G692" s="222"/>
      <c r="H692" s="222"/>
      <c r="I692" s="222"/>
      <c r="J692" s="222"/>
      <c r="K692" s="222"/>
      <c r="L692" s="222"/>
      <c r="M692" s="222"/>
      <c r="N692" s="222"/>
      <c r="O692" s="222"/>
      <c r="P692" s="222"/>
      <c r="Q692" s="223"/>
      <c r="R692" s="222"/>
      <c r="S692" s="222"/>
      <c r="T692" s="222"/>
      <c r="U692" s="222"/>
      <c r="V692" s="222"/>
      <c r="W692" s="223"/>
      <c r="X692" s="223"/>
      <c r="Y692" s="222"/>
      <c r="Z692" s="222"/>
      <c r="AA692" s="222"/>
      <c r="AB692" s="224"/>
    </row>
    <row r="693" spans="1:28" ht="13.5" customHeight="1">
      <c r="A693" s="222"/>
      <c r="B693" s="222"/>
      <c r="C693" s="222"/>
      <c r="D693" s="222"/>
      <c r="E693" s="222"/>
      <c r="F693" s="222"/>
      <c r="G693" s="222"/>
      <c r="H693" s="222"/>
      <c r="I693" s="222"/>
      <c r="J693" s="222"/>
      <c r="K693" s="222"/>
      <c r="L693" s="222"/>
      <c r="M693" s="222"/>
      <c r="N693" s="222"/>
      <c r="O693" s="222"/>
      <c r="P693" s="222"/>
      <c r="Q693" s="223"/>
      <c r="R693" s="222"/>
      <c r="S693" s="222"/>
      <c r="T693" s="222"/>
      <c r="U693" s="222"/>
      <c r="V693" s="222"/>
      <c r="W693" s="223"/>
      <c r="X693" s="223"/>
      <c r="Y693" s="222"/>
      <c r="Z693" s="222"/>
      <c r="AA693" s="222"/>
      <c r="AB693" s="224"/>
    </row>
    <row r="694" spans="1:28" ht="13.5" customHeight="1">
      <c r="A694" s="222"/>
      <c r="B694" s="222"/>
      <c r="C694" s="222"/>
      <c r="D694" s="222"/>
      <c r="E694" s="222"/>
      <c r="F694" s="222"/>
      <c r="G694" s="222"/>
      <c r="H694" s="222"/>
      <c r="I694" s="222"/>
      <c r="J694" s="222"/>
      <c r="K694" s="222"/>
      <c r="L694" s="222"/>
      <c r="M694" s="222"/>
      <c r="N694" s="222"/>
      <c r="O694" s="222"/>
      <c r="P694" s="222"/>
      <c r="Q694" s="223"/>
      <c r="R694" s="222"/>
      <c r="S694" s="222"/>
      <c r="T694" s="222"/>
      <c r="U694" s="222"/>
      <c r="V694" s="222"/>
      <c r="W694" s="223"/>
      <c r="X694" s="223"/>
      <c r="Y694" s="222"/>
      <c r="Z694" s="222"/>
      <c r="AA694" s="222"/>
      <c r="AB694" s="224"/>
    </row>
    <row r="695" spans="1:28" ht="13.5" customHeight="1">
      <c r="A695" s="222"/>
      <c r="B695" s="222"/>
      <c r="C695" s="222"/>
      <c r="D695" s="222"/>
      <c r="E695" s="222"/>
      <c r="F695" s="222"/>
      <c r="G695" s="222"/>
      <c r="H695" s="222"/>
      <c r="I695" s="222"/>
      <c r="J695" s="222"/>
      <c r="K695" s="222"/>
      <c r="L695" s="222"/>
      <c r="M695" s="222"/>
      <c r="N695" s="222"/>
      <c r="O695" s="222"/>
      <c r="P695" s="222"/>
      <c r="Q695" s="223"/>
      <c r="R695" s="222"/>
      <c r="S695" s="222"/>
      <c r="T695" s="222"/>
      <c r="U695" s="222"/>
      <c r="V695" s="222"/>
      <c r="W695" s="223"/>
      <c r="X695" s="223"/>
      <c r="Y695" s="222"/>
      <c r="Z695" s="222"/>
      <c r="AA695" s="222"/>
      <c r="AB695" s="224"/>
    </row>
    <row r="696" spans="1:28" ht="13.5" customHeight="1">
      <c r="A696" s="222"/>
      <c r="B696" s="222"/>
      <c r="C696" s="222"/>
      <c r="D696" s="222"/>
      <c r="E696" s="222"/>
      <c r="F696" s="222"/>
      <c r="G696" s="222"/>
      <c r="H696" s="222"/>
      <c r="I696" s="222"/>
      <c r="J696" s="222"/>
      <c r="K696" s="222"/>
      <c r="L696" s="222"/>
      <c r="M696" s="222"/>
      <c r="N696" s="222"/>
      <c r="O696" s="222"/>
      <c r="P696" s="222"/>
      <c r="Q696" s="223"/>
      <c r="R696" s="222"/>
      <c r="S696" s="222"/>
      <c r="T696" s="222"/>
      <c r="U696" s="222"/>
      <c r="V696" s="222"/>
      <c r="W696" s="223"/>
      <c r="X696" s="223"/>
      <c r="Y696" s="222"/>
      <c r="Z696" s="222"/>
      <c r="AA696" s="222"/>
      <c r="AB696" s="224"/>
    </row>
    <row r="697" spans="1:28" ht="13.5" customHeight="1">
      <c r="A697" s="222"/>
      <c r="B697" s="222"/>
      <c r="C697" s="222"/>
      <c r="D697" s="222"/>
      <c r="E697" s="222"/>
      <c r="F697" s="222"/>
      <c r="G697" s="222"/>
      <c r="H697" s="222"/>
      <c r="I697" s="222"/>
      <c r="J697" s="222"/>
      <c r="K697" s="222"/>
      <c r="L697" s="222"/>
      <c r="M697" s="222"/>
      <c r="N697" s="222"/>
      <c r="O697" s="222"/>
      <c r="P697" s="222"/>
      <c r="Q697" s="223"/>
      <c r="R697" s="222"/>
      <c r="S697" s="222"/>
      <c r="T697" s="222"/>
      <c r="U697" s="222"/>
      <c r="V697" s="222"/>
      <c r="W697" s="223"/>
      <c r="X697" s="223"/>
      <c r="Y697" s="222"/>
      <c r="Z697" s="222"/>
      <c r="AA697" s="222"/>
      <c r="AB697" s="224"/>
    </row>
    <row r="698" spans="1:28" ht="13.5" customHeight="1">
      <c r="A698" s="222"/>
      <c r="B698" s="222"/>
      <c r="C698" s="222"/>
      <c r="D698" s="222"/>
      <c r="E698" s="222"/>
      <c r="F698" s="222"/>
      <c r="G698" s="222"/>
      <c r="H698" s="222"/>
      <c r="I698" s="222"/>
      <c r="J698" s="222"/>
      <c r="K698" s="222"/>
      <c r="L698" s="222"/>
      <c r="M698" s="222"/>
      <c r="N698" s="222"/>
      <c r="O698" s="222"/>
      <c r="P698" s="222"/>
      <c r="Q698" s="223"/>
      <c r="R698" s="222"/>
      <c r="S698" s="222"/>
      <c r="T698" s="222"/>
      <c r="U698" s="222"/>
      <c r="V698" s="222"/>
      <c r="W698" s="223"/>
      <c r="X698" s="223"/>
      <c r="Y698" s="222"/>
      <c r="Z698" s="222"/>
      <c r="AA698" s="222"/>
      <c r="AB698" s="224"/>
    </row>
    <row r="699" spans="1:28" ht="13.5" customHeight="1">
      <c r="A699" s="222"/>
      <c r="B699" s="222"/>
      <c r="C699" s="222"/>
      <c r="D699" s="222"/>
      <c r="E699" s="222"/>
      <c r="F699" s="222"/>
      <c r="G699" s="222"/>
      <c r="H699" s="222"/>
      <c r="I699" s="222"/>
      <c r="J699" s="222"/>
      <c r="K699" s="222"/>
      <c r="L699" s="222"/>
      <c r="M699" s="222"/>
      <c r="N699" s="222"/>
      <c r="O699" s="222"/>
      <c r="P699" s="222"/>
      <c r="Q699" s="223"/>
      <c r="R699" s="222"/>
      <c r="S699" s="222"/>
      <c r="T699" s="222"/>
      <c r="U699" s="222"/>
      <c r="V699" s="222"/>
      <c r="W699" s="223"/>
      <c r="X699" s="223"/>
      <c r="Y699" s="222"/>
      <c r="Z699" s="222"/>
      <c r="AA699" s="222"/>
      <c r="AB699" s="224"/>
    </row>
    <row r="700" spans="1:28" ht="13.5" customHeight="1">
      <c r="A700" s="222"/>
      <c r="B700" s="222"/>
      <c r="C700" s="222"/>
      <c r="D700" s="222"/>
      <c r="E700" s="222"/>
      <c r="F700" s="222"/>
      <c r="G700" s="222"/>
      <c r="H700" s="222"/>
      <c r="I700" s="222"/>
      <c r="J700" s="222"/>
      <c r="K700" s="222"/>
      <c r="L700" s="222"/>
      <c r="M700" s="222"/>
      <c r="N700" s="222"/>
      <c r="O700" s="222"/>
      <c r="P700" s="222"/>
      <c r="Q700" s="223"/>
      <c r="R700" s="222"/>
      <c r="S700" s="222"/>
      <c r="T700" s="222"/>
      <c r="U700" s="222"/>
      <c r="V700" s="222"/>
      <c r="W700" s="223"/>
      <c r="X700" s="223"/>
      <c r="Y700" s="222"/>
      <c r="Z700" s="222"/>
      <c r="AA700" s="222"/>
      <c r="AB700" s="224"/>
    </row>
    <row r="701" spans="1:28" ht="13.5" customHeight="1">
      <c r="A701" s="222"/>
      <c r="B701" s="222"/>
      <c r="C701" s="222"/>
      <c r="D701" s="222"/>
      <c r="E701" s="222"/>
      <c r="F701" s="222"/>
      <c r="G701" s="222"/>
      <c r="H701" s="222"/>
      <c r="I701" s="222"/>
      <c r="J701" s="222"/>
      <c r="K701" s="222"/>
      <c r="L701" s="222"/>
      <c r="M701" s="222"/>
      <c r="N701" s="222"/>
      <c r="O701" s="222"/>
      <c r="P701" s="222"/>
      <c r="Q701" s="223"/>
      <c r="R701" s="222"/>
      <c r="S701" s="222"/>
      <c r="T701" s="222"/>
      <c r="U701" s="222"/>
      <c r="V701" s="222"/>
      <c r="W701" s="223"/>
      <c r="X701" s="223"/>
      <c r="Y701" s="222"/>
      <c r="Z701" s="222"/>
      <c r="AA701" s="222"/>
      <c r="AB701" s="224"/>
    </row>
    <row r="702" spans="1:28" ht="13.5" customHeight="1">
      <c r="A702" s="222"/>
      <c r="B702" s="222"/>
      <c r="C702" s="222"/>
      <c r="D702" s="222"/>
      <c r="E702" s="222"/>
      <c r="F702" s="222"/>
      <c r="G702" s="222"/>
      <c r="H702" s="222"/>
      <c r="I702" s="222"/>
      <c r="J702" s="222"/>
      <c r="K702" s="222"/>
      <c r="L702" s="222"/>
      <c r="M702" s="222"/>
      <c r="N702" s="222"/>
      <c r="O702" s="222"/>
      <c r="P702" s="222"/>
      <c r="Q702" s="223"/>
      <c r="R702" s="222"/>
      <c r="S702" s="222"/>
      <c r="T702" s="222"/>
      <c r="U702" s="222"/>
      <c r="V702" s="222"/>
      <c r="W702" s="223"/>
      <c r="X702" s="223"/>
      <c r="Y702" s="222"/>
      <c r="Z702" s="222"/>
      <c r="AA702" s="222"/>
      <c r="AB702" s="224"/>
    </row>
    <row r="703" spans="1:28" ht="13.5" customHeight="1">
      <c r="A703" s="222"/>
      <c r="B703" s="222"/>
      <c r="C703" s="222"/>
      <c r="D703" s="222"/>
      <c r="E703" s="222"/>
      <c r="F703" s="222"/>
      <c r="G703" s="222"/>
      <c r="H703" s="222"/>
      <c r="I703" s="222"/>
      <c r="J703" s="222"/>
      <c r="K703" s="222"/>
      <c r="L703" s="222"/>
      <c r="M703" s="222"/>
      <c r="N703" s="222"/>
      <c r="O703" s="222"/>
      <c r="P703" s="222"/>
      <c r="Q703" s="223"/>
      <c r="R703" s="222"/>
      <c r="S703" s="222"/>
      <c r="T703" s="222"/>
      <c r="U703" s="222"/>
      <c r="V703" s="222"/>
      <c r="W703" s="223"/>
      <c r="X703" s="223"/>
      <c r="Y703" s="222"/>
      <c r="Z703" s="222"/>
      <c r="AA703" s="222"/>
      <c r="AB703" s="224"/>
    </row>
    <row r="704" spans="1:28" ht="13.5" customHeight="1">
      <c r="A704" s="222"/>
      <c r="B704" s="222"/>
      <c r="C704" s="222"/>
      <c r="D704" s="222"/>
      <c r="E704" s="222"/>
      <c r="F704" s="222"/>
      <c r="G704" s="222"/>
      <c r="H704" s="222"/>
      <c r="I704" s="222"/>
      <c r="J704" s="222"/>
      <c r="K704" s="222"/>
      <c r="L704" s="222"/>
      <c r="M704" s="222"/>
      <c r="N704" s="222"/>
      <c r="O704" s="222"/>
      <c r="P704" s="222"/>
      <c r="Q704" s="223"/>
      <c r="R704" s="222"/>
      <c r="S704" s="222"/>
      <c r="T704" s="222"/>
      <c r="U704" s="222"/>
      <c r="V704" s="222"/>
      <c r="W704" s="223"/>
      <c r="X704" s="223"/>
      <c r="Y704" s="222"/>
      <c r="Z704" s="222"/>
      <c r="AA704" s="222"/>
      <c r="AB704" s="224"/>
    </row>
    <row r="705" spans="1:28" ht="13.5" customHeight="1">
      <c r="A705" s="222"/>
      <c r="B705" s="222"/>
      <c r="C705" s="222"/>
      <c r="D705" s="222"/>
      <c r="E705" s="222"/>
      <c r="F705" s="222"/>
      <c r="G705" s="222"/>
      <c r="H705" s="222"/>
      <c r="I705" s="222"/>
      <c r="J705" s="222"/>
      <c r="K705" s="222"/>
      <c r="L705" s="222"/>
      <c r="M705" s="222"/>
      <c r="N705" s="222"/>
      <c r="O705" s="222"/>
      <c r="P705" s="222"/>
      <c r="Q705" s="223"/>
      <c r="R705" s="222"/>
      <c r="S705" s="222"/>
      <c r="T705" s="222"/>
      <c r="U705" s="222"/>
      <c r="V705" s="222"/>
      <c r="W705" s="223"/>
      <c r="X705" s="223"/>
      <c r="Y705" s="222"/>
      <c r="Z705" s="222"/>
      <c r="AA705" s="222"/>
      <c r="AB705" s="224"/>
    </row>
    <row r="706" spans="1:28" ht="13.5" customHeight="1">
      <c r="A706" s="222"/>
      <c r="B706" s="222"/>
      <c r="C706" s="222"/>
      <c r="D706" s="222"/>
      <c r="E706" s="222"/>
      <c r="F706" s="222"/>
      <c r="G706" s="222"/>
      <c r="H706" s="222"/>
      <c r="I706" s="222"/>
      <c r="J706" s="222"/>
      <c r="K706" s="222"/>
      <c r="L706" s="222"/>
      <c r="M706" s="222"/>
      <c r="N706" s="222"/>
      <c r="O706" s="222"/>
      <c r="P706" s="222"/>
      <c r="Q706" s="223"/>
      <c r="R706" s="222"/>
      <c r="S706" s="222"/>
      <c r="T706" s="222"/>
      <c r="U706" s="222"/>
      <c r="V706" s="222"/>
      <c r="W706" s="223"/>
      <c r="X706" s="223"/>
      <c r="Y706" s="222"/>
      <c r="Z706" s="222"/>
      <c r="AA706" s="222"/>
      <c r="AB706" s="224"/>
    </row>
    <row r="707" spans="1:28" ht="13.5" customHeight="1">
      <c r="A707" s="222"/>
      <c r="B707" s="222"/>
      <c r="C707" s="222"/>
      <c r="D707" s="222"/>
      <c r="E707" s="222"/>
      <c r="F707" s="222"/>
      <c r="G707" s="222"/>
      <c r="H707" s="222"/>
      <c r="I707" s="222"/>
      <c r="J707" s="222"/>
      <c r="K707" s="222"/>
      <c r="L707" s="222"/>
      <c r="M707" s="222"/>
      <c r="N707" s="222"/>
      <c r="O707" s="222"/>
      <c r="P707" s="222"/>
      <c r="Q707" s="223"/>
      <c r="R707" s="222"/>
      <c r="S707" s="222"/>
      <c r="T707" s="222"/>
      <c r="U707" s="222"/>
      <c r="V707" s="222"/>
      <c r="W707" s="223"/>
      <c r="X707" s="223"/>
      <c r="Y707" s="222"/>
      <c r="Z707" s="222"/>
      <c r="AA707" s="222"/>
      <c r="AB707" s="224"/>
    </row>
    <row r="708" spans="1:28" ht="13.5" customHeight="1">
      <c r="A708" s="222"/>
      <c r="B708" s="222"/>
      <c r="C708" s="222"/>
      <c r="D708" s="222"/>
      <c r="E708" s="222"/>
      <c r="F708" s="222"/>
      <c r="G708" s="222"/>
      <c r="H708" s="222"/>
      <c r="I708" s="222"/>
      <c r="J708" s="222"/>
      <c r="K708" s="222"/>
      <c r="L708" s="222"/>
      <c r="M708" s="222"/>
      <c r="N708" s="222"/>
      <c r="O708" s="222"/>
      <c r="P708" s="222"/>
      <c r="Q708" s="223"/>
      <c r="R708" s="222"/>
      <c r="S708" s="222"/>
      <c r="T708" s="222"/>
      <c r="U708" s="222"/>
      <c r="V708" s="222"/>
      <c r="W708" s="223"/>
      <c r="X708" s="223"/>
      <c r="Y708" s="222"/>
      <c r="Z708" s="222"/>
      <c r="AA708" s="222"/>
      <c r="AB708" s="224"/>
    </row>
    <row r="709" spans="1:28" ht="13.5" customHeight="1">
      <c r="A709" s="222"/>
      <c r="B709" s="222"/>
      <c r="C709" s="222"/>
      <c r="D709" s="222"/>
      <c r="E709" s="222"/>
      <c r="F709" s="222"/>
      <c r="G709" s="222"/>
      <c r="H709" s="222"/>
      <c r="I709" s="222"/>
      <c r="J709" s="222"/>
      <c r="K709" s="222"/>
      <c r="L709" s="222"/>
      <c r="M709" s="222"/>
      <c r="N709" s="222"/>
      <c r="O709" s="222"/>
      <c r="P709" s="222"/>
      <c r="Q709" s="223"/>
      <c r="R709" s="222"/>
      <c r="S709" s="222"/>
      <c r="T709" s="222"/>
      <c r="U709" s="222"/>
      <c r="V709" s="222"/>
      <c r="W709" s="223"/>
      <c r="X709" s="223"/>
      <c r="Y709" s="222"/>
      <c r="Z709" s="222"/>
      <c r="AA709" s="222"/>
      <c r="AB709" s="224"/>
    </row>
    <row r="710" spans="1:28" ht="13.5" customHeight="1">
      <c r="A710" s="222"/>
      <c r="B710" s="222"/>
      <c r="C710" s="222"/>
      <c r="D710" s="222"/>
      <c r="E710" s="222"/>
      <c r="F710" s="222"/>
      <c r="G710" s="222"/>
      <c r="H710" s="222"/>
      <c r="I710" s="222"/>
      <c r="J710" s="222"/>
      <c r="K710" s="222"/>
      <c r="L710" s="222"/>
      <c r="M710" s="222"/>
      <c r="N710" s="222"/>
      <c r="O710" s="222"/>
      <c r="P710" s="222"/>
      <c r="Q710" s="223"/>
      <c r="R710" s="222"/>
      <c r="S710" s="222"/>
      <c r="T710" s="222"/>
      <c r="U710" s="222"/>
      <c r="V710" s="222"/>
      <c r="W710" s="223"/>
      <c r="X710" s="223"/>
      <c r="Y710" s="222"/>
      <c r="Z710" s="222"/>
      <c r="AA710" s="222"/>
      <c r="AB710" s="224"/>
    </row>
    <row r="711" spans="1:28" ht="13.5" customHeight="1">
      <c r="A711" s="222"/>
      <c r="B711" s="222"/>
      <c r="C711" s="222"/>
      <c r="D711" s="222"/>
      <c r="E711" s="222"/>
      <c r="F711" s="222"/>
      <c r="G711" s="222"/>
      <c r="H711" s="222"/>
      <c r="I711" s="222"/>
      <c r="J711" s="222"/>
      <c r="K711" s="222"/>
      <c r="L711" s="222"/>
      <c r="M711" s="222"/>
      <c r="N711" s="222"/>
      <c r="O711" s="222"/>
      <c r="P711" s="222"/>
      <c r="Q711" s="223"/>
      <c r="R711" s="222"/>
      <c r="S711" s="222"/>
      <c r="T711" s="222"/>
      <c r="U711" s="222"/>
      <c r="V711" s="222"/>
      <c r="W711" s="223"/>
      <c r="X711" s="223"/>
      <c r="Y711" s="222"/>
      <c r="Z711" s="222"/>
      <c r="AA711" s="222"/>
      <c r="AB711" s="224"/>
    </row>
    <row r="712" spans="1:28" ht="13.5" customHeight="1">
      <c r="A712" s="222"/>
      <c r="B712" s="222"/>
      <c r="C712" s="222"/>
      <c r="D712" s="222"/>
      <c r="E712" s="222"/>
      <c r="F712" s="222"/>
      <c r="G712" s="222"/>
      <c r="H712" s="222"/>
      <c r="I712" s="222"/>
      <c r="J712" s="222"/>
      <c r="K712" s="222"/>
      <c r="L712" s="222"/>
      <c r="M712" s="222"/>
      <c r="N712" s="222"/>
      <c r="O712" s="222"/>
      <c r="P712" s="222"/>
      <c r="Q712" s="223"/>
      <c r="R712" s="222"/>
      <c r="S712" s="222"/>
      <c r="T712" s="222"/>
      <c r="U712" s="222"/>
      <c r="V712" s="222"/>
      <c r="W712" s="223"/>
      <c r="X712" s="223"/>
      <c r="Y712" s="222"/>
      <c r="Z712" s="222"/>
      <c r="AA712" s="222"/>
      <c r="AB712" s="224"/>
    </row>
    <row r="713" spans="1:28" ht="13.5" customHeight="1">
      <c r="A713" s="222"/>
      <c r="B713" s="222"/>
      <c r="C713" s="222"/>
      <c r="D713" s="222"/>
      <c r="E713" s="222"/>
      <c r="F713" s="222"/>
      <c r="G713" s="222"/>
      <c r="H713" s="222"/>
      <c r="I713" s="222"/>
      <c r="J713" s="222"/>
      <c r="K713" s="222"/>
      <c r="L713" s="222"/>
      <c r="M713" s="222"/>
      <c r="N713" s="222"/>
      <c r="O713" s="222"/>
      <c r="P713" s="222"/>
      <c r="Q713" s="223"/>
      <c r="R713" s="222"/>
      <c r="S713" s="222"/>
      <c r="T713" s="222"/>
      <c r="U713" s="222"/>
      <c r="V713" s="222"/>
      <c r="W713" s="223"/>
      <c r="X713" s="223"/>
      <c r="Y713" s="222"/>
      <c r="Z713" s="222"/>
      <c r="AA713" s="222"/>
      <c r="AB713" s="224"/>
    </row>
    <row r="714" spans="1:28" ht="13.5" customHeight="1">
      <c r="A714" s="222"/>
      <c r="B714" s="222"/>
      <c r="C714" s="222"/>
      <c r="D714" s="222"/>
      <c r="E714" s="222"/>
      <c r="F714" s="222"/>
      <c r="G714" s="222"/>
      <c r="H714" s="222"/>
      <c r="I714" s="222"/>
      <c r="J714" s="222"/>
      <c r="K714" s="222"/>
      <c r="L714" s="222"/>
      <c r="M714" s="222"/>
      <c r="N714" s="222"/>
      <c r="O714" s="222"/>
      <c r="P714" s="222"/>
      <c r="Q714" s="223"/>
      <c r="R714" s="222"/>
      <c r="S714" s="222"/>
      <c r="T714" s="222"/>
      <c r="U714" s="222"/>
      <c r="V714" s="222"/>
      <c r="W714" s="223"/>
      <c r="X714" s="223"/>
      <c r="Y714" s="222"/>
      <c r="Z714" s="222"/>
      <c r="AA714" s="222"/>
      <c r="AB714" s="224"/>
    </row>
    <row r="715" spans="1:28" ht="13.5" customHeight="1">
      <c r="A715" s="222"/>
      <c r="B715" s="222"/>
      <c r="C715" s="222"/>
      <c r="D715" s="222"/>
      <c r="E715" s="222"/>
      <c r="F715" s="222"/>
      <c r="G715" s="222"/>
      <c r="H715" s="222"/>
      <c r="I715" s="222"/>
      <c r="J715" s="222"/>
      <c r="K715" s="222"/>
      <c r="L715" s="222"/>
      <c r="M715" s="222"/>
      <c r="N715" s="222"/>
      <c r="O715" s="222"/>
      <c r="P715" s="222"/>
      <c r="Q715" s="223"/>
      <c r="R715" s="222"/>
      <c r="S715" s="222"/>
      <c r="T715" s="222"/>
      <c r="U715" s="222"/>
      <c r="V715" s="222"/>
      <c r="W715" s="223"/>
      <c r="X715" s="223"/>
      <c r="Y715" s="222"/>
      <c r="Z715" s="222"/>
      <c r="AA715" s="222"/>
      <c r="AB715" s="224"/>
    </row>
    <row r="716" spans="1:28" ht="13.5" customHeight="1">
      <c r="A716" s="222"/>
      <c r="B716" s="222"/>
      <c r="C716" s="222"/>
      <c r="D716" s="222"/>
      <c r="E716" s="222"/>
      <c r="F716" s="222"/>
      <c r="G716" s="222"/>
      <c r="H716" s="222"/>
      <c r="I716" s="222"/>
      <c r="J716" s="222"/>
      <c r="K716" s="222"/>
      <c r="L716" s="222"/>
      <c r="M716" s="222"/>
      <c r="N716" s="222"/>
      <c r="O716" s="222"/>
      <c r="P716" s="222"/>
      <c r="Q716" s="223"/>
      <c r="R716" s="222"/>
      <c r="S716" s="222"/>
      <c r="T716" s="222"/>
      <c r="U716" s="222"/>
      <c r="V716" s="222"/>
      <c r="W716" s="223"/>
      <c r="X716" s="223"/>
      <c r="Y716" s="222"/>
      <c r="Z716" s="222"/>
      <c r="AA716" s="222"/>
      <c r="AB716" s="224"/>
    </row>
    <row r="717" spans="1:28" ht="13.5" customHeight="1">
      <c r="A717" s="222"/>
      <c r="B717" s="222"/>
      <c r="C717" s="222"/>
      <c r="D717" s="222"/>
      <c r="E717" s="222"/>
      <c r="F717" s="222"/>
      <c r="G717" s="222"/>
      <c r="H717" s="222"/>
      <c r="I717" s="222"/>
      <c r="J717" s="222"/>
      <c r="K717" s="222"/>
      <c r="L717" s="222"/>
      <c r="M717" s="222"/>
      <c r="N717" s="222"/>
      <c r="O717" s="222"/>
      <c r="P717" s="222"/>
      <c r="Q717" s="223"/>
      <c r="R717" s="222"/>
      <c r="S717" s="222"/>
      <c r="T717" s="222"/>
      <c r="U717" s="222"/>
      <c r="V717" s="222"/>
      <c r="W717" s="223"/>
      <c r="X717" s="223"/>
      <c r="Y717" s="222"/>
      <c r="Z717" s="222"/>
      <c r="AA717" s="222"/>
      <c r="AB717" s="224"/>
    </row>
    <row r="718" spans="1:28" ht="13.5" customHeight="1">
      <c r="A718" s="222"/>
      <c r="B718" s="222"/>
      <c r="C718" s="222"/>
      <c r="D718" s="222"/>
      <c r="E718" s="222"/>
      <c r="F718" s="222"/>
      <c r="G718" s="222"/>
      <c r="H718" s="222"/>
      <c r="I718" s="222"/>
      <c r="J718" s="222"/>
      <c r="K718" s="222"/>
      <c r="L718" s="222"/>
      <c r="M718" s="222"/>
      <c r="N718" s="222"/>
      <c r="O718" s="222"/>
      <c r="P718" s="222"/>
      <c r="Q718" s="223"/>
      <c r="R718" s="222"/>
      <c r="S718" s="222"/>
      <c r="T718" s="222"/>
      <c r="U718" s="222"/>
      <c r="V718" s="222"/>
      <c r="W718" s="223"/>
      <c r="X718" s="223"/>
      <c r="Y718" s="222"/>
      <c r="Z718" s="222"/>
      <c r="AA718" s="222"/>
      <c r="AB718" s="224"/>
    </row>
    <row r="719" spans="1:28" ht="13.5" customHeight="1">
      <c r="A719" s="222"/>
      <c r="B719" s="222"/>
      <c r="C719" s="222"/>
      <c r="D719" s="222"/>
      <c r="E719" s="222"/>
      <c r="F719" s="222"/>
      <c r="G719" s="222"/>
      <c r="H719" s="222"/>
      <c r="I719" s="222"/>
      <c r="J719" s="222"/>
      <c r="K719" s="222"/>
      <c r="L719" s="222"/>
      <c r="M719" s="222"/>
      <c r="N719" s="222"/>
      <c r="O719" s="222"/>
      <c r="P719" s="222"/>
      <c r="Q719" s="223"/>
      <c r="R719" s="222"/>
      <c r="S719" s="222"/>
      <c r="T719" s="222"/>
      <c r="U719" s="222"/>
      <c r="V719" s="222"/>
      <c r="W719" s="223"/>
      <c r="X719" s="223"/>
      <c r="Y719" s="222"/>
      <c r="Z719" s="222"/>
      <c r="AA719" s="222"/>
      <c r="AB719" s="224"/>
    </row>
    <row r="720" spans="1:28" ht="13.5" customHeight="1">
      <c r="A720" s="222"/>
      <c r="B720" s="222"/>
      <c r="C720" s="222"/>
      <c r="D720" s="222"/>
      <c r="E720" s="222"/>
      <c r="F720" s="222"/>
      <c r="G720" s="222"/>
      <c r="H720" s="222"/>
      <c r="I720" s="222"/>
      <c r="J720" s="222"/>
      <c r="K720" s="222"/>
      <c r="L720" s="222"/>
      <c r="M720" s="222"/>
      <c r="N720" s="222"/>
      <c r="O720" s="222"/>
      <c r="P720" s="222"/>
      <c r="Q720" s="223"/>
      <c r="R720" s="222"/>
      <c r="S720" s="222"/>
      <c r="T720" s="222"/>
      <c r="U720" s="222"/>
      <c r="V720" s="222"/>
      <c r="W720" s="223"/>
      <c r="X720" s="223"/>
      <c r="Y720" s="222"/>
      <c r="Z720" s="222"/>
      <c r="AA720" s="222"/>
      <c r="AB720" s="224"/>
    </row>
    <row r="721" spans="1:28" ht="13.5" customHeight="1">
      <c r="A721" s="222"/>
      <c r="B721" s="222"/>
      <c r="C721" s="222"/>
      <c r="D721" s="222"/>
      <c r="E721" s="222"/>
      <c r="F721" s="222"/>
      <c r="G721" s="222"/>
      <c r="H721" s="222"/>
      <c r="I721" s="222"/>
      <c r="J721" s="222"/>
      <c r="K721" s="222"/>
      <c r="L721" s="222"/>
      <c r="M721" s="222"/>
      <c r="N721" s="222"/>
      <c r="O721" s="222"/>
      <c r="P721" s="222"/>
      <c r="Q721" s="223"/>
      <c r="R721" s="222"/>
      <c r="S721" s="222"/>
      <c r="T721" s="222"/>
      <c r="U721" s="222"/>
      <c r="V721" s="222"/>
      <c r="W721" s="223"/>
      <c r="X721" s="223"/>
      <c r="Y721" s="222"/>
      <c r="Z721" s="222"/>
      <c r="AA721" s="222"/>
      <c r="AB721" s="224"/>
    </row>
    <row r="722" spans="1:28" ht="13.5" customHeight="1">
      <c r="A722" s="222"/>
      <c r="B722" s="222"/>
      <c r="C722" s="222"/>
      <c r="D722" s="222"/>
      <c r="E722" s="222"/>
      <c r="F722" s="222"/>
      <c r="G722" s="222"/>
      <c r="H722" s="222"/>
      <c r="I722" s="222"/>
      <c r="J722" s="222"/>
      <c r="K722" s="222"/>
      <c r="L722" s="222"/>
      <c r="M722" s="222"/>
      <c r="N722" s="222"/>
      <c r="O722" s="222"/>
      <c r="P722" s="222"/>
      <c r="Q722" s="223"/>
      <c r="R722" s="222"/>
      <c r="S722" s="222"/>
      <c r="T722" s="222"/>
      <c r="U722" s="222"/>
      <c r="V722" s="222"/>
      <c r="W722" s="223"/>
      <c r="X722" s="223"/>
      <c r="Y722" s="222"/>
      <c r="Z722" s="222"/>
      <c r="AA722" s="222"/>
      <c r="AB722" s="224"/>
    </row>
    <row r="723" spans="1:28" ht="13.5" customHeight="1">
      <c r="A723" s="222"/>
      <c r="B723" s="222"/>
      <c r="C723" s="222"/>
      <c r="D723" s="222"/>
      <c r="E723" s="222"/>
      <c r="F723" s="222"/>
      <c r="G723" s="222"/>
      <c r="H723" s="222"/>
      <c r="I723" s="222"/>
      <c r="J723" s="222"/>
      <c r="K723" s="222"/>
      <c r="L723" s="222"/>
      <c r="M723" s="222"/>
      <c r="N723" s="222"/>
      <c r="O723" s="222"/>
      <c r="P723" s="222"/>
      <c r="Q723" s="223"/>
      <c r="R723" s="222"/>
      <c r="S723" s="222"/>
      <c r="T723" s="222"/>
      <c r="U723" s="222"/>
      <c r="V723" s="222"/>
      <c r="W723" s="223"/>
      <c r="X723" s="223"/>
      <c r="Y723" s="222"/>
      <c r="Z723" s="222"/>
      <c r="AA723" s="222"/>
      <c r="AB723" s="224"/>
    </row>
    <row r="724" spans="1:28" ht="13.5" customHeight="1">
      <c r="A724" s="222"/>
      <c r="B724" s="222"/>
      <c r="C724" s="222"/>
      <c r="D724" s="222"/>
      <c r="E724" s="222"/>
      <c r="F724" s="222"/>
      <c r="G724" s="222"/>
      <c r="H724" s="222"/>
      <c r="I724" s="222"/>
      <c r="J724" s="222"/>
      <c r="K724" s="222"/>
      <c r="L724" s="222"/>
      <c r="M724" s="222"/>
      <c r="N724" s="222"/>
      <c r="O724" s="222"/>
      <c r="P724" s="222"/>
      <c r="Q724" s="223"/>
      <c r="R724" s="222"/>
      <c r="S724" s="222"/>
      <c r="T724" s="222"/>
      <c r="U724" s="222"/>
      <c r="V724" s="222"/>
      <c r="W724" s="223"/>
      <c r="X724" s="223"/>
      <c r="Y724" s="222"/>
      <c r="Z724" s="222"/>
      <c r="AA724" s="222"/>
      <c r="AB724" s="224"/>
    </row>
    <row r="725" spans="1:28" ht="13.5" customHeight="1">
      <c r="A725" s="222"/>
      <c r="B725" s="222"/>
      <c r="C725" s="222"/>
      <c r="D725" s="222"/>
      <c r="E725" s="222"/>
      <c r="F725" s="222"/>
      <c r="G725" s="222"/>
      <c r="H725" s="222"/>
      <c r="I725" s="222"/>
      <c r="J725" s="222"/>
      <c r="K725" s="222"/>
      <c r="L725" s="222"/>
      <c r="M725" s="222"/>
      <c r="N725" s="222"/>
      <c r="O725" s="222"/>
      <c r="P725" s="222"/>
      <c r="Q725" s="223"/>
      <c r="R725" s="222"/>
      <c r="S725" s="222"/>
      <c r="T725" s="222"/>
      <c r="U725" s="222"/>
      <c r="V725" s="222"/>
      <c r="W725" s="223"/>
      <c r="X725" s="223"/>
      <c r="Y725" s="222"/>
      <c r="Z725" s="222"/>
      <c r="AA725" s="222"/>
      <c r="AB725" s="224"/>
    </row>
    <row r="726" spans="1:28" ht="13.5" customHeight="1">
      <c r="A726" s="222"/>
      <c r="B726" s="222"/>
      <c r="C726" s="222"/>
      <c r="D726" s="222"/>
      <c r="E726" s="222"/>
      <c r="F726" s="222"/>
      <c r="G726" s="222"/>
      <c r="H726" s="222"/>
      <c r="I726" s="222"/>
      <c r="J726" s="222"/>
      <c r="K726" s="222"/>
      <c r="L726" s="222"/>
      <c r="M726" s="222"/>
      <c r="N726" s="222"/>
      <c r="O726" s="222"/>
      <c r="P726" s="222"/>
      <c r="Q726" s="223"/>
      <c r="R726" s="222"/>
      <c r="S726" s="222"/>
      <c r="T726" s="222"/>
      <c r="U726" s="222"/>
      <c r="V726" s="222"/>
      <c r="W726" s="223"/>
      <c r="X726" s="223"/>
      <c r="Y726" s="222"/>
      <c r="Z726" s="222"/>
      <c r="AA726" s="222"/>
      <c r="AB726" s="224"/>
    </row>
    <row r="727" spans="1:28" ht="13.5" customHeight="1">
      <c r="A727" s="222"/>
      <c r="B727" s="222"/>
      <c r="C727" s="222"/>
      <c r="D727" s="222"/>
      <c r="E727" s="222"/>
      <c r="F727" s="222"/>
      <c r="G727" s="222"/>
      <c r="H727" s="222"/>
      <c r="I727" s="222"/>
      <c r="J727" s="222"/>
      <c r="K727" s="222"/>
      <c r="L727" s="222"/>
      <c r="M727" s="222"/>
      <c r="N727" s="222"/>
      <c r="O727" s="222"/>
      <c r="P727" s="222"/>
      <c r="Q727" s="223"/>
      <c r="R727" s="222"/>
      <c r="S727" s="222"/>
      <c r="T727" s="222"/>
      <c r="U727" s="222"/>
      <c r="V727" s="222"/>
      <c r="W727" s="223"/>
      <c r="X727" s="223"/>
      <c r="Y727" s="222"/>
      <c r="Z727" s="222"/>
      <c r="AA727" s="222"/>
      <c r="AB727" s="224"/>
    </row>
    <row r="728" spans="1:28" ht="13.5" customHeight="1">
      <c r="A728" s="222"/>
      <c r="B728" s="222"/>
      <c r="C728" s="222"/>
      <c r="D728" s="222"/>
      <c r="E728" s="222"/>
      <c r="F728" s="222"/>
      <c r="G728" s="222"/>
      <c r="H728" s="222"/>
      <c r="I728" s="222"/>
      <c r="J728" s="222"/>
      <c r="K728" s="222"/>
      <c r="L728" s="222"/>
      <c r="M728" s="222"/>
      <c r="N728" s="222"/>
      <c r="O728" s="222"/>
      <c r="P728" s="222"/>
      <c r="Q728" s="223"/>
      <c r="R728" s="222"/>
      <c r="S728" s="222"/>
      <c r="T728" s="222"/>
      <c r="U728" s="222"/>
      <c r="V728" s="222"/>
      <c r="W728" s="223"/>
      <c r="X728" s="223"/>
      <c r="Y728" s="222"/>
      <c r="Z728" s="222"/>
      <c r="AA728" s="222"/>
      <c r="AB728" s="224"/>
    </row>
    <row r="729" spans="1:28" ht="13.5" customHeight="1">
      <c r="A729" s="222"/>
      <c r="B729" s="222"/>
      <c r="C729" s="222"/>
      <c r="D729" s="222"/>
      <c r="E729" s="222"/>
      <c r="F729" s="222"/>
      <c r="G729" s="222"/>
      <c r="H729" s="222"/>
      <c r="I729" s="222"/>
      <c r="J729" s="222"/>
      <c r="K729" s="222"/>
      <c r="L729" s="222"/>
      <c r="M729" s="222"/>
      <c r="N729" s="222"/>
      <c r="O729" s="222"/>
      <c r="P729" s="222"/>
      <c r="Q729" s="223"/>
      <c r="R729" s="222"/>
      <c r="S729" s="222"/>
      <c r="T729" s="222"/>
      <c r="U729" s="222"/>
      <c r="V729" s="222"/>
      <c r="W729" s="223"/>
      <c r="X729" s="223"/>
      <c r="Y729" s="222"/>
      <c r="Z729" s="222"/>
      <c r="AA729" s="222"/>
      <c r="AB729" s="224"/>
    </row>
    <row r="730" spans="1:28" ht="13.5" customHeight="1">
      <c r="A730" s="222"/>
      <c r="B730" s="222"/>
      <c r="C730" s="222"/>
      <c r="D730" s="222"/>
      <c r="E730" s="222"/>
      <c r="F730" s="222"/>
      <c r="G730" s="222"/>
      <c r="H730" s="222"/>
      <c r="I730" s="222"/>
      <c r="J730" s="222"/>
      <c r="K730" s="222"/>
      <c r="L730" s="222"/>
      <c r="M730" s="222"/>
      <c r="N730" s="222"/>
      <c r="O730" s="222"/>
      <c r="P730" s="222"/>
      <c r="Q730" s="223"/>
      <c r="R730" s="222"/>
      <c r="S730" s="222"/>
      <c r="T730" s="222"/>
      <c r="U730" s="222"/>
      <c r="V730" s="222"/>
      <c r="W730" s="223"/>
      <c r="X730" s="223"/>
      <c r="Y730" s="222"/>
      <c r="Z730" s="222"/>
      <c r="AA730" s="222"/>
      <c r="AB730" s="224"/>
    </row>
    <row r="731" spans="1:28" ht="13.5" customHeight="1">
      <c r="A731" s="222"/>
      <c r="B731" s="222"/>
      <c r="C731" s="222"/>
      <c r="D731" s="222"/>
      <c r="E731" s="222"/>
      <c r="F731" s="222"/>
      <c r="G731" s="222"/>
      <c r="H731" s="222"/>
      <c r="I731" s="222"/>
      <c r="J731" s="222"/>
      <c r="K731" s="222"/>
      <c r="L731" s="222"/>
      <c r="M731" s="222"/>
      <c r="N731" s="222"/>
      <c r="O731" s="222"/>
      <c r="P731" s="222"/>
      <c r="Q731" s="223"/>
      <c r="R731" s="222"/>
      <c r="S731" s="222"/>
      <c r="T731" s="222"/>
      <c r="U731" s="222"/>
      <c r="V731" s="222"/>
      <c r="W731" s="223"/>
      <c r="X731" s="223"/>
      <c r="Y731" s="222"/>
      <c r="Z731" s="222"/>
      <c r="AA731" s="222"/>
      <c r="AB731" s="224"/>
    </row>
    <row r="732" spans="1:28" ht="13.5" customHeight="1">
      <c r="A732" s="222"/>
      <c r="B732" s="222"/>
      <c r="C732" s="222"/>
      <c r="D732" s="222"/>
      <c r="E732" s="222"/>
      <c r="F732" s="222"/>
      <c r="G732" s="222"/>
      <c r="H732" s="222"/>
      <c r="I732" s="222"/>
      <c r="J732" s="222"/>
      <c r="K732" s="222"/>
      <c r="L732" s="222"/>
      <c r="M732" s="222"/>
      <c r="N732" s="222"/>
      <c r="O732" s="222"/>
      <c r="P732" s="222"/>
      <c r="Q732" s="223"/>
      <c r="R732" s="222"/>
      <c r="S732" s="222"/>
      <c r="T732" s="222"/>
      <c r="U732" s="222"/>
      <c r="V732" s="222"/>
      <c r="W732" s="223"/>
      <c r="X732" s="223"/>
      <c r="Y732" s="222"/>
      <c r="Z732" s="222"/>
      <c r="AA732" s="222"/>
      <c r="AB732" s="224"/>
    </row>
    <row r="733" spans="1:28" ht="13.5" customHeight="1">
      <c r="A733" s="222"/>
      <c r="B733" s="222"/>
      <c r="C733" s="222"/>
      <c r="D733" s="222"/>
      <c r="E733" s="222"/>
      <c r="F733" s="222"/>
      <c r="G733" s="222"/>
      <c r="H733" s="222"/>
      <c r="I733" s="222"/>
      <c r="J733" s="222"/>
      <c r="K733" s="222"/>
      <c r="L733" s="222"/>
      <c r="M733" s="222"/>
      <c r="N733" s="222"/>
      <c r="O733" s="222"/>
      <c r="P733" s="222"/>
      <c r="Q733" s="223"/>
      <c r="R733" s="222"/>
      <c r="S733" s="222"/>
      <c r="T733" s="222"/>
      <c r="U733" s="222"/>
      <c r="V733" s="222"/>
      <c r="W733" s="223"/>
      <c r="X733" s="223"/>
      <c r="Y733" s="222"/>
      <c r="Z733" s="222"/>
      <c r="AA733" s="222"/>
      <c r="AB733" s="224"/>
    </row>
    <row r="734" spans="1:28" ht="13.5" customHeight="1">
      <c r="A734" s="222"/>
      <c r="B734" s="222"/>
      <c r="C734" s="222"/>
      <c r="D734" s="222"/>
      <c r="E734" s="222"/>
      <c r="F734" s="222"/>
      <c r="G734" s="222"/>
      <c r="H734" s="222"/>
      <c r="I734" s="222"/>
      <c r="J734" s="222"/>
      <c r="K734" s="222"/>
      <c r="L734" s="222"/>
      <c r="M734" s="222"/>
      <c r="N734" s="222"/>
      <c r="O734" s="222"/>
      <c r="P734" s="222"/>
      <c r="Q734" s="223"/>
      <c r="R734" s="222"/>
      <c r="S734" s="222"/>
      <c r="T734" s="222"/>
      <c r="U734" s="222"/>
      <c r="V734" s="222"/>
      <c r="W734" s="223"/>
      <c r="X734" s="223"/>
      <c r="Y734" s="222"/>
      <c r="Z734" s="222"/>
      <c r="AA734" s="222"/>
      <c r="AB734" s="224"/>
    </row>
    <row r="735" spans="1:28" ht="13.5" customHeight="1">
      <c r="A735" s="222"/>
      <c r="B735" s="222"/>
      <c r="C735" s="222"/>
      <c r="D735" s="222"/>
      <c r="E735" s="222"/>
      <c r="F735" s="222"/>
      <c r="G735" s="222"/>
      <c r="H735" s="222"/>
      <c r="I735" s="222"/>
      <c r="J735" s="222"/>
      <c r="K735" s="222"/>
      <c r="L735" s="222"/>
      <c r="M735" s="222"/>
      <c r="N735" s="222"/>
      <c r="O735" s="222"/>
      <c r="P735" s="222"/>
      <c r="Q735" s="223"/>
      <c r="R735" s="222"/>
      <c r="S735" s="222"/>
      <c r="T735" s="222"/>
      <c r="U735" s="222"/>
      <c r="V735" s="222"/>
      <c r="W735" s="223"/>
      <c r="X735" s="223"/>
      <c r="Y735" s="222"/>
      <c r="Z735" s="222"/>
      <c r="AA735" s="222"/>
      <c r="AB735" s="224"/>
    </row>
    <row r="736" spans="1:28" ht="13.5" customHeight="1">
      <c r="A736" s="222"/>
      <c r="B736" s="222"/>
      <c r="C736" s="222"/>
      <c r="D736" s="222"/>
      <c r="E736" s="222"/>
      <c r="F736" s="222"/>
      <c r="G736" s="222"/>
      <c r="H736" s="222"/>
      <c r="I736" s="222"/>
      <c r="J736" s="222"/>
      <c r="K736" s="222"/>
      <c r="L736" s="222"/>
      <c r="M736" s="222"/>
      <c r="N736" s="222"/>
      <c r="O736" s="222"/>
      <c r="P736" s="222"/>
      <c r="Q736" s="223"/>
      <c r="R736" s="222"/>
      <c r="S736" s="222"/>
      <c r="T736" s="222"/>
      <c r="U736" s="222"/>
      <c r="V736" s="222"/>
      <c r="W736" s="223"/>
      <c r="X736" s="223"/>
      <c r="Y736" s="222"/>
      <c r="Z736" s="222"/>
      <c r="AA736" s="222"/>
      <c r="AB736" s="224"/>
    </row>
    <row r="737" spans="1:28" ht="13.5" customHeight="1">
      <c r="A737" s="222"/>
      <c r="B737" s="222"/>
      <c r="C737" s="222"/>
      <c r="D737" s="222"/>
      <c r="E737" s="222"/>
      <c r="F737" s="222"/>
      <c r="G737" s="222"/>
      <c r="H737" s="222"/>
      <c r="I737" s="222"/>
      <c r="J737" s="222"/>
      <c r="K737" s="222"/>
      <c r="L737" s="222"/>
      <c r="M737" s="222"/>
      <c r="N737" s="222"/>
      <c r="O737" s="222"/>
      <c r="P737" s="222"/>
      <c r="Q737" s="223"/>
      <c r="R737" s="222"/>
      <c r="S737" s="222"/>
      <c r="T737" s="222"/>
      <c r="U737" s="222"/>
      <c r="V737" s="222"/>
      <c r="W737" s="223"/>
      <c r="X737" s="223"/>
      <c r="Y737" s="222"/>
      <c r="Z737" s="222"/>
      <c r="AA737" s="222"/>
      <c r="AB737" s="224"/>
    </row>
    <row r="738" spans="1:28" ht="13.5" customHeight="1">
      <c r="A738" s="222"/>
      <c r="B738" s="222"/>
      <c r="C738" s="222"/>
      <c r="D738" s="222"/>
      <c r="E738" s="222"/>
      <c r="F738" s="222"/>
      <c r="G738" s="222"/>
      <c r="H738" s="222"/>
      <c r="I738" s="222"/>
      <c r="J738" s="222"/>
      <c r="K738" s="222"/>
      <c r="L738" s="222"/>
      <c r="M738" s="222"/>
      <c r="N738" s="222"/>
      <c r="O738" s="222"/>
      <c r="P738" s="222"/>
      <c r="Q738" s="223"/>
      <c r="R738" s="222"/>
      <c r="S738" s="222"/>
      <c r="T738" s="222"/>
      <c r="U738" s="222"/>
      <c r="V738" s="222"/>
      <c r="W738" s="223"/>
      <c r="X738" s="223"/>
      <c r="Y738" s="222"/>
      <c r="Z738" s="222"/>
      <c r="AA738" s="222"/>
      <c r="AB738" s="224"/>
    </row>
    <row r="739" spans="1:28" ht="13.5" customHeight="1">
      <c r="A739" s="222"/>
      <c r="B739" s="222"/>
      <c r="C739" s="222"/>
      <c r="D739" s="222"/>
      <c r="E739" s="222"/>
      <c r="F739" s="222"/>
      <c r="G739" s="222"/>
      <c r="H739" s="222"/>
      <c r="I739" s="222"/>
      <c r="J739" s="222"/>
      <c r="K739" s="222"/>
      <c r="L739" s="222"/>
      <c r="M739" s="222"/>
      <c r="N739" s="222"/>
      <c r="O739" s="222"/>
      <c r="P739" s="222"/>
      <c r="Q739" s="223"/>
      <c r="R739" s="222"/>
      <c r="S739" s="222"/>
      <c r="T739" s="222"/>
      <c r="U739" s="222"/>
      <c r="V739" s="222"/>
      <c r="W739" s="223"/>
      <c r="X739" s="223"/>
      <c r="Y739" s="222"/>
      <c r="Z739" s="222"/>
      <c r="AA739" s="222"/>
      <c r="AB739" s="224"/>
    </row>
    <row r="740" spans="1:28" ht="13.5" customHeight="1">
      <c r="A740" s="222"/>
      <c r="B740" s="222"/>
      <c r="C740" s="222"/>
      <c r="D740" s="222"/>
      <c r="E740" s="222"/>
      <c r="F740" s="222"/>
      <c r="G740" s="222"/>
      <c r="H740" s="222"/>
      <c r="I740" s="222"/>
      <c r="J740" s="222"/>
      <c r="K740" s="222"/>
      <c r="L740" s="222"/>
      <c r="M740" s="222"/>
      <c r="N740" s="222"/>
      <c r="O740" s="222"/>
      <c r="P740" s="222"/>
      <c r="Q740" s="223"/>
      <c r="R740" s="222"/>
      <c r="S740" s="222"/>
      <c r="T740" s="222"/>
      <c r="U740" s="222"/>
      <c r="V740" s="222"/>
      <c r="W740" s="223"/>
      <c r="X740" s="223"/>
      <c r="Y740" s="222"/>
      <c r="Z740" s="222"/>
      <c r="AA740" s="222"/>
      <c r="AB740" s="224"/>
    </row>
    <row r="741" spans="1:28" ht="13.5" customHeight="1">
      <c r="A741" s="222"/>
      <c r="B741" s="222"/>
      <c r="C741" s="222"/>
      <c r="D741" s="222"/>
      <c r="E741" s="222"/>
      <c r="F741" s="222"/>
      <c r="G741" s="222"/>
      <c r="H741" s="222"/>
      <c r="I741" s="222"/>
      <c r="J741" s="222"/>
      <c r="K741" s="222"/>
      <c r="L741" s="222"/>
      <c r="M741" s="222"/>
      <c r="N741" s="222"/>
      <c r="O741" s="222"/>
      <c r="P741" s="222"/>
      <c r="Q741" s="223"/>
      <c r="R741" s="222"/>
      <c r="S741" s="222"/>
      <c r="T741" s="222"/>
      <c r="U741" s="222"/>
      <c r="V741" s="222"/>
      <c r="W741" s="223"/>
      <c r="X741" s="223"/>
      <c r="Y741" s="222"/>
      <c r="Z741" s="222"/>
      <c r="AA741" s="222"/>
      <c r="AB741" s="224"/>
    </row>
    <row r="742" spans="1:28" ht="13.5" customHeight="1">
      <c r="A742" s="222"/>
      <c r="B742" s="222"/>
      <c r="C742" s="222"/>
      <c r="D742" s="222"/>
      <c r="E742" s="222"/>
      <c r="F742" s="222"/>
      <c r="G742" s="222"/>
      <c r="H742" s="222"/>
      <c r="I742" s="222"/>
      <c r="J742" s="222"/>
      <c r="K742" s="222"/>
      <c r="L742" s="222"/>
      <c r="M742" s="222"/>
      <c r="N742" s="222"/>
      <c r="O742" s="222"/>
      <c r="P742" s="222"/>
      <c r="Q742" s="223"/>
      <c r="R742" s="222"/>
      <c r="S742" s="222"/>
      <c r="T742" s="222"/>
      <c r="U742" s="222"/>
      <c r="V742" s="222"/>
      <c r="W742" s="223"/>
      <c r="X742" s="223"/>
      <c r="Y742" s="222"/>
      <c r="Z742" s="222"/>
      <c r="AA742" s="222"/>
      <c r="AB742" s="224"/>
    </row>
    <row r="743" spans="1:28" ht="13.5" customHeight="1">
      <c r="A743" s="222"/>
      <c r="B743" s="222"/>
      <c r="C743" s="222"/>
      <c r="D743" s="222"/>
      <c r="E743" s="222"/>
      <c r="F743" s="222"/>
      <c r="G743" s="222"/>
      <c r="H743" s="222"/>
      <c r="I743" s="222"/>
      <c r="J743" s="222"/>
      <c r="K743" s="222"/>
      <c r="L743" s="222"/>
      <c r="M743" s="222"/>
      <c r="N743" s="222"/>
      <c r="O743" s="222"/>
      <c r="P743" s="222"/>
      <c r="Q743" s="223"/>
      <c r="R743" s="222"/>
      <c r="S743" s="222"/>
      <c r="T743" s="222"/>
      <c r="U743" s="222"/>
      <c r="V743" s="222"/>
      <c r="W743" s="223"/>
      <c r="X743" s="223"/>
      <c r="Y743" s="222"/>
      <c r="Z743" s="222"/>
      <c r="AA743" s="222"/>
      <c r="AB743" s="224"/>
    </row>
    <row r="744" spans="1:28" ht="13.5" customHeight="1">
      <c r="A744" s="222"/>
      <c r="B744" s="222"/>
      <c r="C744" s="222"/>
      <c r="D744" s="222"/>
      <c r="E744" s="222"/>
      <c r="F744" s="222"/>
      <c r="G744" s="222"/>
      <c r="H744" s="222"/>
      <c r="I744" s="222"/>
      <c r="J744" s="222"/>
      <c r="K744" s="222"/>
      <c r="L744" s="222"/>
      <c r="M744" s="222"/>
      <c r="N744" s="222"/>
      <c r="O744" s="222"/>
      <c r="P744" s="222"/>
      <c r="Q744" s="223"/>
      <c r="R744" s="222"/>
      <c r="S744" s="222"/>
      <c r="T744" s="222"/>
      <c r="U744" s="222"/>
      <c r="V744" s="222"/>
      <c r="W744" s="223"/>
      <c r="X744" s="223"/>
      <c r="Y744" s="222"/>
      <c r="Z744" s="222"/>
      <c r="AA744" s="222"/>
      <c r="AB744" s="224"/>
    </row>
    <row r="745" spans="1:28" ht="13.5" customHeight="1">
      <c r="A745" s="222"/>
      <c r="B745" s="222"/>
      <c r="C745" s="222"/>
      <c r="D745" s="222"/>
      <c r="E745" s="222"/>
      <c r="F745" s="222"/>
      <c r="G745" s="222"/>
      <c r="H745" s="222"/>
      <c r="I745" s="222"/>
      <c r="J745" s="222"/>
      <c r="K745" s="222"/>
      <c r="L745" s="222"/>
      <c r="M745" s="222"/>
      <c r="N745" s="222"/>
      <c r="O745" s="222"/>
      <c r="P745" s="222"/>
      <c r="Q745" s="223"/>
      <c r="R745" s="222"/>
      <c r="S745" s="222"/>
      <c r="T745" s="222"/>
      <c r="U745" s="222"/>
      <c r="V745" s="222"/>
      <c r="W745" s="223"/>
      <c r="X745" s="223"/>
      <c r="Y745" s="222"/>
      <c r="Z745" s="222"/>
      <c r="AA745" s="222"/>
      <c r="AB745" s="224"/>
    </row>
    <row r="746" spans="1:28" ht="13.5" customHeight="1">
      <c r="A746" s="222"/>
      <c r="B746" s="222"/>
      <c r="C746" s="222"/>
      <c r="D746" s="222"/>
      <c r="E746" s="222"/>
      <c r="F746" s="222"/>
      <c r="G746" s="222"/>
      <c r="H746" s="222"/>
      <c r="I746" s="222"/>
      <c r="J746" s="222"/>
      <c r="K746" s="222"/>
      <c r="L746" s="222"/>
      <c r="M746" s="222"/>
      <c r="N746" s="222"/>
      <c r="O746" s="222"/>
      <c r="P746" s="222"/>
      <c r="Q746" s="223"/>
      <c r="R746" s="222"/>
      <c r="S746" s="222"/>
      <c r="T746" s="222"/>
      <c r="U746" s="222"/>
      <c r="V746" s="222"/>
      <c r="W746" s="223"/>
      <c r="X746" s="223"/>
      <c r="Y746" s="222"/>
      <c r="Z746" s="222"/>
      <c r="AA746" s="222"/>
      <c r="AB746" s="224"/>
    </row>
    <row r="747" spans="1:28" ht="13.5" customHeight="1">
      <c r="A747" s="222"/>
      <c r="B747" s="222"/>
      <c r="C747" s="222"/>
      <c r="D747" s="222"/>
      <c r="E747" s="222"/>
      <c r="F747" s="222"/>
      <c r="G747" s="222"/>
      <c r="H747" s="222"/>
      <c r="I747" s="222"/>
      <c r="J747" s="222"/>
      <c r="K747" s="222"/>
      <c r="L747" s="222"/>
      <c r="M747" s="222"/>
      <c r="N747" s="222"/>
      <c r="O747" s="222"/>
      <c r="P747" s="222"/>
      <c r="Q747" s="223"/>
      <c r="R747" s="222"/>
      <c r="S747" s="222"/>
      <c r="T747" s="222"/>
      <c r="U747" s="222"/>
      <c r="V747" s="222"/>
      <c r="W747" s="223"/>
      <c r="X747" s="223"/>
      <c r="Y747" s="222"/>
      <c r="Z747" s="222"/>
      <c r="AA747" s="222"/>
      <c r="AB747" s="224"/>
    </row>
    <row r="748" spans="1:28" ht="13.5" customHeight="1">
      <c r="A748" s="222"/>
      <c r="B748" s="222"/>
      <c r="C748" s="222"/>
      <c r="D748" s="222"/>
      <c r="E748" s="222"/>
      <c r="F748" s="222"/>
      <c r="G748" s="222"/>
      <c r="H748" s="222"/>
      <c r="I748" s="222"/>
      <c r="J748" s="222"/>
      <c r="K748" s="222"/>
      <c r="L748" s="222"/>
      <c r="M748" s="222"/>
      <c r="N748" s="222"/>
      <c r="O748" s="222"/>
      <c r="P748" s="222"/>
      <c r="Q748" s="223"/>
      <c r="R748" s="222"/>
      <c r="S748" s="222"/>
      <c r="T748" s="222"/>
      <c r="U748" s="222"/>
      <c r="V748" s="222"/>
      <c r="W748" s="223"/>
      <c r="X748" s="223"/>
      <c r="Y748" s="222"/>
      <c r="Z748" s="222"/>
      <c r="AA748" s="222"/>
      <c r="AB748" s="224"/>
    </row>
    <row r="749" spans="1:28" ht="13.5" customHeight="1">
      <c r="A749" s="222"/>
      <c r="B749" s="222"/>
      <c r="C749" s="222"/>
      <c r="D749" s="222"/>
      <c r="E749" s="222"/>
      <c r="F749" s="222"/>
      <c r="G749" s="222"/>
      <c r="H749" s="222"/>
      <c r="I749" s="222"/>
      <c r="J749" s="222"/>
      <c r="K749" s="222"/>
      <c r="L749" s="222"/>
      <c r="M749" s="222"/>
      <c r="N749" s="222"/>
      <c r="O749" s="222"/>
      <c r="P749" s="222"/>
      <c r="Q749" s="223"/>
      <c r="R749" s="222"/>
      <c r="S749" s="222"/>
      <c r="T749" s="222"/>
      <c r="U749" s="222"/>
      <c r="V749" s="222"/>
      <c r="W749" s="223"/>
      <c r="X749" s="223"/>
      <c r="Y749" s="222"/>
      <c r="Z749" s="222"/>
      <c r="AA749" s="222"/>
      <c r="AB749" s="224"/>
    </row>
    <row r="750" spans="1:28" ht="13.5" customHeight="1">
      <c r="A750" s="222"/>
      <c r="B750" s="222"/>
      <c r="C750" s="222"/>
      <c r="D750" s="222"/>
      <c r="E750" s="222"/>
      <c r="F750" s="222"/>
      <c r="G750" s="222"/>
      <c r="H750" s="222"/>
      <c r="I750" s="222"/>
      <c r="J750" s="222"/>
      <c r="K750" s="222"/>
      <c r="L750" s="222"/>
      <c r="M750" s="222"/>
      <c r="N750" s="222"/>
      <c r="O750" s="222"/>
      <c r="P750" s="222"/>
      <c r="Q750" s="223"/>
      <c r="R750" s="222"/>
      <c r="S750" s="222"/>
      <c r="T750" s="222"/>
      <c r="U750" s="222"/>
      <c r="V750" s="222"/>
      <c r="W750" s="223"/>
      <c r="X750" s="223"/>
      <c r="Y750" s="222"/>
      <c r="Z750" s="222"/>
      <c r="AA750" s="222"/>
      <c r="AB750" s="224"/>
    </row>
    <row r="751" spans="1:28" ht="13.5" customHeight="1">
      <c r="A751" s="222"/>
      <c r="B751" s="222"/>
      <c r="C751" s="222"/>
      <c r="D751" s="222"/>
      <c r="E751" s="222"/>
      <c r="F751" s="222"/>
      <c r="G751" s="222"/>
      <c r="H751" s="222"/>
      <c r="I751" s="222"/>
      <c r="J751" s="222"/>
      <c r="K751" s="222"/>
      <c r="L751" s="222"/>
      <c r="M751" s="222"/>
      <c r="N751" s="222"/>
      <c r="O751" s="222"/>
      <c r="P751" s="222"/>
      <c r="Q751" s="223"/>
      <c r="R751" s="222"/>
      <c r="S751" s="222"/>
      <c r="T751" s="222"/>
      <c r="U751" s="222"/>
      <c r="V751" s="222"/>
      <c r="W751" s="223"/>
      <c r="X751" s="223"/>
      <c r="Y751" s="222"/>
      <c r="Z751" s="222"/>
      <c r="AA751" s="222"/>
      <c r="AB751" s="224"/>
    </row>
    <row r="752" spans="1:28" ht="13.5" customHeight="1">
      <c r="A752" s="222"/>
      <c r="B752" s="222"/>
      <c r="C752" s="222"/>
      <c r="D752" s="222"/>
      <c r="E752" s="222"/>
      <c r="F752" s="222"/>
      <c r="G752" s="222"/>
      <c r="H752" s="222"/>
      <c r="I752" s="222"/>
      <c r="J752" s="222"/>
      <c r="K752" s="222"/>
      <c r="L752" s="222"/>
      <c r="M752" s="222"/>
      <c r="N752" s="222"/>
      <c r="O752" s="222"/>
      <c r="P752" s="222"/>
      <c r="Q752" s="223"/>
      <c r="R752" s="222"/>
      <c r="S752" s="222"/>
      <c r="T752" s="222"/>
      <c r="U752" s="222"/>
      <c r="V752" s="222"/>
      <c r="W752" s="223"/>
      <c r="X752" s="223"/>
      <c r="Y752" s="222"/>
      <c r="Z752" s="222"/>
      <c r="AA752" s="222"/>
      <c r="AB752" s="224"/>
    </row>
    <row r="753" spans="1:28" ht="13.5" customHeight="1">
      <c r="A753" s="222"/>
      <c r="B753" s="222"/>
      <c r="C753" s="222"/>
      <c r="D753" s="222"/>
      <c r="E753" s="222"/>
      <c r="F753" s="222"/>
      <c r="G753" s="222"/>
      <c r="H753" s="222"/>
      <c r="I753" s="222"/>
      <c r="J753" s="222"/>
      <c r="K753" s="222"/>
      <c r="L753" s="222"/>
      <c r="M753" s="222"/>
      <c r="N753" s="222"/>
      <c r="O753" s="222"/>
      <c r="P753" s="222"/>
      <c r="Q753" s="223"/>
      <c r="R753" s="222"/>
      <c r="S753" s="222"/>
      <c r="T753" s="222"/>
      <c r="U753" s="222"/>
      <c r="V753" s="222"/>
      <c r="W753" s="223"/>
      <c r="X753" s="223"/>
      <c r="Y753" s="222"/>
      <c r="Z753" s="222"/>
      <c r="AA753" s="222"/>
      <c r="AB753" s="224"/>
    </row>
    <row r="754" spans="1:28" ht="13.5" customHeight="1">
      <c r="A754" s="222"/>
      <c r="B754" s="222"/>
      <c r="C754" s="222"/>
      <c r="D754" s="222"/>
      <c r="E754" s="222"/>
      <c r="F754" s="222"/>
      <c r="G754" s="222"/>
      <c r="H754" s="222"/>
      <c r="I754" s="222"/>
      <c r="J754" s="222"/>
      <c r="K754" s="222"/>
      <c r="L754" s="222"/>
      <c r="M754" s="222"/>
      <c r="N754" s="222"/>
      <c r="O754" s="222"/>
      <c r="P754" s="222"/>
      <c r="Q754" s="223"/>
      <c r="R754" s="222"/>
      <c r="S754" s="222"/>
      <c r="T754" s="222"/>
      <c r="U754" s="222"/>
      <c r="V754" s="222"/>
      <c r="W754" s="223"/>
      <c r="X754" s="223"/>
      <c r="Y754" s="222"/>
      <c r="Z754" s="222"/>
      <c r="AA754" s="222"/>
      <c r="AB754" s="224"/>
    </row>
    <row r="755" spans="1:28" ht="13.5" customHeight="1">
      <c r="A755" s="222"/>
      <c r="B755" s="222"/>
      <c r="C755" s="222"/>
      <c r="D755" s="222"/>
      <c r="E755" s="222"/>
      <c r="F755" s="222"/>
      <c r="G755" s="222"/>
      <c r="H755" s="222"/>
      <c r="I755" s="222"/>
      <c r="J755" s="222"/>
      <c r="K755" s="222"/>
      <c r="L755" s="222"/>
      <c r="M755" s="222"/>
      <c r="N755" s="222"/>
      <c r="O755" s="222"/>
      <c r="P755" s="222"/>
      <c r="Q755" s="223"/>
      <c r="R755" s="222"/>
      <c r="S755" s="222"/>
      <c r="T755" s="222"/>
      <c r="U755" s="222"/>
      <c r="V755" s="222"/>
      <c r="W755" s="223"/>
      <c r="X755" s="223"/>
      <c r="Y755" s="222"/>
      <c r="Z755" s="222"/>
      <c r="AA755" s="222"/>
      <c r="AB755" s="224"/>
    </row>
    <row r="756" spans="1:28" ht="13.5" customHeight="1">
      <c r="A756" s="222"/>
      <c r="B756" s="222"/>
      <c r="C756" s="222"/>
      <c r="D756" s="222"/>
      <c r="E756" s="222"/>
      <c r="F756" s="222"/>
      <c r="G756" s="222"/>
      <c r="H756" s="222"/>
      <c r="I756" s="222"/>
      <c r="J756" s="222"/>
      <c r="K756" s="222"/>
      <c r="L756" s="222"/>
      <c r="M756" s="222"/>
      <c r="N756" s="222"/>
      <c r="O756" s="222"/>
      <c r="P756" s="222"/>
      <c r="Q756" s="223"/>
      <c r="R756" s="222"/>
      <c r="S756" s="222"/>
      <c r="T756" s="222"/>
      <c r="U756" s="222"/>
      <c r="V756" s="222"/>
      <c r="W756" s="223"/>
      <c r="X756" s="223"/>
      <c r="Y756" s="222"/>
      <c r="Z756" s="222"/>
      <c r="AA756" s="222"/>
      <c r="AB756" s="224"/>
    </row>
    <row r="757" spans="1:28" ht="13.5" customHeight="1">
      <c r="A757" s="222"/>
      <c r="B757" s="222"/>
      <c r="C757" s="222"/>
      <c r="D757" s="222"/>
      <c r="E757" s="222"/>
      <c r="F757" s="222"/>
      <c r="G757" s="222"/>
      <c r="H757" s="222"/>
      <c r="I757" s="222"/>
      <c r="J757" s="222"/>
      <c r="K757" s="222"/>
      <c r="L757" s="222"/>
      <c r="M757" s="222"/>
      <c r="N757" s="222"/>
      <c r="O757" s="222"/>
      <c r="P757" s="222"/>
      <c r="Q757" s="223"/>
      <c r="R757" s="222"/>
      <c r="S757" s="222"/>
      <c r="T757" s="222"/>
      <c r="U757" s="222"/>
      <c r="V757" s="222"/>
      <c r="W757" s="223"/>
      <c r="X757" s="223"/>
      <c r="Y757" s="222"/>
      <c r="Z757" s="222"/>
      <c r="AA757" s="222"/>
      <c r="AB757" s="224"/>
    </row>
    <row r="758" spans="1:28" ht="13.5" customHeight="1">
      <c r="A758" s="222"/>
      <c r="B758" s="222"/>
      <c r="C758" s="222"/>
      <c r="D758" s="222"/>
      <c r="E758" s="222"/>
      <c r="F758" s="222"/>
      <c r="G758" s="222"/>
      <c r="H758" s="222"/>
      <c r="I758" s="222"/>
      <c r="J758" s="222"/>
      <c r="K758" s="222"/>
      <c r="L758" s="222"/>
      <c r="M758" s="222"/>
      <c r="N758" s="222"/>
      <c r="O758" s="222"/>
      <c r="P758" s="222"/>
      <c r="Q758" s="223"/>
      <c r="R758" s="222"/>
      <c r="S758" s="222"/>
      <c r="T758" s="222"/>
      <c r="U758" s="222"/>
      <c r="V758" s="222"/>
      <c r="W758" s="223"/>
      <c r="X758" s="223"/>
      <c r="Y758" s="222"/>
      <c r="Z758" s="222"/>
      <c r="AA758" s="222"/>
      <c r="AB758" s="224"/>
    </row>
    <row r="759" spans="1:28" ht="13.5" customHeight="1">
      <c r="A759" s="222"/>
      <c r="B759" s="222"/>
      <c r="C759" s="222"/>
      <c r="D759" s="222"/>
      <c r="E759" s="222"/>
      <c r="F759" s="222"/>
      <c r="G759" s="222"/>
      <c r="H759" s="222"/>
      <c r="I759" s="222"/>
      <c r="J759" s="222"/>
      <c r="K759" s="222"/>
      <c r="L759" s="222"/>
      <c r="M759" s="222"/>
      <c r="N759" s="222"/>
      <c r="O759" s="222"/>
      <c r="P759" s="222"/>
      <c r="Q759" s="223"/>
      <c r="R759" s="222"/>
      <c r="S759" s="222"/>
      <c r="T759" s="222"/>
      <c r="U759" s="222"/>
      <c r="V759" s="222"/>
      <c r="W759" s="223"/>
      <c r="X759" s="223"/>
      <c r="Y759" s="222"/>
      <c r="Z759" s="222"/>
      <c r="AA759" s="222"/>
      <c r="AB759" s="224"/>
    </row>
    <row r="760" spans="1:28" ht="13.5" customHeight="1">
      <c r="A760" s="222"/>
      <c r="B760" s="222"/>
      <c r="C760" s="222"/>
      <c r="D760" s="222"/>
      <c r="E760" s="222"/>
      <c r="F760" s="222"/>
      <c r="G760" s="222"/>
      <c r="H760" s="222"/>
      <c r="I760" s="222"/>
      <c r="J760" s="222"/>
      <c r="K760" s="222"/>
      <c r="L760" s="222"/>
      <c r="M760" s="222"/>
      <c r="N760" s="222"/>
      <c r="O760" s="222"/>
      <c r="P760" s="222"/>
      <c r="Q760" s="223"/>
      <c r="R760" s="222"/>
      <c r="S760" s="222"/>
      <c r="T760" s="222"/>
      <c r="U760" s="222"/>
      <c r="V760" s="222"/>
      <c r="W760" s="223"/>
      <c r="X760" s="223"/>
      <c r="Y760" s="222"/>
      <c r="Z760" s="222"/>
      <c r="AA760" s="222"/>
      <c r="AB760" s="224"/>
    </row>
    <row r="761" spans="1:28" ht="13.5" customHeight="1">
      <c r="A761" s="222"/>
      <c r="B761" s="222"/>
      <c r="C761" s="222"/>
      <c r="D761" s="222"/>
      <c r="E761" s="222"/>
      <c r="F761" s="222"/>
      <c r="G761" s="222"/>
      <c r="H761" s="222"/>
      <c r="I761" s="222"/>
      <c r="J761" s="222"/>
      <c r="K761" s="222"/>
      <c r="L761" s="222"/>
      <c r="M761" s="222"/>
      <c r="N761" s="222"/>
      <c r="O761" s="222"/>
      <c r="P761" s="222"/>
      <c r="Q761" s="223"/>
      <c r="R761" s="222"/>
      <c r="S761" s="222"/>
      <c r="T761" s="222"/>
      <c r="U761" s="222"/>
      <c r="V761" s="222"/>
      <c r="W761" s="223"/>
      <c r="X761" s="223"/>
      <c r="Y761" s="222"/>
      <c r="Z761" s="222"/>
      <c r="AA761" s="222"/>
      <c r="AB761" s="224"/>
    </row>
    <row r="762" spans="1:28" ht="13.5" customHeight="1">
      <c r="A762" s="222"/>
      <c r="B762" s="222"/>
      <c r="C762" s="222"/>
      <c r="D762" s="222"/>
      <c r="E762" s="222"/>
      <c r="F762" s="222"/>
      <c r="G762" s="222"/>
      <c r="H762" s="222"/>
      <c r="I762" s="222"/>
      <c r="J762" s="222"/>
      <c r="K762" s="222"/>
      <c r="L762" s="222"/>
      <c r="M762" s="222"/>
      <c r="N762" s="222"/>
      <c r="O762" s="222"/>
      <c r="P762" s="222"/>
      <c r="Q762" s="223"/>
      <c r="R762" s="222"/>
      <c r="S762" s="222"/>
      <c r="T762" s="222"/>
      <c r="U762" s="222"/>
      <c r="V762" s="222"/>
      <c r="W762" s="223"/>
      <c r="X762" s="223"/>
      <c r="Y762" s="222"/>
      <c r="Z762" s="222"/>
      <c r="AA762" s="222"/>
      <c r="AB762" s="224"/>
    </row>
    <row r="763" spans="1:28" ht="13.5" customHeight="1">
      <c r="A763" s="222"/>
      <c r="B763" s="222"/>
      <c r="C763" s="222"/>
      <c r="D763" s="222"/>
      <c r="E763" s="222"/>
      <c r="F763" s="222"/>
      <c r="G763" s="222"/>
      <c r="H763" s="222"/>
      <c r="I763" s="222"/>
      <c r="J763" s="222"/>
      <c r="K763" s="222"/>
      <c r="L763" s="222"/>
      <c r="M763" s="222"/>
      <c r="N763" s="222"/>
      <c r="O763" s="222"/>
      <c r="P763" s="222"/>
      <c r="Q763" s="223"/>
      <c r="R763" s="222"/>
      <c r="S763" s="222"/>
      <c r="T763" s="222"/>
      <c r="U763" s="222"/>
      <c r="V763" s="222"/>
      <c r="W763" s="223"/>
      <c r="X763" s="223"/>
      <c r="Y763" s="222"/>
      <c r="Z763" s="222"/>
      <c r="AA763" s="222"/>
      <c r="AB763" s="224"/>
    </row>
    <row r="764" spans="1:28" ht="13.5" customHeight="1">
      <c r="A764" s="222"/>
      <c r="B764" s="222"/>
      <c r="C764" s="222"/>
      <c r="D764" s="222"/>
      <c r="E764" s="222"/>
      <c r="F764" s="222"/>
      <c r="G764" s="222"/>
      <c r="H764" s="222"/>
      <c r="I764" s="222"/>
      <c r="J764" s="222"/>
      <c r="K764" s="222"/>
      <c r="L764" s="222"/>
      <c r="M764" s="222"/>
      <c r="N764" s="222"/>
      <c r="O764" s="222"/>
      <c r="P764" s="222"/>
      <c r="Q764" s="223"/>
      <c r="R764" s="222"/>
      <c r="S764" s="222"/>
      <c r="T764" s="222"/>
      <c r="U764" s="222"/>
      <c r="V764" s="222"/>
      <c r="W764" s="223"/>
      <c r="X764" s="223"/>
      <c r="Y764" s="222"/>
      <c r="Z764" s="222"/>
      <c r="AA764" s="222"/>
      <c r="AB764" s="224"/>
    </row>
    <row r="765" spans="1:28" ht="13.5" customHeight="1">
      <c r="A765" s="222"/>
      <c r="B765" s="222"/>
      <c r="C765" s="222"/>
      <c r="D765" s="222"/>
      <c r="E765" s="222"/>
      <c r="F765" s="222"/>
      <c r="G765" s="222"/>
      <c r="H765" s="222"/>
      <c r="I765" s="222"/>
      <c r="J765" s="222"/>
      <c r="K765" s="222"/>
      <c r="L765" s="222"/>
      <c r="M765" s="222"/>
      <c r="N765" s="222"/>
      <c r="O765" s="222"/>
      <c r="P765" s="222"/>
      <c r="Q765" s="223"/>
      <c r="R765" s="222"/>
      <c r="S765" s="222"/>
      <c r="T765" s="222"/>
      <c r="U765" s="222"/>
      <c r="V765" s="222"/>
      <c r="W765" s="223"/>
      <c r="X765" s="223"/>
      <c r="Y765" s="222"/>
      <c r="Z765" s="222"/>
      <c r="AA765" s="222"/>
      <c r="AB765" s="224"/>
    </row>
    <row r="766" spans="1:28" ht="13.5" customHeight="1">
      <c r="A766" s="222"/>
      <c r="B766" s="222"/>
      <c r="C766" s="222"/>
      <c r="D766" s="222"/>
      <c r="E766" s="222"/>
      <c r="F766" s="222"/>
      <c r="G766" s="222"/>
      <c r="H766" s="222"/>
      <c r="I766" s="222"/>
      <c r="J766" s="222"/>
      <c r="K766" s="222"/>
      <c r="L766" s="222"/>
      <c r="M766" s="222"/>
      <c r="N766" s="222"/>
      <c r="O766" s="222"/>
      <c r="P766" s="222"/>
      <c r="Q766" s="223"/>
      <c r="R766" s="222"/>
      <c r="S766" s="222"/>
      <c r="T766" s="222"/>
      <c r="U766" s="222"/>
      <c r="V766" s="222"/>
      <c r="W766" s="223"/>
      <c r="X766" s="223"/>
      <c r="Y766" s="222"/>
      <c r="Z766" s="222"/>
      <c r="AA766" s="222"/>
      <c r="AB766" s="224"/>
    </row>
    <row r="767" spans="1:28" ht="13.5" customHeight="1">
      <c r="A767" s="222"/>
      <c r="B767" s="222"/>
      <c r="C767" s="222"/>
      <c r="D767" s="222"/>
      <c r="E767" s="222"/>
      <c r="F767" s="222"/>
      <c r="G767" s="222"/>
      <c r="H767" s="222"/>
      <c r="I767" s="222"/>
      <c r="J767" s="222"/>
      <c r="K767" s="222"/>
      <c r="L767" s="222"/>
      <c r="M767" s="222"/>
      <c r="N767" s="222"/>
      <c r="O767" s="222"/>
      <c r="P767" s="222"/>
      <c r="Q767" s="223"/>
      <c r="R767" s="222"/>
      <c r="S767" s="222"/>
      <c r="T767" s="222"/>
      <c r="U767" s="222"/>
      <c r="V767" s="222"/>
      <c r="W767" s="223"/>
      <c r="X767" s="223"/>
      <c r="Y767" s="222"/>
      <c r="Z767" s="222"/>
      <c r="AA767" s="222"/>
      <c r="AB767" s="224"/>
    </row>
    <row r="768" spans="1:28" ht="13.5" customHeight="1">
      <c r="A768" s="222"/>
      <c r="B768" s="222"/>
      <c r="C768" s="222"/>
      <c r="D768" s="222"/>
      <c r="E768" s="222"/>
      <c r="F768" s="222"/>
      <c r="G768" s="222"/>
      <c r="H768" s="222"/>
      <c r="I768" s="222"/>
      <c r="J768" s="222"/>
      <c r="K768" s="222"/>
      <c r="L768" s="222"/>
      <c r="M768" s="222"/>
      <c r="N768" s="222"/>
      <c r="O768" s="222"/>
      <c r="P768" s="222"/>
      <c r="Q768" s="223"/>
      <c r="R768" s="222"/>
      <c r="S768" s="222"/>
      <c r="T768" s="222"/>
      <c r="U768" s="222"/>
      <c r="V768" s="222"/>
      <c r="W768" s="223"/>
      <c r="X768" s="223"/>
      <c r="Y768" s="222"/>
      <c r="Z768" s="222"/>
      <c r="AA768" s="222"/>
      <c r="AB768" s="224"/>
    </row>
    <row r="769" spans="1:28" ht="13.5" customHeight="1">
      <c r="A769" s="222"/>
      <c r="B769" s="222"/>
      <c r="C769" s="222"/>
      <c r="D769" s="222"/>
      <c r="E769" s="222"/>
      <c r="F769" s="222"/>
      <c r="G769" s="222"/>
      <c r="H769" s="222"/>
      <c r="I769" s="222"/>
      <c r="J769" s="222"/>
      <c r="K769" s="222"/>
      <c r="L769" s="222"/>
      <c r="M769" s="222"/>
      <c r="N769" s="222"/>
      <c r="O769" s="222"/>
      <c r="P769" s="222"/>
      <c r="Q769" s="223"/>
      <c r="R769" s="222"/>
      <c r="S769" s="222"/>
      <c r="T769" s="222"/>
      <c r="U769" s="222"/>
      <c r="V769" s="222"/>
      <c r="W769" s="223"/>
      <c r="X769" s="223"/>
      <c r="Y769" s="222"/>
      <c r="Z769" s="222"/>
      <c r="AA769" s="222"/>
      <c r="AB769" s="224"/>
    </row>
    <row r="770" spans="1:28" ht="13.5" customHeight="1">
      <c r="A770" s="222"/>
      <c r="B770" s="222"/>
      <c r="C770" s="222"/>
      <c r="D770" s="222"/>
      <c r="E770" s="222"/>
      <c r="F770" s="222"/>
      <c r="G770" s="222"/>
      <c r="H770" s="222"/>
      <c r="I770" s="222"/>
      <c r="J770" s="222"/>
      <c r="K770" s="222"/>
      <c r="L770" s="222"/>
      <c r="M770" s="222"/>
      <c r="N770" s="222"/>
      <c r="O770" s="222"/>
      <c r="P770" s="222"/>
      <c r="Q770" s="223"/>
      <c r="R770" s="222"/>
      <c r="S770" s="222"/>
      <c r="T770" s="222"/>
      <c r="U770" s="222"/>
      <c r="V770" s="222"/>
      <c r="W770" s="223"/>
      <c r="X770" s="223"/>
      <c r="Y770" s="222"/>
      <c r="Z770" s="222"/>
      <c r="AA770" s="222"/>
      <c r="AB770" s="224"/>
    </row>
    <row r="771" spans="1:28" ht="13.5" customHeight="1">
      <c r="A771" s="222"/>
      <c r="B771" s="222"/>
      <c r="C771" s="222"/>
      <c r="D771" s="222"/>
      <c r="E771" s="222"/>
      <c r="F771" s="222"/>
      <c r="G771" s="222"/>
      <c r="H771" s="222"/>
      <c r="I771" s="222"/>
      <c r="J771" s="222"/>
      <c r="K771" s="222"/>
      <c r="L771" s="222"/>
      <c r="M771" s="222"/>
      <c r="N771" s="222"/>
      <c r="O771" s="222"/>
      <c r="P771" s="222"/>
      <c r="Q771" s="223"/>
      <c r="R771" s="222"/>
      <c r="S771" s="222"/>
      <c r="T771" s="222"/>
      <c r="U771" s="222"/>
      <c r="V771" s="222"/>
      <c r="W771" s="223"/>
      <c r="X771" s="223"/>
      <c r="Y771" s="222"/>
      <c r="Z771" s="222"/>
      <c r="AA771" s="222"/>
      <c r="AB771" s="224"/>
    </row>
    <row r="772" spans="1:28" ht="13.5" customHeight="1">
      <c r="A772" s="222"/>
      <c r="B772" s="222"/>
      <c r="C772" s="222"/>
      <c r="D772" s="222"/>
      <c r="E772" s="222"/>
      <c r="F772" s="222"/>
      <c r="G772" s="222"/>
      <c r="H772" s="222"/>
      <c r="I772" s="222"/>
      <c r="J772" s="222"/>
      <c r="K772" s="222"/>
      <c r="L772" s="222"/>
      <c r="M772" s="222"/>
      <c r="N772" s="222"/>
      <c r="O772" s="222"/>
      <c r="P772" s="222"/>
      <c r="Q772" s="223"/>
      <c r="R772" s="222"/>
      <c r="S772" s="222"/>
      <c r="T772" s="222"/>
      <c r="U772" s="222"/>
      <c r="V772" s="222"/>
      <c r="W772" s="223"/>
      <c r="X772" s="223"/>
      <c r="Y772" s="222"/>
      <c r="Z772" s="222"/>
      <c r="AA772" s="222"/>
      <c r="AB772" s="224"/>
    </row>
    <row r="773" spans="1:28" ht="13.5" customHeight="1">
      <c r="A773" s="222"/>
      <c r="B773" s="222"/>
      <c r="C773" s="222"/>
      <c r="D773" s="222"/>
      <c r="E773" s="222"/>
      <c r="F773" s="222"/>
      <c r="G773" s="222"/>
      <c r="H773" s="222"/>
      <c r="I773" s="222"/>
      <c r="J773" s="222"/>
      <c r="K773" s="222"/>
      <c r="L773" s="222"/>
      <c r="M773" s="222"/>
      <c r="N773" s="222"/>
      <c r="O773" s="222"/>
      <c r="P773" s="222"/>
      <c r="Q773" s="223"/>
      <c r="R773" s="222"/>
      <c r="S773" s="222"/>
      <c r="T773" s="222"/>
      <c r="U773" s="222"/>
      <c r="V773" s="222"/>
      <c r="W773" s="223"/>
      <c r="X773" s="223"/>
      <c r="Y773" s="222"/>
      <c r="Z773" s="222"/>
      <c r="AA773" s="222"/>
      <c r="AB773" s="224"/>
    </row>
    <row r="774" spans="1:28" ht="13.5" customHeight="1">
      <c r="A774" s="222"/>
      <c r="B774" s="222"/>
      <c r="C774" s="222"/>
      <c r="D774" s="222"/>
      <c r="E774" s="222"/>
      <c r="F774" s="222"/>
      <c r="G774" s="222"/>
      <c r="H774" s="222"/>
      <c r="I774" s="222"/>
      <c r="J774" s="222"/>
      <c r="K774" s="222"/>
      <c r="L774" s="222"/>
      <c r="M774" s="222"/>
      <c r="N774" s="222"/>
      <c r="O774" s="222"/>
      <c r="P774" s="222"/>
      <c r="Q774" s="223"/>
      <c r="R774" s="222"/>
      <c r="S774" s="222"/>
      <c r="T774" s="222"/>
      <c r="U774" s="222"/>
      <c r="V774" s="222"/>
      <c r="W774" s="223"/>
      <c r="X774" s="223"/>
      <c r="Y774" s="222"/>
      <c r="Z774" s="222"/>
      <c r="AA774" s="222"/>
      <c r="AB774" s="224"/>
    </row>
    <row r="775" spans="1:28" ht="13.5" customHeight="1">
      <c r="A775" s="222"/>
      <c r="B775" s="222"/>
      <c r="C775" s="222"/>
      <c r="D775" s="222"/>
      <c r="E775" s="222"/>
      <c r="F775" s="222"/>
      <c r="G775" s="222"/>
      <c r="H775" s="222"/>
      <c r="I775" s="222"/>
      <c r="J775" s="222"/>
      <c r="K775" s="222"/>
      <c r="L775" s="222"/>
      <c r="M775" s="222"/>
      <c r="N775" s="222"/>
      <c r="O775" s="222"/>
      <c r="P775" s="222"/>
      <c r="Q775" s="223"/>
      <c r="R775" s="222"/>
      <c r="S775" s="222"/>
      <c r="T775" s="222"/>
      <c r="U775" s="222"/>
      <c r="V775" s="222"/>
      <c r="W775" s="223"/>
      <c r="X775" s="223"/>
      <c r="Y775" s="222"/>
      <c r="Z775" s="222"/>
      <c r="AA775" s="222"/>
      <c r="AB775" s="224"/>
    </row>
    <row r="776" spans="1:28" ht="13.5" customHeight="1">
      <c r="A776" s="222"/>
      <c r="B776" s="222"/>
      <c r="C776" s="222"/>
      <c r="D776" s="222"/>
      <c r="E776" s="222"/>
      <c r="F776" s="222"/>
      <c r="G776" s="222"/>
      <c r="H776" s="222"/>
      <c r="I776" s="222"/>
      <c r="J776" s="222"/>
      <c r="K776" s="222"/>
      <c r="L776" s="222"/>
      <c r="M776" s="222"/>
      <c r="N776" s="222"/>
      <c r="O776" s="222"/>
      <c r="P776" s="222"/>
      <c r="Q776" s="223"/>
      <c r="R776" s="222"/>
      <c r="S776" s="222"/>
      <c r="T776" s="222"/>
      <c r="U776" s="222"/>
      <c r="V776" s="222"/>
      <c r="W776" s="223"/>
      <c r="X776" s="223"/>
      <c r="Y776" s="222"/>
      <c r="Z776" s="222"/>
      <c r="AA776" s="222"/>
      <c r="AB776" s="224"/>
    </row>
    <row r="777" spans="1:28" ht="13.5" customHeight="1">
      <c r="A777" s="222"/>
      <c r="B777" s="222"/>
      <c r="C777" s="222"/>
      <c r="D777" s="222"/>
      <c r="E777" s="222"/>
      <c r="F777" s="222"/>
      <c r="G777" s="222"/>
      <c r="H777" s="222"/>
      <c r="I777" s="222"/>
      <c r="J777" s="222"/>
      <c r="K777" s="222"/>
      <c r="L777" s="222"/>
      <c r="M777" s="222"/>
      <c r="N777" s="222"/>
      <c r="O777" s="222"/>
      <c r="P777" s="222"/>
      <c r="Q777" s="223"/>
      <c r="R777" s="222"/>
      <c r="S777" s="222"/>
      <c r="T777" s="222"/>
      <c r="U777" s="222"/>
      <c r="V777" s="222"/>
      <c r="W777" s="223"/>
      <c r="X777" s="223"/>
      <c r="Y777" s="222"/>
      <c r="Z777" s="222"/>
      <c r="AA777" s="222"/>
      <c r="AB777" s="224"/>
    </row>
    <row r="778" spans="1:28" ht="13.5" customHeight="1">
      <c r="A778" s="222"/>
      <c r="B778" s="222"/>
      <c r="C778" s="222"/>
      <c r="D778" s="222"/>
      <c r="E778" s="222"/>
      <c r="F778" s="222"/>
      <c r="G778" s="222"/>
      <c r="H778" s="222"/>
      <c r="I778" s="222"/>
      <c r="J778" s="222"/>
      <c r="K778" s="222"/>
      <c r="L778" s="222"/>
      <c r="M778" s="222"/>
      <c r="N778" s="222"/>
      <c r="O778" s="222"/>
      <c r="P778" s="222"/>
      <c r="Q778" s="223"/>
      <c r="R778" s="222"/>
      <c r="S778" s="222"/>
      <c r="T778" s="222"/>
      <c r="U778" s="222"/>
      <c r="V778" s="222"/>
      <c r="W778" s="223"/>
      <c r="X778" s="223"/>
      <c r="Y778" s="222"/>
      <c r="Z778" s="222"/>
      <c r="AA778" s="222"/>
      <c r="AB778" s="224"/>
    </row>
    <row r="779" spans="1:28" ht="13.5" customHeight="1">
      <c r="A779" s="222"/>
      <c r="B779" s="222"/>
      <c r="C779" s="222"/>
      <c r="D779" s="222"/>
      <c r="E779" s="222"/>
      <c r="F779" s="222"/>
      <c r="G779" s="222"/>
      <c r="H779" s="222"/>
      <c r="I779" s="222"/>
      <c r="J779" s="222"/>
      <c r="K779" s="222"/>
      <c r="L779" s="222"/>
      <c r="M779" s="222"/>
      <c r="N779" s="222"/>
      <c r="O779" s="222"/>
      <c r="P779" s="222"/>
      <c r="Q779" s="223"/>
      <c r="R779" s="222"/>
      <c r="S779" s="222"/>
      <c r="T779" s="222"/>
      <c r="U779" s="222"/>
      <c r="V779" s="222"/>
      <c r="W779" s="223"/>
      <c r="X779" s="223"/>
      <c r="Y779" s="222"/>
      <c r="Z779" s="222"/>
      <c r="AA779" s="222"/>
      <c r="AB779" s="224"/>
    </row>
    <row r="780" spans="1:28" ht="13.5" customHeight="1">
      <c r="A780" s="222"/>
      <c r="B780" s="222"/>
      <c r="C780" s="222"/>
      <c r="D780" s="222"/>
      <c r="E780" s="222"/>
      <c r="F780" s="222"/>
      <c r="G780" s="222"/>
      <c r="H780" s="222"/>
      <c r="I780" s="222"/>
      <c r="J780" s="222"/>
      <c r="K780" s="222"/>
      <c r="L780" s="222"/>
      <c r="M780" s="222"/>
      <c r="N780" s="222"/>
      <c r="O780" s="222"/>
      <c r="P780" s="222"/>
      <c r="Q780" s="223"/>
      <c r="R780" s="222"/>
      <c r="S780" s="222"/>
      <c r="T780" s="222"/>
      <c r="U780" s="222"/>
      <c r="V780" s="222"/>
      <c r="W780" s="223"/>
      <c r="X780" s="223"/>
      <c r="Y780" s="222"/>
      <c r="Z780" s="222"/>
      <c r="AA780" s="222"/>
      <c r="AB780" s="224"/>
    </row>
    <row r="781" spans="1:28" ht="13.5" customHeight="1">
      <c r="A781" s="222"/>
      <c r="B781" s="222"/>
      <c r="C781" s="222"/>
      <c r="D781" s="222"/>
      <c r="E781" s="222"/>
      <c r="F781" s="222"/>
      <c r="G781" s="222"/>
      <c r="H781" s="222"/>
      <c r="I781" s="222"/>
      <c r="J781" s="222"/>
      <c r="K781" s="222"/>
      <c r="L781" s="222"/>
      <c r="M781" s="222"/>
      <c r="N781" s="222"/>
      <c r="O781" s="222"/>
      <c r="P781" s="222"/>
      <c r="Q781" s="223"/>
      <c r="R781" s="222"/>
      <c r="S781" s="222"/>
      <c r="T781" s="222"/>
      <c r="U781" s="222"/>
      <c r="V781" s="222"/>
      <c r="W781" s="223"/>
      <c r="X781" s="223"/>
      <c r="Y781" s="222"/>
      <c r="Z781" s="222"/>
      <c r="AA781" s="222"/>
      <c r="AB781" s="224"/>
    </row>
    <row r="782" spans="1:28" ht="13.5" customHeight="1">
      <c r="A782" s="222"/>
      <c r="B782" s="222"/>
      <c r="C782" s="222"/>
      <c r="D782" s="222"/>
      <c r="E782" s="222"/>
      <c r="F782" s="222"/>
      <c r="G782" s="222"/>
      <c r="H782" s="222"/>
      <c r="I782" s="222"/>
      <c r="J782" s="222"/>
      <c r="K782" s="222"/>
      <c r="L782" s="222"/>
      <c r="M782" s="222"/>
      <c r="N782" s="222"/>
      <c r="O782" s="222"/>
      <c r="P782" s="222"/>
      <c r="Q782" s="223"/>
      <c r="R782" s="222"/>
      <c r="S782" s="222"/>
      <c r="T782" s="222"/>
      <c r="U782" s="222"/>
      <c r="V782" s="222"/>
      <c r="W782" s="223"/>
      <c r="X782" s="223"/>
      <c r="Y782" s="222"/>
      <c r="Z782" s="222"/>
      <c r="AA782" s="222"/>
      <c r="AB782" s="224"/>
    </row>
    <row r="783" spans="1:28" ht="13.5" customHeight="1">
      <c r="A783" s="222"/>
      <c r="B783" s="222"/>
      <c r="C783" s="222"/>
      <c r="D783" s="222"/>
      <c r="E783" s="222"/>
      <c r="F783" s="222"/>
      <c r="G783" s="222"/>
      <c r="H783" s="222"/>
      <c r="I783" s="222"/>
      <c r="J783" s="222"/>
      <c r="K783" s="222"/>
      <c r="L783" s="222"/>
      <c r="M783" s="222"/>
      <c r="N783" s="222"/>
      <c r="O783" s="222"/>
      <c r="P783" s="222"/>
      <c r="Q783" s="223"/>
      <c r="R783" s="222"/>
      <c r="S783" s="222"/>
      <c r="T783" s="222"/>
      <c r="U783" s="222"/>
      <c r="V783" s="222"/>
      <c r="W783" s="223"/>
      <c r="X783" s="223"/>
      <c r="Y783" s="222"/>
      <c r="Z783" s="222"/>
      <c r="AA783" s="222"/>
      <c r="AB783" s="224"/>
    </row>
    <row r="784" spans="1:28" ht="13.5" customHeight="1">
      <c r="A784" s="222"/>
      <c r="B784" s="222"/>
      <c r="C784" s="222"/>
      <c r="D784" s="222"/>
      <c r="E784" s="222"/>
      <c r="F784" s="222"/>
      <c r="G784" s="222"/>
      <c r="H784" s="222"/>
      <c r="I784" s="222"/>
      <c r="J784" s="222"/>
      <c r="K784" s="222"/>
      <c r="L784" s="222"/>
      <c r="M784" s="222"/>
      <c r="N784" s="222"/>
      <c r="O784" s="222"/>
      <c r="P784" s="222"/>
      <c r="Q784" s="223"/>
      <c r="R784" s="222"/>
      <c r="S784" s="222"/>
      <c r="T784" s="222"/>
      <c r="U784" s="222"/>
      <c r="V784" s="222"/>
      <c r="W784" s="223"/>
      <c r="X784" s="223"/>
      <c r="Y784" s="222"/>
      <c r="Z784" s="222"/>
      <c r="AA784" s="222"/>
      <c r="AB784" s="224"/>
    </row>
    <row r="785" spans="1:28" ht="13.5" customHeight="1">
      <c r="A785" s="222"/>
      <c r="B785" s="222"/>
      <c r="C785" s="222"/>
      <c r="D785" s="222"/>
      <c r="E785" s="222"/>
      <c r="F785" s="222"/>
      <c r="G785" s="222"/>
      <c r="H785" s="222"/>
      <c r="I785" s="222"/>
      <c r="J785" s="222"/>
      <c r="K785" s="222"/>
      <c r="L785" s="222"/>
      <c r="M785" s="222"/>
      <c r="N785" s="222"/>
      <c r="O785" s="222"/>
      <c r="P785" s="222"/>
      <c r="Q785" s="223"/>
      <c r="R785" s="222"/>
      <c r="S785" s="222"/>
      <c r="T785" s="222"/>
      <c r="U785" s="222"/>
      <c r="V785" s="222"/>
      <c r="W785" s="223"/>
      <c r="X785" s="223"/>
      <c r="Y785" s="222"/>
      <c r="Z785" s="222"/>
      <c r="AA785" s="222"/>
      <c r="AB785" s="224"/>
    </row>
    <row r="786" spans="1:28" ht="13.5" customHeight="1">
      <c r="A786" s="222"/>
      <c r="B786" s="222"/>
      <c r="C786" s="222"/>
      <c r="D786" s="222"/>
      <c r="E786" s="222"/>
      <c r="F786" s="222"/>
      <c r="G786" s="222"/>
      <c r="H786" s="222"/>
      <c r="I786" s="222"/>
      <c r="J786" s="222"/>
      <c r="K786" s="222"/>
      <c r="L786" s="222"/>
      <c r="M786" s="222"/>
      <c r="N786" s="222"/>
      <c r="O786" s="222"/>
      <c r="P786" s="222"/>
      <c r="Q786" s="223"/>
      <c r="R786" s="222"/>
      <c r="S786" s="222"/>
      <c r="T786" s="222"/>
      <c r="U786" s="222"/>
      <c r="V786" s="222"/>
      <c r="W786" s="223"/>
      <c r="X786" s="223"/>
      <c r="Y786" s="222"/>
      <c r="Z786" s="222"/>
      <c r="AA786" s="222"/>
      <c r="AB786" s="224"/>
    </row>
    <row r="787" spans="1:28" ht="13.5" customHeight="1">
      <c r="A787" s="222"/>
      <c r="B787" s="222"/>
      <c r="C787" s="222"/>
      <c r="D787" s="222"/>
      <c r="E787" s="222"/>
      <c r="F787" s="222"/>
      <c r="G787" s="222"/>
      <c r="H787" s="222"/>
      <c r="I787" s="222"/>
      <c r="J787" s="222"/>
      <c r="K787" s="222"/>
      <c r="L787" s="222"/>
      <c r="M787" s="222"/>
      <c r="N787" s="222"/>
      <c r="O787" s="222"/>
      <c r="P787" s="222"/>
      <c r="Q787" s="223"/>
      <c r="R787" s="222"/>
      <c r="S787" s="222"/>
      <c r="T787" s="222"/>
      <c r="U787" s="222"/>
      <c r="V787" s="222"/>
      <c r="W787" s="223"/>
      <c r="X787" s="223"/>
      <c r="Y787" s="222"/>
      <c r="Z787" s="222"/>
      <c r="AA787" s="222"/>
      <c r="AB787" s="224"/>
    </row>
    <row r="788" spans="1:28" ht="13.5" customHeight="1">
      <c r="A788" s="222"/>
      <c r="B788" s="222"/>
      <c r="C788" s="222"/>
      <c r="D788" s="222"/>
      <c r="E788" s="222"/>
      <c r="F788" s="222"/>
      <c r="G788" s="222"/>
      <c r="H788" s="222"/>
      <c r="I788" s="222"/>
      <c r="J788" s="222"/>
      <c r="K788" s="222"/>
      <c r="L788" s="222"/>
      <c r="M788" s="222"/>
      <c r="N788" s="222"/>
      <c r="O788" s="222"/>
      <c r="P788" s="222"/>
      <c r="Q788" s="223"/>
      <c r="R788" s="222"/>
      <c r="S788" s="222"/>
      <c r="T788" s="222"/>
      <c r="U788" s="222"/>
      <c r="V788" s="222"/>
      <c r="W788" s="223"/>
      <c r="X788" s="223"/>
      <c r="Y788" s="222"/>
      <c r="Z788" s="222"/>
      <c r="AA788" s="222"/>
      <c r="AB788" s="224"/>
    </row>
    <row r="789" spans="1:28" ht="13.5" customHeight="1">
      <c r="A789" s="222"/>
      <c r="B789" s="222"/>
      <c r="C789" s="222"/>
      <c r="D789" s="222"/>
      <c r="E789" s="222"/>
      <c r="F789" s="222"/>
      <c r="G789" s="222"/>
      <c r="H789" s="222"/>
      <c r="I789" s="222"/>
      <c r="J789" s="222"/>
      <c r="K789" s="222"/>
      <c r="L789" s="222"/>
      <c r="M789" s="222"/>
      <c r="N789" s="222"/>
      <c r="O789" s="222"/>
      <c r="P789" s="222"/>
      <c r="Q789" s="223"/>
      <c r="R789" s="222"/>
      <c r="S789" s="222"/>
      <c r="T789" s="222"/>
      <c r="U789" s="222"/>
      <c r="V789" s="222"/>
      <c r="W789" s="223"/>
      <c r="X789" s="223"/>
      <c r="Y789" s="222"/>
      <c r="Z789" s="222"/>
      <c r="AA789" s="222"/>
      <c r="AB789" s="224"/>
    </row>
    <row r="790" spans="1:28" ht="13.5" customHeight="1">
      <c r="A790" s="222"/>
      <c r="B790" s="222"/>
      <c r="C790" s="222"/>
      <c r="D790" s="222"/>
      <c r="E790" s="222"/>
      <c r="F790" s="222"/>
      <c r="G790" s="222"/>
      <c r="H790" s="222"/>
      <c r="I790" s="222"/>
      <c r="J790" s="222"/>
      <c r="K790" s="222"/>
      <c r="L790" s="222"/>
      <c r="M790" s="222"/>
      <c r="N790" s="222"/>
      <c r="O790" s="222"/>
      <c r="P790" s="222"/>
      <c r="Q790" s="223"/>
      <c r="R790" s="222"/>
      <c r="S790" s="222"/>
      <c r="T790" s="222"/>
      <c r="U790" s="222"/>
      <c r="V790" s="222"/>
      <c r="W790" s="223"/>
      <c r="X790" s="223"/>
      <c r="Y790" s="222"/>
      <c r="Z790" s="222"/>
      <c r="AA790" s="222"/>
      <c r="AB790" s="224"/>
    </row>
    <row r="791" spans="1:28" ht="13.5" customHeight="1">
      <c r="A791" s="222"/>
      <c r="B791" s="222"/>
      <c r="C791" s="222"/>
      <c r="D791" s="222"/>
      <c r="E791" s="222"/>
      <c r="F791" s="222"/>
      <c r="G791" s="222"/>
      <c r="H791" s="222"/>
      <c r="I791" s="222"/>
      <c r="J791" s="222"/>
      <c r="K791" s="222"/>
      <c r="L791" s="222"/>
      <c r="M791" s="222"/>
      <c r="N791" s="222"/>
      <c r="O791" s="222"/>
      <c r="P791" s="222"/>
      <c r="Q791" s="223"/>
      <c r="R791" s="222"/>
      <c r="S791" s="222"/>
      <c r="T791" s="222"/>
      <c r="U791" s="222"/>
      <c r="V791" s="222"/>
      <c r="W791" s="223"/>
      <c r="X791" s="223"/>
      <c r="Y791" s="222"/>
      <c r="Z791" s="222"/>
      <c r="AA791" s="222"/>
      <c r="AB791" s="224"/>
    </row>
    <row r="792" spans="1:28" ht="13.5" customHeight="1">
      <c r="A792" s="222"/>
      <c r="B792" s="222"/>
      <c r="C792" s="222"/>
      <c r="D792" s="222"/>
      <c r="E792" s="222"/>
      <c r="F792" s="222"/>
      <c r="G792" s="222"/>
      <c r="H792" s="222"/>
      <c r="I792" s="222"/>
      <c r="J792" s="222"/>
      <c r="K792" s="222"/>
      <c r="L792" s="222"/>
      <c r="M792" s="222"/>
      <c r="N792" s="222"/>
      <c r="O792" s="222"/>
      <c r="P792" s="222"/>
      <c r="Q792" s="223"/>
      <c r="R792" s="222"/>
      <c r="S792" s="222"/>
      <c r="T792" s="222"/>
      <c r="U792" s="222"/>
      <c r="V792" s="222"/>
      <c r="W792" s="223"/>
      <c r="X792" s="223"/>
      <c r="Y792" s="222"/>
      <c r="Z792" s="222"/>
      <c r="AA792" s="222"/>
      <c r="AB792" s="224"/>
    </row>
    <row r="793" spans="1:28" ht="13.5" customHeight="1">
      <c r="A793" s="222"/>
      <c r="B793" s="222"/>
      <c r="C793" s="222"/>
      <c r="D793" s="222"/>
      <c r="E793" s="222"/>
      <c r="F793" s="222"/>
      <c r="G793" s="222"/>
      <c r="H793" s="222"/>
      <c r="I793" s="222"/>
      <c r="J793" s="222"/>
      <c r="K793" s="222"/>
      <c r="L793" s="222"/>
      <c r="M793" s="222"/>
      <c r="N793" s="222"/>
      <c r="O793" s="222"/>
      <c r="P793" s="222"/>
      <c r="Q793" s="223"/>
      <c r="R793" s="222"/>
      <c r="S793" s="222"/>
      <c r="T793" s="222"/>
      <c r="U793" s="222"/>
      <c r="V793" s="222"/>
      <c r="W793" s="223"/>
      <c r="X793" s="223"/>
      <c r="Y793" s="222"/>
      <c r="Z793" s="222"/>
      <c r="AA793" s="222"/>
      <c r="AB793" s="224"/>
    </row>
    <row r="794" spans="1:28" ht="13.5" customHeight="1">
      <c r="A794" s="222"/>
      <c r="B794" s="222"/>
      <c r="C794" s="222"/>
      <c r="D794" s="222"/>
      <c r="E794" s="222"/>
      <c r="F794" s="222"/>
      <c r="G794" s="222"/>
      <c r="H794" s="222"/>
      <c r="I794" s="222"/>
      <c r="J794" s="222"/>
      <c r="K794" s="222"/>
      <c r="L794" s="222"/>
      <c r="M794" s="222"/>
      <c r="N794" s="222"/>
      <c r="O794" s="222"/>
      <c r="P794" s="222"/>
      <c r="Q794" s="223"/>
      <c r="R794" s="222"/>
      <c r="S794" s="222"/>
      <c r="T794" s="222"/>
      <c r="U794" s="222"/>
      <c r="V794" s="222"/>
      <c r="W794" s="223"/>
      <c r="X794" s="223"/>
      <c r="Y794" s="222"/>
      <c r="Z794" s="222"/>
      <c r="AA794" s="222"/>
      <c r="AB794" s="224"/>
    </row>
    <row r="795" spans="1:28" ht="13.5" customHeight="1">
      <c r="A795" s="222"/>
      <c r="B795" s="222"/>
      <c r="C795" s="222"/>
      <c r="D795" s="222"/>
      <c r="E795" s="222"/>
      <c r="F795" s="222"/>
      <c r="G795" s="222"/>
      <c r="H795" s="222"/>
      <c r="I795" s="222"/>
      <c r="J795" s="222"/>
      <c r="K795" s="222"/>
      <c r="L795" s="222"/>
      <c r="M795" s="222"/>
      <c r="N795" s="222"/>
      <c r="O795" s="222"/>
      <c r="P795" s="222"/>
      <c r="Q795" s="223"/>
      <c r="R795" s="222"/>
      <c r="S795" s="222"/>
      <c r="T795" s="222"/>
      <c r="U795" s="222"/>
      <c r="V795" s="222"/>
      <c r="W795" s="223"/>
      <c r="X795" s="223"/>
      <c r="Y795" s="222"/>
      <c r="Z795" s="222"/>
      <c r="AA795" s="222"/>
      <c r="AB795" s="224"/>
    </row>
    <row r="796" spans="1:28" ht="13.5" customHeight="1">
      <c r="A796" s="222"/>
      <c r="B796" s="222"/>
      <c r="C796" s="222"/>
      <c r="D796" s="222"/>
      <c r="E796" s="222"/>
      <c r="F796" s="222"/>
      <c r="G796" s="222"/>
      <c r="H796" s="222"/>
      <c r="I796" s="222"/>
      <c r="J796" s="222"/>
      <c r="K796" s="222"/>
      <c r="L796" s="222"/>
      <c r="M796" s="222"/>
      <c r="N796" s="222"/>
      <c r="O796" s="222"/>
      <c r="P796" s="222"/>
      <c r="Q796" s="223"/>
      <c r="R796" s="222"/>
      <c r="S796" s="222"/>
      <c r="T796" s="222"/>
      <c r="U796" s="222"/>
      <c r="V796" s="222"/>
      <c r="W796" s="223"/>
      <c r="X796" s="223"/>
      <c r="Y796" s="222"/>
      <c r="Z796" s="222"/>
      <c r="AA796" s="222"/>
      <c r="AB796" s="224"/>
    </row>
    <row r="797" spans="1:28" ht="13.5" customHeight="1">
      <c r="A797" s="222"/>
      <c r="B797" s="222"/>
      <c r="C797" s="222"/>
      <c r="D797" s="222"/>
      <c r="E797" s="222"/>
      <c r="F797" s="222"/>
      <c r="G797" s="222"/>
      <c r="H797" s="222"/>
      <c r="I797" s="222"/>
      <c r="J797" s="222"/>
      <c r="K797" s="222"/>
      <c r="L797" s="222"/>
      <c r="M797" s="222"/>
      <c r="N797" s="222"/>
      <c r="O797" s="222"/>
      <c r="P797" s="222"/>
      <c r="Q797" s="223"/>
      <c r="R797" s="222"/>
      <c r="S797" s="222"/>
      <c r="T797" s="222"/>
      <c r="U797" s="222"/>
      <c r="V797" s="222"/>
      <c r="W797" s="223"/>
      <c r="X797" s="223"/>
      <c r="Y797" s="222"/>
      <c r="Z797" s="222"/>
      <c r="AA797" s="222"/>
      <c r="AB797" s="224"/>
    </row>
    <row r="798" spans="1:28" ht="13.5" customHeight="1">
      <c r="A798" s="222"/>
      <c r="B798" s="222"/>
      <c r="C798" s="222"/>
      <c r="D798" s="222"/>
      <c r="E798" s="222"/>
      <c r="F798" s="222"/>
      <c r="G798" s="222"/>
      <c r="H798" s="222"/>
      <c r="I798" s="222"/>
      <c r="J798" s="222"/>
      <c r="K798" s="222"/>
      <c r="L798" s="222"/>
      <c r="M798" s="222"/>
      <c r="N798" s="222"/>
      <c r="O798" s="222"/>
      <c r="P798" s="222"/>
      <c r="Q798" s="223"/>
      <c r="R798" s="222"/>
      <c r="S798" s="222"/>
      <c r="T798" s="222"/>
      <c r="U798" s="222"/>
      <c r="V798" s="222"/>
      <c r="W798" s="223"/>
      <c r="X798" s="223"/>
      <c r="Y798" s="222"/>
      <c r="Z798" s="222"/>
      <c r="AA798" s="222"/>
      <c r="AB798" s="224"/>
    </row>
    <row r="799" spans="1:28" ht="13.5" customHeight="1">
      <c r="A799" s="222"/>
      <c r="B799" s="222"/>
      <c r="C799" s="222"/>
      <c r="D799" s="222"/>
      <c r="E799" s="222"/>
      <c r="F799" s="222"/>
      <c r="G799" s="222"/>
      <c r="H799" s="222"/>
      <c r="I799" s="222"/>
      <c r="J799" s="222"/>
      <c r="K799" s="222"/>
      <c r="L799" s="222"/>
      <c r="M799" s="222"/>
      <c r="N799" s="222"/>
      <c r="O799" s="222"/>
      <c r="P799" s="222"/>
      <c r="Q799" s="223"/>
      <c r="R799" s="222"/>
      <c r="S799" s="222"/>
      <c r="T799" s="222"/>
      <c r="U799" s="222"/>
      <c r="V799" s="222"/>
      <c r="W799" s="223"/>
      <c r="X799" s="223"/>
      <c r="Y799" s="222"/>
      <c r="Z799" s="222"/>
      <c r="AA799" s="222"/>
      <c r="AB799" s="224"/>
    </row>
    <row r="800" spans="1:28" ht="13.5" customHeight="1">
      <c r="A800" s="222"/>
      <c r="B800" s="222"/>
      <c r="C800" s="222"/>
      <c r="D800" s="222"/>
      <c r="E800" s="222"/>
      <c r="F800" s="222"/>
      <c r="G800" s="222"/>
      <c r="H800" s="222"/>
      <c r="I800" s="222"/>
      <c r="J800" s="222"/>
      <c r="K800" s="222"/>
      <c r="L800" s="222"/>
      <c r="M800" s="222"/>
      <c r="N800" s="222"/>
      <c r="O800" s="222"/>
      <c r="P800" s="222"/>
      <c r="Q800" s="223"/>
      <c r="R800" s="222"/>
      <c r="S800" s="222"/>
      <c r="T800" s="222"/>
      <c r="U800" s="222"/>
      <c r="V800" s="222"/>
      <c r="W800" s="223"/>
      <c r="X800" s="223"/>
      <c r="Y800" s="222"/>
      <c r="Z800" s="222"/>
      <c r="AA800" s="222"/>
      <c r="AB800" s="224"/>
    </row>
    <row r="801" spans="1:28" ht="13.5" customHeight="1">
      <c r="A801" s="222"/>
      <c r="B801" s="222"/>
      <c r="C801" s="222"/>
      <c r="D801" s="222"/>
      <c r="E801" s="222"/>
      <c r="F801" s="222"/>
      <c r="G801" s="222"/>
      <c r="H801" s="222"/>
      <c r="I801" s="222"/>
      <c r="J801" s="222"/>
      <c r="K801" s="222"/>
      <c r="L801" s="222"/>
      <c r="M801" s="222"/>
      <c r="N801" s="222"/>
      <c r="O801" s="222"/>
      <c r="P801" s="222"/>
      <c r="Q801" s="223"/>
      <c r="R801" s="222"/>
      <c r="S801" s="222"/>
      <c r="T801" s="222"/>
      <c r="U801" s="222"/>
      <c r="V801" s="222"/>
      <c r="W801" s="223"/>
      <c r="X801" s="223"/>
      <c r="Y801" s="222"/>
      <c r="Z801" s="222"/>
      <c r="AA801" s="222"/>
      <c r="AB801" s="224"/>
    </row>
    <row r="802" spans="1:28" ht="13.5" customHeight="1">
      <c r="A802" s="222"/>
      <c r="B802" s="222"/>
      <c r="C802" s="222"/>
      <c r="D802" s="222"/>
      <c r="E802" s="222"/>
      <c r="F802" s="222"/>
      <c r="G802" s="222"/>
      <c r="H802" s="222"/>
      <c r="I802" s="222"/>
      <c r="J802" s="222"/>
      <c r="K802" s="222"/>
      <c r="L802" s="222"/>
      <c r="M802" s="222"/>
      <c r="N802" s="222"/>
      <c r="O802" s="222"/>
      <c r="P802" s="222"/>
      <c r="Q802" s="223"/>
      <c r="R802" s="222"/>
      <c r="S802" s="222"/>
      <c r="T802" s="222"/>
      <c r="U802" s="222"/>
      <c r="V802" s="222"/>
      <c r="W802" s="223"/>
      <c r="X802" s="223"/>
      <c r="Y802" s="222"/>
      <c r="Z802" s="222"/>
      <c r="AA802" s="222"/>
      <c r="AB802" s="224"/>
    </row>
    <row r="803" spans="1:28" ht="13.5" customHeight="1">
      <c r="A803" s="222"/>
      <c r="B803" s="222"/>
      <c r="C803" s="222"/>
      <c r="D803" s="222"/>
      <c r="E803" s="222"/>
      <c r="F803" s="222"/>
      <c r="G803" s="222"/>
      <c r="H803" s="222"/>
      <c r="I803" s="222"/>
      <c r="J803" s="222"/>
      <c r="K803" s="222"/>
      <c r="L803" s="222"/>
      <c r="M803" s="222"/>
      <c r="N803" s="222"/>
      <c r="O803" s="222"/>
      <c r="P803" s="222"/>
      <c r="Q803" s="223"/>
      <c r="R803" s="222"/>
      <c r="S803" s="222"/>
      <c r="T803" s="222"/>
      <c r="U803" s="222"/>
      <c r="V803" s="222"/>
      <c r="W803" s="223"/>
      <c r="X803" s="223"/>
      <c r="Y803" s="222"/>
      <c r="Z803" s="222"/>
      <c r="AA803" s="222"/>
      <c r="AB803" s="224"/>
    </row>
    <row r="804" spans="1:28" ht="13.5" customHeight="1">
      <c r="A804" s="222"/>
      <c r="B804" s="222"/>
      <c r="C804" s="222"/>
      <c r="D804" s="222"/>
      <c r="E804" s="222"/>
      <c r="F804" s="222"/>
      <c r="G804" s="222"/>
      <c r="H804" s="222"/>
      <c r="I804" s="222"/>
      <c r="J804" s="222"/>
      <c r="K804" s="222"/>
      <c r="L804" s="222"/>
      <c r="M804" s="222"/>
      <c r="N804" s="222"/>
      <c r="O804" s="222"/>
      <c r="P804" s="222"/>
      <c r="Q804" s="223"/>
      <c r="R804" s="222"/>
      <c r="S804" s="222"/>
      <c r="T804" s="222"/>
      <c r="U804" s="222"/>
      <c r="V804" s="222"/>
      <c r="W804" s="223"/>
      <c r="X804" s="223"/>
      <c r="Y804" s="222"/>
      <c r="Z804" s="222"/>
      <c r="AA804" s="222"/>
      <c r="AB804" s="224"/>
    </row>
    <row r="805" spans="1:28" ht="13.5" customHeight="1">
      <c r="A805" s="222"/>
      <c r="B805" s="222"/>
      <c r="C805" s="222"/>
      <c r="D805" s="222"/>
      <c r="E805" s="222"/>
      <c r="F805" s="222"/>
      <c r="G805" s="222"/>
      <c r="H805" s="222"/>
      <c r="I805" s="222"/>
      <c r="J805" s="222"/>
      <c r="K805" s="222"/>
      <c r="L805" s="222"/>
      <c r="M805" s="222"/>
      <c r="N805" s="222"/>
      <c r="O805" s="222"/>
      <c r="P805" s="222"/>
      <c r="Q805" s="223"/>
      <c r="R805" s="222"/>
      <c r="S805" s="222"/>
      <c r="T805" s="222"/>
      <c r="U805" s="222"/>
      <c r="V805" s="222"/>
      <c r="W805" s="223"/>
      <c r="X805" s="223"/>
      <c r="Y805" s="222"/>
      <c r="Z805" s="222"/>
      <c r="AA805" s="222"/>
      <c r="AB805" s="224"/>
    </row>
    <row r="806" spans="1:28" ht="13.5" customHeight="1">
      <c r="A806" s="222"/>
      <c r="B806" s="222"/>
      <c r="C806" s="222"/>
      <c r="D806" s="222"/>
      <c r="E806" s="222"/>
      <c r="F806" s="222"/>
      <c r="G806" s="222"/>
      <c r="H806" s="222"/>
      <c r="I806" s="222"/>
      <c r="J806" s="222"/>
      <c r="K806" s="222"/>
      <c r="L806" s="222"/>
      <c r="M806" s="222"/>
      <c r="N806" s="222"/>
      <c r="O806" s="222"/>
      <c r="P806" s="222"/>
      <c r="Q806" s="223"/>
      <c r="R806" s="222"/>
      <c r="S806" s="222"/>
      <c r="T806" s="222"/>
      <c r="U806" s="222"/>
      <c r="V806" s="222"/>
      <c r="W806" s="223"/>
      <c r="X806" s="223"/>
      <c r="Y806" s="222"/>
      <c r="Z806" s="222"/>
      <c r="AA806" s="222"/>
      <c r="AB806" s="224"/>
    </row>
    <row r="807" spans="1:28" ht="13.5" customHeight="1">
      <c r="A807" s="222"/>
      <c r="B807" s="222"/>
      <c r="C807" s="222"/>
      <c r="D807" s="222"/>
      <c r="E807" s="222"/>
      <c r="F807" s="222"/>
      <c r="G807" s="222"/>
      <c r="H807" s="222"/>
      <c r="I807" s="222"/>
      <c r="J807" s="222"/>
      <c r="K807" s="222"/>
      <c r="L807" s="222"/>
      <c r="M807" s="222"/>
      <c r="N807" s="222"/>
      <c r="O807" s="222"/>
      <c r="P807" s="222"/>
      <c r="Q807" s="223"/>
      <c r="R807" s="222"/>
      <c r="S807" s="222"/>
      <c r="T807" s="222"/>
      <c r="U807" s="222"/>
      <c r="V807" s="222"/>
      <c r="W807" s="223"/>
      <c r="X807" s="223"/>
      <c r="Y807" s="222"/>
      <c r="Z807" s="222"/>
      <c r="AA807" s="222"/>
      <c r="AB807" s="224"/>
    </row>
    <row r="808" spans="1:28" ht="13.5" customHeight="1">
      <c r="A808" s="222"/>
      <c r="B808" s="222"/>
      <c r="C808" s="222"/>
      <c r="D808" s="222"/>
      <c r="E808" s="222"/>
      <c r="F808" s="222"/>
      <c r="G808" s="222"/>
      <c r="H808" s="222"/>
      <c r="I808" s="222"/>
      <c r="J808" s="222"/>
      <c r="K808" s="222"/>
      <c r="L808" s="222"/>
      <c r="M808" s="222"/>
      <c r="N808" s="222"/>
      <c r="O808" s="222"/>
      <c r="P808" s="222"/>
      <c r="Q808" s="223"/>
      <c r="R808" s="222"/>
      <c r="S808" s="222"/>
      <c r="T808" s="222"/>
      <c r="U808" s="222"/>
      <c r="V808" s="222"/>
      <c r="W808" s="223"/>
      <c r="X808" s="223"/>
      <c r="Y808" s="222"/>
      <c r="Z808" s="222"/>
      <c r="AA808" s="222"/>
      <c r="AB808" s="224"/>
    </row>
    <row r="809" spans="1:28" ht="13.5" customHeight="1">
      <c r="A809" s="222"/>
      <c r="B809" s="222"/>
      <c r="C809" s="222"/>
      <c r="D809" s="222"/>
      <c r="E809" s="222"/>
      <c r="F809" s="222"/>
      <c r="G809" s="222"/>
      <c r="H809" s="222"/>
      <c r="I809" s="222"/>
      <c r="J809" s="222"/>
      <c r="K809" s="222"/>
      <c r="L809" s="222"/>
      <c r="M809" s="222"/>
      <c r="N809" s="222"/>
      <c r="O809" s="222"/>
      <c r="P809" s="222"/>
      <c r="Q809" s="223"/>
      <c r="R809" s="222"/>
      <c r="S809" s="222"/>
      <c r="T809" s="222"/>
      <c r="U809" s="222"/>
      <c r="V809" s="222"/>
      <c r="W809" s="223"/>
      <c r="X809" s="223"/>
      <c r="Y809" s="222"/>
      <c r="Z809" s="222"/>
      <c r="AA809" s="222"/>
      <c r="AB809" s="224"/>
    </row>
    <row r="810" spans="1:28" ht="13.5" customHeight="1">
      <c r="A810" s="222"/>
      <c r="B810" s="222"/>
      <c r="C810" s="222"/>
      <c r="D810" s="222"/>
      <c r="E810" s="222"/>
      <c r="F810" s="222"/>
      <c r="G810" s="222"/>
      <c r="H810" s="222"/>
      <c r="I810" s="222"/>
      <c r="J810" s="222"/>
      <c r="K810" s="222"/>
      <c r="L810" s="222"/>
      <c r="M810" s="222"/>
      <c r="N810" s="222"/>
      <c r="O810" s="222"/>
      <c r="P810" s="222"/>
      <c r="Q810" s="223"/>
      <c r="R810" s="222"/>
      <c r="S810" s="222"/>
      <c r="T810" s="222"/>
      <c r="U810" s="222"/>
      <c r="V810" s="222"/>
      <c r="W810" s="223"/>
      <c r="X810" s="223"/>
      <c r="Y810" s="222"/>
      <c r="Z810" s="222"/>
      <c r="AA810" s="222"/>
      <c r="AB810" s="224"/>
    </row>
    <row r="811" spans="1:28" ht="13.5" customHeight="1">
      <c r="A811" s="222"/>
      <c r="B811" s="222"/>
      <c r="C811" s="222"/>
      <c r="D811" s="222"/>
      <c r="E811" s="222"/>
      <c r="F811" s="222"/>
      <c r="G811" s="222"/>
      <c r="H811" s="222"/>
      <c r="I811" s="222"/>
      <c r="J811" s="222"/>
      <c r="K811" s="222"/>
      <c r="L811" s="222"/>
      <c r="M811" s="222"/>
      <c r="N811" s="222"/>
      <c r="O811" s="222"/>
      <c r="P811" s="222"/>
      <c r="Q811" s="223"/>
      <c r="R811" s="222"/>
      <c r="S811" s="222"/>
      <c r="T811" s="222"/>
      <c r="U811" s="222"/>
      <c r="V811" s="222"/>
      <c r="W811" s="223"/>
      <c r="X811" s="223"/>
      <c r="Y811" s="222"/>
      <c r="Z811" s="222"/>
      <c r="AA811" s="222"/>
      <c r="AB811" s="224"/>
    </row>
    <row r="812" spans="1:28" ht="13.5" customHeight="1">
      <c r="A812" s="222"/>
      <c r="B812" s="222"/>
      <c r="C812" s="222"/>
      <c r="D812" s="222"/>
      <c r="E812" s="222"/>
      <c r="F812" s="222"/>
      <c r="G812" s="222"/>
      <c r="H812" s="222"/>
      <c r="I812" s="222"/>
      <c r="J812" s="222"/>
      <c r="K812" s="222"/>
      <c r="L812" s="222"/>
      <c r="M812" s="222"/>
      <c r="N812" s="222"/>
      <c r="O812" s="222"/>
      <c r="P812" s="222"/>
      <c r="Q812" s="223"/>
      <c r="R812" s="222"/>
      <c r="S812" s="222"/>
      <c r="T812" s="222"/>
      <c r="U812" s="222"/>
      <c r="V812" s="222"/>
      <c r="W812" s="223"/>
      <c r="X812" s="223"/>
      <c r="Y812" s="222"/>
      <c r="Z812" s="222"/>
      <c r="AA812" s="222"/>
      <c r="AB812" s="224"/>
    </row>
    <row r="813" spans="1:28" ht="13.5" customHeight="1">
      <c r="A813" s="222"/>
      <c r="B813" s="222"/>
      <c r="C813" s="222"/>
      <c r="D813" s="222"/>
      <c r="E813" s="222"/>
      <c r="F813" s="222"/>
      <c r="G813" s="222"/>
      <c r="H813" s="222"/>
      <c r="I813" s="222"/>
      <c r="J813" s="222"/>
      <c r="K813" s="222"/>
      <c r="L813" s="222"/>
      <c r="M813" s="222"/>
      <c r="N813" s="222"/>
      <c r="O813" s="222"/>
      <c r="P813" s="222"/>
      <c r="Q813" s="223"/>
      <c r="R813" s="222"/>
      <c r="S813" s="222"/>
      <c r="T813" s="222"/>
      <c r="U813" s="222"/>
      <c r="V813" s="222"/>
      <c r="W813" s="223"/>
      <c r="X813" s="223"/>
      <c r="Y813" s="222"/>
      <c r="Z813" s="222"/>
      <c r="AA813" s="222"/>
      <c r="AB813" s="224"/>
    </row>
    <row r="814" spans="1:28" ht="13.5" customHeight="1">
      <c r="A814" s="222"/>
      <c r="B814" s="222"/>
      <c r="C814" s="222"/>
      <c r="D814" s="222"/>
      <c r="E814" s="222"/>
      <c r="F814" s="222"/>
      <c r="G814" s="222"/>
      <c r="H814" s="222"/>
      <c r="I814" s="222"/>
      <c r="J814" s="222"/>
      <c r="K814" s="222"/>
      <c r="L814" s="222"/>
      <c r="M814" s="222"/>
      <c r="N814" s="222"/>
      <c r="O814" s="222"/>
      <c r="P814" s="222"/>
      <c r="Q814" s="223"/>
      <c r="R814" s="222"/>
      <c r="S814" s="222"/>
      <c r="T814" s="222"/>
      <c r="U814" s="222"/>
      <c r="V814" s="222"/>
      <c r="W814" s="223"/>
      <c r="X814" s="223"/>
      <c r="Y814" s="222"/>
      <c r="Z814" s="222"/>
      <c r="AA814" s="222"/>
      <c r="AB814" s="224"/>
    </row>
    <row r="815" spans="1:28" ht="13.5" customHeight="1">
      <c r="A815" s="222"/>
      <c r="B815" s="222"/>
      <c r="C815" s="222"/>
      <c r="D815" s="222"/>
      <c r="E815" s="222"/>
      <c r="F815" s="222"/>
      <c r="G815" s="222"/>
      <c r="H815" s="222"/>
      <c r="I815" s="222"/>
      <c r="J815" s="222"/>
      <c r="K815" s="222"/>
      <c r="L815" s="222"/>
      <c r="M815" s="222"/>
      <c r="N815" s="222"/>
      <c r="O815" s="222"/>
      <c r="P815" s="222"/>
      <c r="Q815" s="223"/>
      <c r="R815" s="222"/>
      <c r="S815" s="222"/>
      <c r="T815" s="222"/>
      <c r="U815" s="222"/>
      <c r="V815" s="222"/>
      <c r="W815" s="223"/>
      <c r="X815" s="223"/>
      <c r="Y815" s="222"/>
      <c r="Z815" s="222"/>
      <c r="AA815" s="222"/>
      <c r="AB815" s="224"/>
    </row>
    <row r="816" spans="1:28" ht="13.5" customHeight="1">
      <c r="A816" s="222"/>
      <c r="B816" s="222"/>
      <c r="C816" s="222"/>
      <c r="D816" s="222"/>
      <c r="E816" s="222"/>
      <c r="F816" s="222"/>
      <c r="G816" s="222"/>
      <c r="H816" s="222"/>
      <c r="I816" s="222"/>
      <c r="J816" s="222"/>
      <c r="K816" s="222"/>
      <c r="L816" s="222"/>
      <c r="M816" s="222"/>
      <c r="N816" s="222"/>
      <c r="O816" s="222"/>
      <c r="P816" s="222"/>
      <c r="Q816" s="223"/>
      <c r="R816" s="222"/>
      <c r="S816" s="222"/>
      <c r="T816" s="222"/>
      <c r="U816" s="222"/>
      <c r="V816" s="222"/>
      <c r="W816" s="223"/>
      <c r="X816" s="223"/>
      <c r="Y816" s="222"/>
      <c r="Z816" s="222"/>
      <c r="AA816" s="222"/>
      <c r="AB816" s="224"/>
    </row>
    <row r="817" spans="1:28" ht="13.5" customHeight="1">
      <c r="A817" s="222"/>
      <c r="B817" s="222"/>
      <c r="C817" s="222"/>
      <c r="D817" s="222"/>
      <c r="E817" s="222"/>
      <c r="F817" s="222"/>
      <c r="G817" s="222"/>
      <c r="H817" s="222"/>
      <c r="I817" s="222"/>
      <c r="J817" s="222"/>
      <c r="K817" s="222"/>
      <c r="L817" s="222"/>
      <c r="M817" s="222"/>
      <c r="N817" s="222"/>
      <c r="O817" s="222"/>
      <c r="P817" s="222"/>
      <c r="Q817" s="223"/>
      <c r="R817" s="222"/>
      <c r="S817" s="222"/>
      <c r="T817" s="222"/>
      <c r="U817" s="222"/>
      <c r="V817" s="222"/>
      <c r="W817" s="223"/>
      <c r="X817" s="223"/>
      <c r="Y817" s="222"/>
      <c r="Z817" s="222"/>
      <c r="AA817" s="222"/>
      <c r="AB817" s="224"/>
    </row>
    <row r="818" spans="1:28" ht="13.5" customHeight="1">
      <c r="A818" s="222"/>
      <c r="B818" s="222"/>
      <c r="C818" s="222"/>
      <c r="D818" s="222"/>
      <c r="E818" s="222"/>
      <c r="F818" s="222"/>
      <c r="G818" s="222"/>
      <c r="H818" s="222"/>
      <c r="I818" s="222"/>
      <c r="J818" s="222"/>
      <c r="K818" s="222"/>
      <c r="L818" s="222"/>
      <c r="M818" s="222"/>
      <c r="N818" s="222"/>
      <c r="O818" s="222"/>
      <c r="P818" s="222"/>
      <c r="Q818" s="223"/>
      <c r="R818" s="222"/>
      <c r="S818" s="222"/>
      <c r="T818" s="222"/>
      <c r="U818" s="222"/>
      <c r="V818" s="222"/>
      <c r="W818" s="223"/>
      <c r="X818" s="223"/>
      <c r="Y818" s="222"/>
      <c r="Z818" s="222"/>
      <c r="AA818" s="222"/>
      <c r="AB818" s="224"/>
    </row>
    <row r="819" spans="1:28" ht="13.5" customHeight="1">
      <c r="A819" s="222"/>
      <c r="B819" s="222"/>
      <c r="C819" s="222"/>
      <c r="D819" s="222"/>
      <c r="E819" s="222"/>
      <c r="F819" s="222"/>
      <c r="G819" s="222"/>
      <c r="H819" s="222"/>
      <c r="I819" s="222"/>
      <c r="J819" s="222"/>
      <c r="K819" s="222"/>
      <c r="L819" s="222"/>
      <c r="M819" s="222"/>
      <c r="N819" s="222"/>
      <c r="O819" s="222"/>
      <c r="P819" s="222"/>
      <c r="Q819" s="223"/>
      <c r="R819" s="222"/>
      <c r="S819" s="222"/>
      <c r="T819" s="222"/>
      <c r="U819" s="222"/>
      <c r="V819" s="222"/>
      <c r="W819" s="223"/>
      <c r="X819" s="223"/>
      <c r="Y819" s="222"/>
      <c r="Z819" s="222"/>
      <c r="AA819" s="222"/>
      <c r="AB819" s="224"/>
    </row>
    <row r="820" spans="1:28" ht="13.5" customHeight="1">
      <c r="A820" s="222"/>
      <c r="B820" s="222"/>
      <c r="C820" s="222"/>
      <c r="D820" s="222"/>
      <c r="E820" s="222"/>
      <c r="F820" s="222"/>
      <c r="G820" s="222"/>
      <c r="H820" s="222"/>
      <c r="I820" s="222"/>
      <c r="J820" s="222"/>
      <c r="K820" s="222"/>
      <c r="L820" s="222"/>
      <c r="M820" s="222"/>
      <c r="N820" s="222"/>
      <c r="O820" s="222"/>
      <c r="P820" s="222"/>
      <c r="Q820" s="223"/>
      <c r="R820" s="222"/>
      <c r="S820" s="222"/>
      <c r="T820" s="222"/>
      <c r="U820" s="222"/>
      <c r="V820" s="222"/>
      <c r="W820" s="223"/>
      <c r="X820" s="223"/>
      <c r="Y820" s="222"/>
      <c r="Z820" s="222"/>
      <c r="AA820" s="222"/>
      <c r="AB820" s="224"/>
    </row>
    <row r="821" spans="1:28" ht="13.5" customHeight="1">
      <c r="A821" s="222"/>
      <c r="B821" s="222"/>
      <c r="C821" s="222"/>
      <c r="D821" s="222"/>
      <c r="E821" s="222"/>
      <c r="F821" s="222"/>
      <c r="G821" s="222"/>
      <c r="H821" s="222"/>
      <c r="I821" s="222"/>
      <c r="J821" s="222"/>
      <c r="K821" s="222"/>
      <c r="L821" s="222"/>
      <c r="M821" s="222"/>
      <c r="N821" s="222"/>
      <c r="O821" s="222"/>
      <c r="P821" s="222"/>
      <c r="Q821" s="223"/>
      <c r="R821" s="222"/>
      <c r="S821" s="222"/>
      <c r="T821" s="222"/>
      <c r="U821" s="222"/>
      <c r="V821" s="222"/>
      <c r="W821" s="223"/>
      <c r="X821" s="223"/>
      <c r="Y821" s="222"/>
      <c r="Z821" s="222"/>
      <c r="AA821" s="222"/>
      <c r="AB821" s="224"/>
    </row>
    <row r="822" spans="1:28" ht="13.5" customHeight="1">
      <c r="A822" s="222"/>
      <c r="B822" s="222"/>
      <c r="C822" s="222"/>
      <c r="D822" s="222"/>
      <c r="E822" s="222"/>
      <c r="F822" s="222"/>
      <c r="G822" s="222"/>
      <c r="H822" s="222"/>
      <c r="I822" s="222"/>
      <c r="J822" s="222"/>
      <c r="K822" s="222"/>
      <c r="L822" s="222"/>
      <c r="M822" s="222"/>
      <c r="N822" s="222"/>
      <c r="O822" s="222"/>
      <c r="P822" s="222"/>
      <c r="Q822" s="223"/>
      <c r="R822" s="222"/>
      <c r="S822" s="222"/>
      <c r="T822" s="222"/>
      <c r="U822" s="222"/>
      <c r="V822" s="222"/>
      <c r="W822" s="223"/>
      <c r="X822" s="223"/>
      <c r="Y822" s="222"/>
      <c r="Z822" s="222"/>
      <c r="AA822" s="222"/>
      <c r="AB822" s="224"/>
    </row>
    <row r="823" spans="1:28" ht="13.5" customHeight="1">
      <c r="A823" s="222"/>
      <c r="B823" s="222"/>
      <c r="C823" s="222"/>
      <c r="D823" s="222"/>
      <c r="E823" s="222"/>
      <c r="F823" s="222"/>
      <c r="G823" s="222"/>
      <c r="H823" s="222"/>
      <c r="I823" s="222"/>
      <c r="J823" s="222"/>
      <c r="K823" s="222"/>
      <c r="L823" s="222"/>
      <c r="M823" s="222"/>
      <c r="N823" s="222"/>
      <c r="O823" s="222"/>
      <c r="P823" s="222"/>
      <c r="Q823" s="223"/>
      <c r="R823" s="222"/>
      <c r="S823" s="222"/>
      <c r="T823" s="222"/>
      <c r="U823" s="222"/>
      <c r="V823" s="222"/>
      <c r="W823" s="223"/>
      <c r="X823" s="223"/>
      <c r="Y823" s="222"/>
      <c r="Z823" s="222"/>
      <c r="AA823" s="222"/>
      <c r="AB823" s="224"/>
    </row>
    <row r="824" spans="1:28" ht="13.5" customHeight="1">
      <c r="A824" s="222"/>
      <c r="B824" s="222"/>
      <c r="C824" s="222"/>
      <c r="D824" s="222"/>
      <c r="E824" s="222"/>
      <c r="F824" s="222"/>
      <c r="G824" s="222"/>
      <c r="H824" s="222"/>
      <c r="I824" s="222"/>
      <c r="J824" s="222"/>
      <c r="K824" s="222"/>
      <c r="L824" s="222"/>
      <c r="M824" s="222"/>
      <c r="N824" s="222"/>
      <c r="O824" s="222"/>
      <c r="P824" s="222"/>
      <c r="Q824" s="223"/>
      <c r="R824" s="222"/>
      <c r="S824" s="222"/>
      <c r="T824" s="222"/>
      <c r="U824" s="222"/>
      <c r="V824" s="222"/>
      <c r="W824" s="223"/>
      <c r="X824" s="223"/>
      <c r="Y824" s="222"/>
      <c r="Z824" s="222"/>
      <c r="AA824" s="222"/>
      <c r="AB824" s="224"/>
    </row>
    <row r="825" spans="1:28" ht="13.5" customHeight="1">
      <c r="A825" s="222"/>
      <c r="B825" s="222"/>
      <c r="C825" s="222"/>
      <c r="D825" s="222"/>
      <c r="E825" s="222"/>
      <c r="F825" s="222"/>
      <c r="G825" s="222"/>
      <c r="H825" s="222"/>
      <c r="I825" s="222"/>
      <c r="J825" s="222"/>
      <c r="K825" s="222"/>
      <c r="L825" s="222"/>
      <c r="M825" s="222"/>
      <c r="N825" s="222"/>
      <c r="O825" s="222"/>
      <c r="P825" s="222"/>
      <c r="Q825" s="223"/>
      <c r="R825" s="222"/>
      <c r="S825" s="222"/>
      <c r="T825" s="222"/>
      <c r="U825" s="222"/>
      <c r="V825" s="222"/>
      <c r="W825" s="223"/>
      <c r="X825" s="223"/>
      <c r="Y825" s="222"/>
      <c r="Z825" s="222"/>
      <c r="AA825" s="222"/>
      <c r="AB825" s="224"/>
    </row>
    <row r="826" spans="1:28" ht="13.5" customHeight="1">
      <c r="A826" s="222"/>
      <c r="B826" s="222"/>
      <c r="C826" s="222"/>
      <c r="D826" s="222"/>
      <c r="E826" s="222"/>
      <c r="F826" s="222"/>
      <c r="G826" s="222"/>
      <c r="H826" s="222"/>
      <c r="I826" s="222"/>
      <c r="J826" s="222"/>
      <c r="K826" s="222"/>
      <c r="L826" s="222"/>
      <c r="M826" s="222"/>
      <c r="N826" s="222"/>
      <c r="O826" s="222"/>
      <c r="P826" s="222"/>
      <c r="Q826" s="223"/>
      <c r="R826" s="222"/>
      <c r="S826" s="222"/>
      <c r="T826" s="222"/>
      <c r="U826" s="222"/>
      <c r="V826" s="222"/>
      <c r="W826" s="223"/>
      <c r="X826" s="223"/>
      <c r="Y826" s="222"/>
      <c r="Z826" s="222"/>
      <c r="AA826" s="222"/>
      <c r="AB826" s="224"/>
    </row>
    <row r="827" spans="1:28" ht="13.5" customHeight="1">
      <c r="A827" s="222"/>
      <c r="B827" s="222"/>
      <c r="C827" s="222"/>
      <c r="D827" s="222"/>
      <c r="E827" s="222"/>
      <c r="F827" s="222"/>
      <c r="G827" s="222"/>
      <c r="H827" s="222"/>
      <c r="I827" s="222"/>
      <c r="J827" s="222"/>
      <c r="K827" s="222"/>
      <c r="L827" s="222"/>
      <c r="M827" s="222"/>
      <c r="N827" s="222"/>
      <c r="O827" s="222"/>
      <c r="P827" s="222"/>
      <c r="Q827" s="223"/>
      <c r="R827" s="222"/>
      <c r="S827" s="222"/>
      <c r="T827" s="222"/>
      <c r="U827" s="222"/>
      <c r="V827" s="222"/>
      <c r="W827" s="223"/>
      <c r="X827" s="223"/>
      <c r="Y827" s="222"/>
      <c r="Z827" s="222"/>
      <c r="AA827" s="222"/>
      <c r="AB827" s="224"/>
    </row>
    <row r="828" spans="1:28" ht="13.5" customHeight="1">
      <c r="A828" s="222"/>
      <c r="B828" s="222"/>
      <c r="C828" s="222"/>
      <c r="D828" s="222"/>
      <c r="E828" s="222"/>
      <c r="F828" s="222"/>
      <c r="G828" s="222"/>
      <c r="H828" s="222"/>
      <c r="I828" s="222"/>
      <c r="J828" s="222"/>
      <c r="K828" s="222"/>
      <c r="L828" s="222"/>
      <c r="M828" s="222"/>
      <c r="N828" s="222"/>
      <c r="O828" s="222"/>
      <c r="P828" s="222"/>
      <c r="Q828" s="223"/>
      <c r="R828" s="222"/>
      <c r="S828" s="222"/>
      <c r="T828" s="222"/>
      <c r="U828" s="222"/>
      <c r="V828" s="222"/>
      <c r="W828" s="223"/>
      <c r="X828" s="223"/>
      <c r="Y828" s="222"/>
      <c r="Z828" s="222"/>
      <c r="AA828" s="222"/>
      <c r="AB828" s="224"/>
    </row>
    <row r="829" spans="1:28" ht="13.5" customHeight="1">
      <c r="A829" s="222"/>
      <c r="B829" s="222"/>
      <c r="C829" s="222"/>
      <c r="D829" s="222"/>
      <c r="E829" s="222"/>
      <c r="F829" s="222"/>
      <c r="G829" s="222"/>
      <c r="H829" s="222"/>
      <c r="I829" s="222"/>
      <c r="J829" s="222"/>
      <c r="K829" s="222"/>
      <c r="L829" s="222"/>
      <c r="M829" s="222"/>
      <c r="N829" s="222"/>
      <c r="O829" s="222"/>
      <c r="P829" s="222"/>
      <c r="Q829" s="223"/>
      <c r="R829" s="222"/>
      <c r="S829" s="222"/>
      <c r="T829" s="222"/>
      <c r="U829" s="222"/>
      <c r="V829" s="222"/>
      <c r="W829" s="223"/>
      <c r="X829" s="223"/>
      <c r="Y829" s="222"/>
      <c r="Z829" s="222"/>
      <c r="AA829" s="222"/>
      <c r="AB829" s="224"/>
    </row>
    <row r="830" spans="1:28" ht="13.5" customHeight="1">
      <c r="A830" s="222"/>
      <c r="B830" s="222"/>
      <c r="C830" s="222"/>
      <c r="D830" s="222"/>
      <c r="E830" s="222"/>
      <c r="F830" s="222"/>
      <c r="G830" s="222"/>
      <c r="H830" s="222"/>
      <c r="I830" s="222"/>
      <c r="J830" s="222"/>
      <c r="K830" s="222"/>
      <c r="L830" s="222"/>
      <c r="M830" s="222"/>
      <c r="N830" s="222"/>
      <c r="O830" s="222"/>
      <c r="P830" s="222"/>
      <c r="Q830" s="223"/>
      <c r="R830" s="222"/>
      <c r="S830" s="222"/>
      <c r="T830" s="222"/>
      <c r="U830" s="222"/>
      <c r="V830" s="222"/>
      <c r="W830" s="223"/>
      <c r="X830" s="223"/>
      <c r="Y830" s="222"/>
      <c r="Z830" s="222"/>
      <c r="AA830" s="222"/>
      <c r="AB830" s="224"/>
    </row>
    <row r="831" spans="1:28" ht="13.5" customHeight="1">
      <c r="A831" s="222"/>
      <c r="B831" s="222"/>
      <c r="C831" s="222"/>
      <c r="D831" s="222"/>
      <c r="E831" s="222"/>
      <c r="F831" s="222"/>
      <c r="G831" s="222"/>
      <c r="H831" s="222"/>
      <c r="I831" s="222"/>
      <c r="J831" s="222"/>
      <c r="K831" s="222"/>
      <c r="L831" s="222"/>
      <c r="M831" s="222"/>
      <c r="N831" s="222"/>
      <c r="O831" s="222"/>
      <c r="P831" s="222"/>
      <c r="Q831" s="223"/>
      <c r="R831" s="222"/>
      <c r="S831" s="222"/>
      <c r="T831" s="222"/>
      <c r="U831" s="222"/>
      <c r="V831" s="222"/>
      <c r="W831" s="223"/>
      <c r="X831" s="223"/>
      <c r="Y831" s="222"/>
      <c r="Z831" s="222"/>
      <c r="AA831" s="222"/>
      <c r="AB831" s="224"/>
    </row>
    <row r="832" spans="1:28" ht="13.5" customHeight="1">
      <c r="A832" s="222"/>
      <c r="B832" s="222"/>
      <c r="C832" s="222"/>
      <c r="D832" s="222"/>
      <c r="E832" s="222"/>
      <c r="F832" s="222"/>
      <c r="G832" s="222"/>
      <c r="H832" s="222"/>
      <c r="I832" s="222"/>
      <c r="J832" s="222"/>
      <c r="K832" s="222"/>
      <c r="L832" s="222"/>
      <c r="M832" s="222"/>
      <c r="N832" s="222"/>
      <c r="O832" s="222"/>
      <c r="P832" s="222"/>
      <c r="Q832" s="223"/>
      <c r="R832" s="222"/>
      <c r="S832" s="222"/>
      <c r="T832" s="222"/>
      <c r="U832" s="222"/>
      <c r="V832" s="222"/>
      <c r="W832" s="223"/>
      <c r="X832" s="223"/>
      <c r="Y832" s="222"/>
      <c r="Z832" s="222"/>
      <c r="AA832" s="222"/>
      <c r="AB832" s="224"/>
    </row>
    <row r="833" spans="1:28" ht="13.5" customHeight="1">
      <c r="A833" s="222"/>
      <c r="B833" s="222"/>
      <c r="C833" s="222"/>
      <c r="D833" s="222"/>
      <c r="E833" s="222"/>
      <c r="F833" s="222"/>
      <c r="G833" s="222"/>
      <c r="H833" s="222"/>
      <c r="I833" s="222"/>
      <c r="J833" s="222"/>
      <c r="K833" s="222"/>
      <c r="L833" s="222"/>
      <c r="M833" s="222"/>
      <c r="N833" s="222"/>
      <c r="O833" s="222"/>
      <c r="P833" s="222"/>
      <c r="Q833" s="223"/>
      <c r="R833" s="222"/>
      <c r="S833" s="222"/>
      <c r="T833" s="222"/>
      <c r="U833" s="222"/>
      <c r="V833" s="222"/>
      <c r="W833" s="223"/>
      <c r="X833" s="223"/>
      <c r="Y833" s="222"/>
      <c r="Z833" s="222"/>
      <c r="AA833" s="222"/>
      <c r="AB833" s="224"/>
    </row>
    <row r="834" spans="1:28" ht="13.5" customHeight="1">
      <c r="A834" s="222"/>
      <c r="B834" s="222"/>
      <c r="C834" s="222"/>
      <c r="D834" s="222"/>
      <c r="E834" s="222"/>
      <c r="F834" s="222"/>
      <c r="G834" s="222"/>
      <c r="H834" s="222"/>
      <c r="I834" s="222"/>
      <c r="J834" s="222"/>
      <c r="K834" s="222"/>
      <c r="L834" s="222"/>
      <c r="M834" s="222"/>
      <c r="N834" s="222"/>
      <c r="O834" s="222"/>
      <c r="P834" s="222"/>
      <c r="Q834" s="223"/>
      <c r="R834" s="222"/>
      <c r="S834" s="222"/>
      <c r="T834" s="222"/>
      <c r="U834" s="222"/>
      <c r="V834" s="222"/>
      <c r="W834" s="223"/>
      <c r="X834" s="223"/>
      <c r="Y834" s="222"/>
      <c r="Z834" s="222"/>
      <c r="AA834" s="222"/>
      <c r="AB834" s="224"/>
    </row>
    <row r="835" spans="1:28" ht="13.5" customHeight="1">
      <c r="A835" s="222"/>
      <c r="B835" s="222"/>
      <c r="C835" s="222"/>
      <c r="D835" s="222"/>
      <c r="E835" s="222"/>
      <c r="F835" s="222"/>
      <c r="G835" s="222"/>
      <c r="H835" s="222"/>
      <c r="I835" s="222"/>
      <c r="J835" s="222"/>
      <c r="K835" s="222"/>
      <c r="L835" s="222"/>
      <c r="M835" s="222"/>
      <c r="N835" s="222"/>
      <c r="O835" s="222"/>
      <c r="P835" s="222"/>
      <c r="Q835" s="223"/>
      <c r="R835" s="222"/>
      <c r="S835" s="222"/>
      <c r="T835" s="222"/>
      <c r="U835" s="222"/>
      <c r="V835" s="222"/>
      <c r="W835" s="223"/>
      <c r="X835" s="223"/>
      <c r="Y835" s="222"/>
      <c r="Z835" s="222"/>
      <c r="AA835" s="222"/>
      <c r="AB835" s="224"/>
    </row>
    <row r="836" spans="1:28" ht="13.5" customHeight="1">
      <c r="A836" s="222"/>
      <c r="B836" s="222"/>
      <c r="C836" s="222"/>
      <c r="D836" s="222"/>
      <c r="E836" s="222"/>
      <c r="F836" s="222"/>
      <c r="G836" s="222"/>
      <c r="H836" s="222"/>
      <c r="I836" s="222"/>
      <c r="J836" s="222"/>
      <c r="K836" s="222"/>
      <c r="L836" s="222"/>
      <c r="M836" s="222"/>
      <c r="N836" s="222"/>
      <c r="O836" s="222"/>
      <c r="P836" s="222"/>
      <c r="Q836" s="223"/>
      <c r="R836" s="222"/>
      <c r="S836" s="222"/>
      <c r="T836" s="222"/>
      <c r="U836" s="222"/>
      <c r="V836" s="222"/>
      <c r="W836" s="223"/>
      <c r="X836" s="223"/>
      <c r="Y836" s="222"/>
      <c r="Z836" s="222"/>
      <c r="AA836" s="222"/>
      <c r="AB836" s="224"/>
    </row>
    <row r="837" spans="1:28" ht="13.5" customHeight="1">
      <c r="A837" s="222"/>
      <c r="B837" s="222"/>
      <c r="C837" s="222"/>
      <c r="D837" s="222"/>
      <c r="E837" s="222"/>
      <c r="F837" s="222"/>
      <c r="G837" s="222"/>
      <c r="H837" s="222"/>
      <c r="I837" s="222"/>
      <c r="J837" s="222"/>
      <c r="K837" s="222"/>
      <c r="L837" s="222"/>
      <c r="M837" s="222"/>
      <c r="N837" s="222"/>
      <c r="O837" s="222"/>
      <c r="P837" s="222"/>
      <c r="Q837" s="223"/>
      <c r="R837" s="222"/>
      <c r="S837" s="222"/>
      <c r="T837" s="222"/>
      <c r="U837" s="222"/>
      <c r="V837" s="222"/>
      <c r="W837" s="223"/>
      <c r="X837" s="223"/>
      <c r="Y837" s="222"/>
      <c r="Z837" s="222"/>
      <c r="AA837" s="222"/>
      <c r="AB837" s="224"/>
    </row>
    <row r="838" spans="1:28" ht="13.5" customHeight="1">
      <c r="A838" s="222"/>
      <c r="B838" s="222"/>
      <c r="C838" s="222"/>
      <c r="D838" s="222"/>
      <c r="E838" s="222"/>
      <c r="F838" s="222"/>
      <c r="G838" s="222"/>
      <c r="H838" s="222"/>
      <c r="I838" s="222"/>
      <c r="J838" s="222"/>
      <c r="K838" s="222"/>
      <c r="L838" s="222"/>
      <c r="M838" s="222"/>
      <c r="N838" s="222"/>
      <c r="O838" s="222"/>
      <c r="P838" s="222"/>
      <c r="Q838" s="223"/>
      <c r="R838" s="222"/>
      <c r="S838" s="222"/>
      <c r="T838" s="222"/>
      <c r="U838" s="222"/>
      <c r="V838" s="222"/>
      <c r="W838" s="223"/>
      <c r="X838" s="223"/>
      <c r="Y838" s="222"/>
      <c r="Z838" s="222"/>
      <c r="AA838" s="222"/>
      <c r="AB838" s="224"/>
    </row>
    <row r="839" spans="1:28" ht="13.5" customHeight="1">
      <c r="A839" s="222"/>
      <c r="B839" s="222"/>
      <c r="C839" s="222"/>
      <c r="D839" s="222"/>
      <c r="E839" s="222"/>
      <c r="F839" s="222"/>
      <c r="G839" s="222"/>
      <c r="H839" s="222"/>
      <c r="I839" s="222"/>
      <c r="J839" s="222"/>
      <c r="K839" s="222"/>
      <c r="L839" s="222"/>
      <c r="M839" s="222"/>
      <c r="N839" s="222"/>
      <c r="O839" s="222"/>
      <c r="P839" s="222"/>
      <c r="Q839" s="223"/>
      <c r="R839" s="222"/>
      <c r="S839" s="222"/>
      <c r="T839" s="222"/>
      <c r="U839" s="222"/>
      <c r="V839" s="222"/>
      <c r="W839" s="223"/>
      <c r="X839" s="223"/>
      <c r="Y839" s="222"/>
      <c r="Z839" s="222"/>
      <c r="AA839" s="222"/>
      <c r="AB839" s="224"/>
    </row>
    <row r="840" spans="1:28" ht="13.5" customHeight="1">
      <c r="A840" s="222"/>
      <c r="B840" s="222"/>
      <c r="C840" s="222"/>
      <c r="D840" s="222"/>
      <c r="E840" s="222"/>
      <c r="F840" s="222"/>
      <c r="G840" s="222"/>
      <c r="H840" s="222"/>
      <c r="I840" s="222"/>
      <c r="J840" s="222"/>
      <c r="K840" s="222"/>
      <c r="L840" s="222"/>
      <c r="M840" s="222"/>
      <c r="N840" s="222"/>
      <c r="O840" s="222"/>
      <c r="P840" s="222"/>
      <c r="Q840" s="223"/>
      <c r="R840" s="222"/>
      <c r="S840" s="222"/>
      <c r="T840" s="222"/>
      <c r="U840" s="222"/>
      <c r="V840" s="222"/>
      <c r="W840" s="223"/>
      <c r="X840" s="223"/>
      <c r="Y840" s="222"/>
      <c r="Z840" s="222"/>
      <c r="AA840" s="222"/>
      <c r="AB840" s="224"/>
    </row>
    <row r="841" spans="1:28" ht="13.5" customHeight="1">
      <c r="A841" s="222"/>
      <c r="B841" s="222"/>
      <c r="C841" s="222"/>
      <c r="D841" s="222"/>
      <c r="E841" s="222"/>
      <c r="F841" s="222"/>
      <c r="G841" s="222"/>
      <c r="H841" s="222"/>
      <c r="I841" s="222"/>
      <c r="J841" s="222"/>
      <c r="K841" s="222"/>
      <c r="L841" s="222"/>
      <c r="M841" s="222"/>
      <c r="N841" s="222"/>
      <c r="O841" s="222"/>
      <c r="P841" s="222"/>
      <c r="Q841" s="223"/>
      <c r="R841" s="222"/>
      <c r="S841" s="222"/>
      <c r="T841" s="222"/>
      <c r="U841" s="222"/>
      <c r="V841" s="222"/>
      <c r="W841" s="223"/>
      <c r="X841" s="223"/>
      <c r="Y841" s="222"/>
      <c r="Z841" s="222"/>
      <c r="AA841" s="222"/>
      <c r="AB841" s="224"/>
    </row>
    <row r="842" spans="1:28" ht="13.5" customHeight="1">
      <c r="A842" s="222"/>
      <c r="B842" s="222"/>
      <c r="C842" s="222"/>
      <c r="D842" s="222"/>
      <c r="E842" s="222"/>
      <c r="F842" s="222"/>
      <c r="G842" s="222"/>
      <c r="H842" s="222"/>
      <c r="I842" s="222"/>
      <c r="J842" s="222"/>
      <c r="K842" s="222"/>
      <c r="L842" s="222"/>
      <c r="M842" s="222"/>
      <c r="N842" s="222"/>
      <c r="O842" s="222"/>
      <c r="P842" s="222"/>
      <c r="Q842" s="223"/>
      <c r="R842" s="222"/>
      <c r="S842" s="222"/>
      <c r="T842" s="222"/>
      <c r="U842" s="222"/>
      <c r="V842" s="222"/>
      <c r="W842" s="223"/>
      <c r="X842" s="223"/>
      <c r="Y842" s="222"/>
      <c r="Z842" s="222"/>
      <c r="AA842" s="222"/>
      <c r="AB842" s="224"/>
    </row>
    <row r="843" spans="1:28" ht="13.5" customHeight="1">
      <c r="A843" s="222"/>
      <c r="B843" s="222"/>
      <c r="C843" s="222"/>
      <c r="D843" s="222"/>
      <c r="E843" s="222"/>
      <c r="F843" s="222"/>
      <c r="G843" s="222"/>
      <c r="H843" s="222"/>
      <c r="I843" s="222"/>
      <c r="J843" s="222"/>
      <c r="K843" s="222"/>
      <c r="L843" s="222"/>
      <c r="M843" s="222"/>
      <c r="N843" s="222"/>
      <c r="O843" s="222"/>
      <c r="P843" s="222"/>
      <c r="Q843" s="223"/>
      <c r="R843" s="222"/>
      <c r="S843" s="222"/>
      <c r="T843" s="222"/>
      <c r="U843" s="222"/>
      <c r="V843" s="222"/>
      <c r="W843" s="223"/>
      <c r="X843" s="223"/>
      <c r="Y843" s="222"/>
      <c r="Z843" s="222"/>
      <c r="AA843" s="222"/>
      <c r="AB843" s="224"/>
    </row>
    <row r="844" spans="1:28" ht="13.5" customHeight="1">
      <c r="A844" s="222"/>
      <c r="B844" s="222"/>
      <c r="C844" s="222"/>
      <c r="D844" s="222"/>
      <c r="E844" s="222"/>
      <c r="F844" s="222"/>
      <c r="G844" s="222"/>
      <c r="H844" s="222"/>
      <c r="I844" s="222"/>
      <c r="J844" s="222"/>
      <c r="K844" s="222"/>
      <c r="L844" s="222"/>
      <c r="M844" s="222"/>
      <c r="N844" s="222"/>
      <c r="O844" s="222"/>
      <c r="P844" s="222"/>
      <c r="Q844" s="223"/>
      <c r="R844" s="222"/>
      <c r="S844" s="222"/>
      <c r="T844" s="222"/>
      <c r="U844" s="222"/>
      <c r="V844" s="222"/>
      <c r="W844" s="223"/>
      <c r="X844" s="223"/>
      <c r="Y844" s="222"/>
      <c r="Z844" s="222"/>
      <c r="AA844" s="222"/>
      <c r="AB844" s="224"/>
    </row>
    <row r="845" spans="1:28" ht="13.5" customHeight="1">
      <c r="A845" s="222"/>
      <c r="B845" s="222"/>
      <c r="C845" s="222"/>
      <c r="D845" s="222"/>
      <c r="E845" s="222"/>
      <c r="F845" s="222"/>
      <c r="G845" s="222"/>
      <c r="H845" s="222"/>
      <c r="I845" s="222"/>
      <c r="J845" s="222"/>
      <c r="K845" s="222"/>
      <c r="L845" s="222"/>
      <c r="M845" s="222"/>
      <c r="N845" s="222"/>
      <c r="O845" s="222"/>
      <c r="P845" s="222"/>
      <c r="Q845" s="223"/>
      <c r="R845" s="222"/>
      <c r="S845" s="222"/>
      <c r="T845" s="222"/>
      <c r="U845" s="222"/>
      <c r="V845" s="222"/>
      <c r="W845" s="223"/>
      <c r="X845" s="223"/>
      <c r="Y845" s="222"/>
      <c r="Z845" s="222"/>
      <c r="AA845" s="222"/>
      <c r="AB845" s="224"/>
    </row>
    <row r="846" spans="1:28" ht="13.5" customHeight="1">
      <c r="A846" s="222"/>
      <c r="B846" s="222"/>
      <c r="C846" s="222"/>
      <c r="D846" s="222"/>
      <c r="E846" s="222"/>
      <c r="F846" s="222"/>
      <c r="G846" s="222"/>
      <c r="H846" s="222"/>
      <c r="I846" s="222"/>
      <c r="J846" s="222"/>
      <c r="K846" s="222"/>
      <c r="L846" s="222"/>
      <c r="M846" s="222"/>
      <c r="N846" s="222"/>
      <c r="O846" s="222"/>
      <c r="P846" s="222"/>
      <c r="Q846" s="223"/>
      <c r="R846" s="222"/>
      <c r="S846" s="222"/>
      <c r="T846" s="222"/>
      <c r="U846" s="222"/>
      <c r="V846" s="222"/>
      <c r="W846" s="223"/>
      <c r="X846" s="223"/>
      <c r="Y846" s="222"/>
      <c r="Z846" s="222"/>
      <c r="AA846" s="222"/>
      <c r="AB846" s="224"/>
    </row>
    <row r="847" spans="1:28" ht="13.5" customHeight="1">
      <c r="A847" s="222"/>
      <c r="B847" s="222"/>
      <c r="C847" s="222"/>
      <c r="D847" s="222"/>
      <c r="E847" s="222"/>
      <c r="F847" s="222"/>
      <c r="G847" s="222"/>
      <c r="H847" s="222"/>
      <c r="I847" s="222"/>
      <c r="J847" s="222"/>
      <c r="K847" s="222"/>
      <c r="L847" s="222"/>
      <c r="M847" s="222"/>
      <c r="N847" s="222"/>
      <c r="O847" s="222"/>
      <c r="P847" s="222"/>
      <c r="Q847" s="223"/>
      <c r="R847" s="222"/>
      <c r="S847" s="222"/>
      <c r="T847" s="222"/>
      <c r="U847" s="222"/>
      <c r="V847" s="222"/>
      <c r="W847" s="223"/>
      <c r="X847" s="223"/>
      <c r="Y847" s="222"/>
      <c r="Z847" s="222"/>
      <c r="AA847" s="222"/>
      <c r="AB847" s="224"/>
    </row>
    <row r="848" spans="1:28" ht="13.5" customHeight="1">
      <c r="A848" s="222"/>
      <c r="B848" s="222"/>
      <c r="C848" s="222"/>
      <c r="D848" s="222"/>
      <c r="E848" s="222"/>
      <c r="F848" s="222"/>
      <c r="G848" s="222"/>
      <c r="H848" s="222"/>
      <c r="I848" s="222"/>
      <c r="J848" s="222"/>
      <c r="K848" s="222"/>
      <c r="L848" s="222"/>
      <c r="M848" s="222"/>
      <c r="N848" s="222"/>
      <c r="O848" s="222"/>
      <c r="P848" s="222"/>
      <c r="Q848" s="223"/>
      <c r="R848" s="222"/>
      <c r="S848" s="222"/>
      <c r="T848" s="222"/>
      <c r="U848" s="222"/>
      <c r="V848" s="222"/>
      <c r="W848" s="223"/>
      <c r="X848" s="223"/>
      <c r="Y848" s="222"/>
      <c r="Z848" s="222"/>
      <c r="AA848" s="222"/>
      <c r="AB848" s="224"/>
    </row>
    <row r="849" spans="1:28" ht="13.5" customHeight="1">
      <c r="A849" s="222"/>
      <c r="B849" s="222"/>
      <c r="C849" s="222"/>
      <c r="D849" s="222"/>
      <c r="E849" s="222"/>
      <c r="F849" s="222"/>
      <c r="G849" s="222"/>
      <c r="H849" s="222"/>
      <c r="I849" s="222"/>
      <c r="J849" s="222"/>
      <c r="K849" s="222"/>
      <c r="L849" s="222"/>
      <c r="M849" s="222"/>
      <c r="N849" s="222"/>
      <c r="O849" s="222"/>
      <c r="P849" s="222"/>
      <c r="Q849" s="223"/>
      <c r="R849" s="222"/>
      <c r="S849" s="222"/>
      <c r="T849" s="222"/>
      <c r="U849" s="222"/>
      <c r="V849" s="222"/>
      <c r="W849" s="223"/>
      <c r="X849" s="223"/>
      <c r="Y849" s="222"/>
      <c r="Z849" s="222"/>
      <c r="AA849" s="222"/>
      <c r="AB849" s="224"/>
    </row>
    <row r="850" spans="1:28" ht="13.5" customHeight="1">
      <c r="A850" s="222"/>
      <c r="B850" s="222"/>
      <c r="C850" s="222"/>
      <c r="D850" s="222"/>
      <c r="E850" s="222"/>
      <c r="F850" s="222"/>
      <c r="G850" s="222"/>
      <c r="H850" s="222"/>
      <c r="I850" s="222"/>
      <c r="J850" s="222"/>
      <c r="K850" s="222"/>
      <c r="L850" s="222"/>
      <c r="M850" s="222"/>
      <c r="N850" s="222"/>
      <c r="O850" s="222"/>
      <c r="P850" s="222"/>
      <c r="Q850" s="223"/>
      <c r="R850" s="222"/>
      <c r="S850" s="222"/>
      <c r="T850" s="222"/>
      <c r="U850" s="222"/>
      <c r="V850" s="222"/>
      <c r="W850" s="223"/>
      <c r="X850" s="223"/>
      <c r="Y850" s="222"/>
      <c r="Z850" s="222"/>
      <c r="AA850" s="222"/>
      <c r="AB850" s="224"/>
    </row>
    <row r="851" spans="1:28" ht="13.5" customHeight="1">
      <c r="A851" s="222"/>
      <c r="B851" s="222"/>
      <c r="C851" s="222"/>
      <c r="D851" s="222"/>
      <c r="E851" s="222"/>
      <c r="F851" s="222"/>
      <c r="G851" s="222"/>
      <c r="H851" s="222"/>
      <c r="I851" s="222"/>
      <c r="J851" s="222"/>
      <c r="K851" s="222"/>
      <c r="L851" s="222"/>
      <c r="M851" s="222"/>
      <c r="N851" s="222"/>
      <c r="O851" s="222"/>
      <c r="P851" s="222"/>
      <c r="Q851" s="223"/>
      <c r="R851" s="222"/>
      <c r="S851" s="222"/>
      <c r="T851" s="222"/>
      <c r="U851" s="222"/>
      <c r="V851" s="222"/>
      <c r="W851" s="223"/>
      <c r="X851" s="223"/>
      <c r="Y851" s="222"/>
      <c r="Z851" s="222"/>
      <c r="AA851" s="222"/>
      <c r="AB851" s="224"/>
    </row>
    <row r="852" spans="1:28" ht="13.5" customHeight="1">
      <c r="A852" s="222"/>
      <c r="B852" s="222"/>
      <c r="C852" s="222"/>
      <c r="D852" s="222"/>
      <c r="E852" s="222"/>
      <c r="F852" s="222"/>
      <c r="G852" s="222"/>
      <c r="H852" s="222"/>
      <c r="I852" s="222"/>
      <c r="J852" s="222"/>
      <c r="K852" s="222"/>
      <c r="L852" s="222"/>
      <c r="M852" s="222"/>
      <c r="N852" s="222"/>
      <c r="O852" s="222"/>
      <c r="P852" s="222"/>
      <c r="Q852" s="223"/>
      <c r="R852" s="222"/>
      <c r="S852" s="222"/>
      <c r="T852" s="222"/>
      <c r="U852" s="222"/>
      <c r="V852" s="222"/>
      <c r="W852" s="223"/>
      <c r="X852" s="223"/>
      <c r="Y852" s="222"/>
      <c r="Z852" s="222"/>
      <c r="AA852" s="222"/>
      <c r="AB852" s="224"/>
    </row>
    <row r="853" spans="1:28" ht="13.5" customHeight="1">
      <c r="A853" s="222"/>
      <c r="B853" s="222"/>
      <c r="C853" s="222"/>
      <c r="D853" s="222"/>
      <c r="E853" s="222"/>
      <c r="F853" s="222"/>
      <c r="G853" s="222"/>
      <c r="H853" s="222"/>
      <c r="I853" s="222"/>
      <c r="J853" s="222"/>
      <c r="K853" s="222"/>
      <c r="L853" s="222"/>
      <c r="M853" s="222"/>
      <c r="N853" s="222"/>
      <c r="O853" s="222"/>
      <c r="P853" s="222"/>
      <c r="Q853" s="223"/>
      <c r="R853" s="222"/>
      <c r="S853" s="222"/>
      <c r="T853" s="222"/>
      <c r="U853" s="222"/>
      <c r="V853" s="222"/>
      <c r="W853" s="223"/>
      <c r="X853" s="223"/>
      <c r="Y853" s="222"/>
      <c r="Z853" s="222"/>
      <c r="AA853" s="222"/>
      <c r="AB853" s="224"/>
    </row>
    <row r="854" spans="1:28" ht="13.5" customHeight="1">
      <c r="A854" s="222"/>
      <c r="B854" s="222"/>
      <c r="C854" s="222"/>
      <c r="D854" s="222"/>
      <c r="E854" s="222"/>
      <c r="F854" s="222"/>
      <c r="G854" s="222"/>
      <c r="H854" s="222"/>
      <c r="I854" s="222"/>
      <c r="J854" s="222"/>
      <c r="K854" s="222"/>
      <c r="L854" s="222"/>
      <c r="M854" s="222"/>
      <c r="N854" s="222"/>
      <c r="O854" s="222"/>
      <c r="P854" s="222"/>
      <c r="Q854" s="223"/>
      <c r="R854" s="222"/>
      <c r="S854" s="222"/>
      <c r="T854" s="222"/>
      <c r="U854" s="222"/>
      <c r="V854" s="222"/>
      <c r="W854" s="223"/>
      <c r="X854" s="223"/>
      <c r="Y854" s="222"/>
      <c r="Z854" s="222"/>
      <c r="AA854" s="222"/>
      <c r="AB854" s="224"/>
    </row>
    <row r="855" spans="1:28" ht="13.5" customHeight="1">
      <c r="A855" s="222"/>
      <c r="B855" s="222"/>
      <c r="C855" s="222"/>
      <c r="D855" s="222"/>
      <c r="E855" s="222"/>
      <c r="F855" s="222"/>
      <c r="G855" s="222"/>
      <c r="H855" s="222"/>
      <c r="I855" s="222"/>
      <c r="J855" s="222"/>
      <c r="K855" s="222"/>
      <c r="L855" s="222"/>
      <c r="M855" s="222"/>
      <c r="N855" s="222"/>
      <c r="O855" s="222"/>
      <c r="P855" s="222"/>
      <c r="Q855" s="223"/>
      <c r="R855" s="222"/>
      <c r="S855" s="222"/>
      <c r="T855" s="222"/>
      <c r="U855" s="222"/>
      <c r="V855" s="222"/>
      <c r="W855" s="223"/>
      <c r="X855" s="223"/>
      <c r="Y855" s="222"/>
      <c r="Z855" s="222"/>
      <c r="AA855" s="222"/>
      <c r="AB855" s="224"/>
    </row>
    <row r="856" spans="1:28" ht="13.5" customHeight="1">
      <c r="A856" s="222"/>
      <c r="B856" s="222"/>
      <c r="C856" s="222"/>
      <c r="D856" s="222"/>
      <c r="E856" s="222"/>
      <c r="F856" s="222"/>
      <c r="G856" s="222"/>
      <c r="H856" s="222"/>
      <c r="I856" s="222"/>
      <c r="J856" s="222"/>
      <c r="K856" s="222"/>
      <c r="L856" s="222"/>
      <c r="M856" s="222"/>
      <c r="N856" s="222"/>
      <c r="O856" s="222"/>
      <c r="P856" s="222"/>
      <c r="Q856" s="223"/>
      <c r="R856" s="222"/>
      <c r="S856" s="222"/>
      <c r="T856" s="222"/>
      <c r="U856" s="222"/>
      <c r="V856" s="222"/>
      <c r="W856" s="223"/>
      <c r="X856" s="223"/>
      <c r="Y856" s="222"/>
      <c r="Z856" s="222"/>
      <c r="AA856" s="222"/>
      <c r="AB856" s="224"/>
    </row>
    <row r="857" spans="1:28" ht="13.5" customHeight="1">
      <c r="A857" s="222"/>
      <c r="B857" s="222"/>
      <c r="C857" s="222"/>
      <c r="D857" s="222"/>
      <c r="E857" s="222"/>
      <c r="F857" s="222"/>
      <c r="G857" s="222"/>
      <c r="H857" s="222"/>
      <c r="I857" s="222"/>
      <c r="J857" s="222"/>
      <c r="K857" s="222"/>
      <c r="L857" s="222"/>
      <c r="M857" s="222"/>
      <c r="N857" s="222"/>
      <c r="O857" s="222"/>
      <c r="P857" s="222"/>
      <c r="Q857" s="223"/>
      <c r="R857" s="222"/>
      <c r="S857" s="222"/>
      <c r="T857" s="222"/>
      <c r="U857" s="222"/>
      <c r="V857" s="222"/>
      <c r="W857" s="223"/>
      <c r="X857" s="223"/>
      <c r="Y857" s="222"/>
      <c r="Z857" s="222"/>
      <c r="AA857" s="222"/>
      <c r="AB857" s="224"/>
    </row>
    <row r="858" spans="1:28" ht="13.5" customHeight="1">
      <c r="A858" s="222"/>
      <c r="B858" s="222"/>
      <c r="C858" s="222"/>
      <c r="D858" s="222"/>
      <c r="E858" s="222"/>
      <c r="F858" s="222"/>
      <c r="G858" s="222"/>
      <c r="H858" s="222"/>
      <c r="I858" s="222"/>
      <c r="J858" s="222"/>
      <c r="K858" s="222"/>
      <c r="L858" s="222"/>
      <c r="M858" s="222"/>
      <c r="N858" s="222"/>
      <c r="O858" s="222"/>
      <c r="P858" s="222"/>
      <c r="Q858" s="223"/>
      <c r="R858" s="222"/>
      <c r="S858" s="222"/>
      <c r="T858" s="222"/>
      <c r="U858" s="222"/>
      <c r="V858" s="222"/>
      <c r="W858" s="223"/>
      <c r="X858" s="223"/>
      <c r="Y858" s="222"/>
      <c r="Z858" s="222"/>
      <c r="AA858" s="222"/>
      <c r="AB858" s="224"/>
    </row>
    <row r="859" spans="1:28" ht="13.5" customHeight="1">
      <c r="A859" s="222"/>
      <c r="B859" s="222"/>
      <c r="C859" s="222"/>
      <c r="D859" s="222"/>
      <c r="E859" s="222"/>
      <c r="F859" s="222"/>
      <c r="G859" s="222"/>
      <c r="H859" s="222"/>
      <c r="I859" s="222"/>
      <c r="J859" s="222"/>
      <c r="K859" s="222"/>
      <c r="L859" s="222"/>
      <c r="M859" s="222"/>
      <c r="N859" s="222"/>
      <c r="O859" s="222"/>
      <c r="P859" s="222"/>
      <c r="Q859" s="223"/>
      <c r="R859" s="222"/>
      <c r="S859" s="222"/>
      <c r="T859" s="222"/>
      <c r="U859" s="222"/>
      <c r="V859" s="222"/>
      <c r="W859" s="223"/>
      <c r="X859" s="223"/>
      <c r="Y859" s="222"/>
      <c r="Z859" s="222"/>
      <c r="AA859" s="222"/>
      <c r="AB859" s="224"/>
    </row>
    <row r="860" spans="1:28" ht="13.5" customHeight="1">
      <c r="A860" s="222"/>
      <c r="B860" s="222"/>
      <c r="C860" s="222"/>
      <c r="D860" s="222"/>
      <c r="E860" s="222"/>
      <c r="F860" s="222"/>
      <c r="G860" s="222"/>
      <c r="H860" s="222"/>
      <c r="I860" s="222"/>
      <c r="J860" s="222"/>
      <c r="K860" s="222"/>
      <c r="L860" s="222"/>
      <c r="M860" s="222"/>
      <c r="N860" s="222"/>
      <c r="O860" s="222"/>
      <c r="P860" s="222"/>
      <c r="Q860" s="223"/>
      <c r="R860" s="222"/>
      <c r="S860" s="222"/>
      <c r="T860" s="222"/>
      <c r="U860" s="222"/>
      <c r="V860" s="222"/>
      <c r="W860" s="223"/>
      <c r="X860" s="223"/>
      <c r="Y860" s="222"/>
      <c r="Z860" s="222"/>
      <c r="AA860" s="222"/>
      <c r="AB860" s="224"/>
    </row>
    <row r="861" spans="1:28" ht="13.5" customHeight="1">
      <c r="A861" s="222"/>
      <c r="B861" s="222"/>
      <c r="C861" s="222"/>
      <c r="D861" s="222"/>
      <c r="E861" s="222"/>
      <c r="F861" s="222"/>
      <c r="G861" s="222"/>
      <c r="H861" s="222"/>
      <c r="I861" s="222"/>
      <c r="J861" s="222"/>
      <c r="K861" s="222"/>
      <c r="L861" s="222"/>
      <c r="M861" s="222"/>
      <c r="N861" s="222"/>
      <c r="O861" s="222"/>
      <c r="P861" s="222"/>
      <c r="Q861" s="223"/>
      <c r="R861" s="222"/>
      <c r="S861" s="222"/>
      <c r="T861" s="222"/>
      <c r="U861" s="222"/>
      <c r="V861" s="222"/>
      <c r="W861" s="223"/>
      <c r="X861" s="223"/>
      <c r="Y861" s="222"/>
      <c r="Z861" s="222"/>
      <c r="AA861" s="222"/>
      <c r="AB861" s="224"/>
    </row>
    <row r="862" spans="1:28" ht="13.5" customHeight="1">
      <c r="A862" s="222"/>
    </row>
  </sheetData>
  <autoFilter ref="A6:CV22" xr:uid="{C191B954-9FB1-4F4B-88E7-D97D2A380569}">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2" showButton="0"/>
    <filterColumn colId="53" showButton="0"/>
    <filterColumn colId="54" showButton="0"/>
    <filterColumn colId="56" showButton="0"/>
    <filterColumn colId="57" showButton="0"/>
    <filterColumn colId="58" showButton="0"/>
    <filterColumn colId="60" showButton="0"/>
    <filterColumn colId="61" showButton="0"/>
    <filterColumn colId="62" showButton="0"/>
    <filterColumn colId="64" showButton="0"/>
    <filterColumn colId="65" showButton="0"/>
    <filterColumn colId="66" showButton="0"/>
    <filterColumn colId="68" showButton="0"/>
    <filterColumn colId="69" showButton="0"/>
    <filterColumn colId="70"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autoFilter>
  <mergeCells count="69">
    <mergeCell ref="AC1:AK2"/>
    <mergeCell ref="AC4:AC5"/>
    <mergeCell ref="AO3:AR4"/>
    <mergeCell ref="AS3:AV3"/>
    <mergeCell ref="K4:K5"/>
    <mergeCell ref="Z4:Z5"/>
    <mergeCell ref="AA4:AA5"/>
    <mergeCell ref="AB4:AB5"/>
    <mergeCell ref="R4:R5"/>
    <mergeCell ref="S4:S5"/>
    <mergeCell ref="T4:V4"/>
    <mergeCell ref="AG4:AG5"/>
    <mergeCell ref="O4:O5"/>
    <mergeCell ref="P4:P5"/>
    <mergeCell ref="Q4:Q5"/>
    <mergeCell ref="W4:W5"/>
    <mergeCell ref="L4:L5"/>
    <mergeCell ref="M4:M5"/>
    <mergeCell ref="N4:N5"/>
    <mergeCell ref="BM3:BP3"/>
    <mergeCell ref="BM4:BP4"/>
    <mergeCell ref="AN3:AN6"/>
    <mergeCell ref="AS4:AV4"/>
    <mergeCell ref="BA4:BD4"/>
    <mergeCell ref="BI4:BL4"/>
    <mergeCell ref="BA3:BD3"/>
    <mergeCell ref="BE3:BH4"/>
    <mergeCell ref="BI3:BL3"/>
    <mergeCell ref="BM6:BP6"/>
    <mergeCell ref="BI6:BL6"/>
    <mergeCell ref="AW6:AZ6"/>
    <mergeCell ref="BA6:BD6"/>
    <mergeCell ref="BE6:BH6"/>
    <mergeCell ref="BI7:BL7"/>
    <mergeCell ref="BM7:BP7"/>
    <mergeCell ref="BQ7:BT7"/>
    <mergeCell ref="CK7:CV7"/>
    <mergeCell ref="BQ6:BT6"/>
    <mergeCell ref="AO7:AR7"/>
    <mergeCell ref="AS7:AV7"/>
    <mergeCell ref="AW7:AZ7"/>
    <mergeCell ref="BA7:BD7"/>
    <mergeCell ref="BE7:BH7"/>
    <mergeCell ref="X4:X5"/>
    <mergeCell ref="Y4:Y5"/>
    <mergeCell ref="CB1:CJ1"/>
    <mergeCell ref="CK4:CV4"/>
    <mergeCell ref="CK5:CV5"/>
    <mergeCell ref="CK2:CV2"/>
    <mergeCell ref="AL3:AL6"/>
    <mergeCell ref="AM3:AM6"/>
    <mergeCell ref="AD4:AE4"/>
    <mergeCell ref="AO1:BP2"/>
    <mergeCell ref="AI4:AI5"/>
    <mergeCell ref="AJ3:AK3"/>
    <mergeCell ref="CK6:CV6"/>
    <mergeCell ref="AO6:AR6"/>
    <mergeCell ref="AS6:AV6"/>
    <mergeCell ref="AW3:AZ4"/>
    <mergeCell ref="F4:F5"/>
    <mergeCell ref="H4:H5"/>
    <mergeCell ref="J4:J5"/>
    <mergeCell ref="I4:I5"/>
    <mergeCell ref="A4:A5"/>
    <mergeCell ref="B4:B5"/>
    <mergeCell ref="C4:C5"/>
    <mergeCell ref="D4:D5"/>
    <mergeCell ref="E4:E5"/>
    <mergeCell ref="G4:G5"/>
  </mergeCells>
  <conditionalFormatting sqref="R7:T7">
    <cfRule type="cellIs" dxfId="83" priority="114" operator="equal">
      <formula>1</formula>
    </cfRule>
  </conditionalFormatting>
  <conditionalFormatting sqref="R6:V6">
    <cfRule type="cellIs" dxfId="82" priority="115" operator="equal">
      <formula>1</formula>
    </cfRule>
  </conditionalFormatting>
  <conditionalFormatting sqref="T8:T9">
    <cfRule type="cellIs" dxfId="81" priority="116" operator="equal">
      <formula>1</formula>
    </cfRule>
  </conditionalFormatting>
  <conditionalFormatting sqref="AD10:AE10 AD12:AE13 AD16:AE21">
    <cfRule type="colorScale" priority="575">
      <colorScale>
        <cfvo type="min"/>
        <cfvo type="max"/>
        <color rgb="FFFF7128"/>
        <color rgb="FFFFEF9C"/>
      </colorScale>
    </cfRule>
    <cfRule type="colorScale" priority="576">
      <colorScale>
        <cfvo type="min"/>
        <cfvo type="percentile" val="50"/>
        <cfvo type="max"/>
        <color rgb="FFF8696B"/>
        <color rgb="FFFFEB84"/>
        <color rgb="FF63BE7B"/>
      </colorScale>
    </cfRule>
  </conditionalFormatting>
  <conditionalFormatting sqref="AD10:AE23">
    <cfRule type="containsText" dxfId="80" priority="5" operator="containsText" text="WAJIB ISI">
      <formula>NOT(ISERROR(SEARCH("WAJIB ISI",AD10)))</formula>
    </cfRule>
  </conditionalFormatting>
  <conditionalFormatting sqref="AD11:AE11">
    <cfRule type="colorScale" priority="21">
      <colorScale>
        <cfvo type="min"/>
        <cfvo type="max"/>
        <color rgb="FFFF7128"/>
        <color rgb="FFFFEF9C"/>
      </colorScale>
    </cfRule>
    <cfRule type="colorScale" priority="22">
      <colorScale>
        <cfvo type="min"/>
        <cfvo type="percentile" val="50"/>
        <cfvo type="max"/>
        <color rgb="FFF8696B"/>
        <color rgb="FFFFEB84"/>
        <color rgb="FF63BE7B"/>
      </colorScale>
    </cfRule>
  </conditionalFormatting>
  <conditionalFormatting sqref="AD22:AE22">
    <cfRule type="colorScale" priority="11">
      <colorScale>
        <cfvo type="min"/>
        <cfvo type="max"/>
        <color rgb="FFFF7128"/>
        <color rgb="FFFFEF9C"/>
      </colorScale>
    </cfRule>
    <cfRule type="colorScale" priority="12">
      <colorScale>
        <cfvo type="min"/>
        <cfvo type="percentile" val="50"/>
        <cfvo type="max"/>
        <color rgb="FFF8696B"/>
        <color rgb="FFFFEB84"/>
        <color rgb="FF63BE7B"/>
      </colorScale>
    </cfRule>
  </conditionalFormatting>
  <conditionalFormatting sqref="AD23:AE23">
    <cfRule type="colorScale" priority="7">
      <colorScale>
        <cfvo type="min"/>
        <cfvo type="max"/>
        <color rgb="FFFF7128"/>
        <color rgb="FFFFEF9C"/>
      </colorScale>
    </cfRule>
    <cfRule type="colorScale" priority="8">
      <colorScale>
        <cfvo type="min"/>
        <cfvo type="percentile" val="50"/>
        <cfvo type="max"/>
        <color rgb="FFF8696B"/>
        <color rgb="FFFFEB84"/>
        <color rgb="FF63BE7B"/>
      </colorScale>
    </cfRule>
  </conditionalFormatting>
  <conditionalFormatting sqref="AE14:AE15">
    <cfRule type="colorScale" priority="34">
      <colorScale>
        <cfvo type="min"/>
        <cfvo type="max"/>
        <color rgb="FFFF7128"/>
        <color rgb="FFFFEF9C"/>
      </colorScale>
    </cfRule>
    <cfRule type="colorScale" priority="35">
      <colorScale>
        <cfvo type="min"/>
        <cfvo type="percentile" val="50"/>
        <cfvo type="max"/>
        <color rgb="FFF8696B"/>
        <color rgb="FFFFEB84"/>
        <color rgb="FF63BE7B"/>
      </colorScale>
    </cfRule>
    <cfRule type="containsText" dxfId="79" priority="36" operator="containsText" text="WAJIB ISI">
      <formula>NOT(ISERROR(SEARCH("WAJIB ISI",AE14)))</formula>
    </cfRule>
  </conditionalFormatting>
  <conditionalFormatting sqref="AK10:AK23">
    <cfRule type="containsText" dxfId="78" priority="103" operator="containsText" text="Moderate to High">
      <formula>NOT(ISERROR(SEARCH(("Moderate to High"),(AK10))))</formula>
    </cfRule>
    <cfRule type="containsText" dxfId="77" priority="104" operator="containsText" text="Low to Moderate">
      <formula>NOT(ISERROR(SEARCH(("Low to Moderate"),(AK10))))</formula>
    </cfRule>
    <cfRule type="containsText" dxfId="76" priority="105" operator="containsText" text="Moderate">
      <formula>NOT(ISERROR(SEARCH(("Moderate"),(AK10))))</formula>
    </cfRule>
    <cfRule type="containsText" dxfId="75" priority="106" operator="containsText" text="Low">
      <formula>NOT(ISERROR(SEARCH(("Low"),(AK10))))</formula>
    </cfRule>
    <cfRule type="containsText" dxfId="74" priority="107" operator="containsText" text="High">
      <formula>NOT(ISERROR(SEARCH(("High"),(AK10))))</formula>
    </cfRule>
  </conditionalFormatting>
  <conditionalFormatting sqref="AK11:AK12 AK14:AK15">
    <cfRule type="containsText" dxfId="73" priority="524" operator="containsText" text="Moderate to High">
      <formula>NOT(ISERROR(SEARCH("Moderate to High",AK11)))</formula>
    </cfRule>
    <cfRule type="containsText" dxfId="72" priority="525" operator="containsText" text="Low to Moderate">
      <formula>NOT(ISERROR(SEARCH("Low to Moderate",AK11)))</formula>
    </cfRule>
    <cfRule type="containsText" dxfId="71" priority="526" operator="containsText" text="Moderate">
      <formula>NOT(ISERROR(SEARCH("Moderate",AK11)))</formula>
    </cfRule>
    <cfRule type="containsText" dxfId="70" priority="527" operator="containsText" text="Low">
      <formula>NOT(ISERROR(SEARCH("Low",AK11)))</formula>
    </cfRule>
    <cfRule type="containsText" dxfId="69" priority="528" operator="containsText" text="High">
      <formula>NOT(ISERROR(SEARCH("High",AK11)))</formula>
    </cfRule>
    <cfRule type="iconSet" priority="536">
      <iconSet iconSet="4TrafficLights">
        <cfvo type="percent" val="0"/>
        <cfvo type="percent" val="25"/>
        <cfvo type="percent" val="50"/>
        <cfvo type="percent" val="75"/>
      </iconSet>
    </cfRule>
  </conditionalFormatting>
  <conditionalFormatting sqref="AK11:AK23 BM10:BP23">
    <cfRule type="containsText" dxfId="68" priority="98" operator="containsText" text="Moderate to High">
      <formula>NOT(ISERROR(SEARCH(("Moderate to High"),(AK10))))</formula>
    </cfRule>
  </conditionalFormatting>
  <conditionalFormatting sqref="AK21:AK23">
    <cfRule type="containsText" dxfId="67" priority="13" operator="containsText" text="Moderate to High">
      <formula>NOT(ISERROR(SEARCH("Moderate to High",AK21)))</formula>
    </cfRule>
    <cfRule type="containsText" dxfId="66" priority="14" operator="containsText" text="Low to Moderate">
      <formula>NOT(ISERROR(SEARCH("Low to Moderate",AK21)))</formula>
    </cfRule>
    <cfRule type="containsText" dxfId="65" priority="15" operator="containsText" text="Moderate">
      <formula>NOT(ISERROR(SEARCH("Moderate",AK21)))</formula>
    </cfRule>
    <cfRule type="containsText" dxfId="64" priority="16" operator="containsText" text="Low">
      <formula>NOT(ISERROR(SEARCH("Low",AK21)))</formula>
    </cfRule>
    <cfRule type="containsText" dxfId="63" priority="17" operator="containsText" text="High">
      <formula>NOT(ISERROR(SEARCH("High",AK21)))</formula>
    </cfRule>
    <cfRule type="iconSet" priority="18">
      <iconSet iconSet="4TrafficLights">
        <cfvo type="percent" val="0"/>
        <cfvo type="percent" val="25"/>
        <cfvo type="percent" val="50"/>
        <cfvo type="percent" val="75"/>
      </iconSet>
    </cfRule>
  </conditionalFormatting>
  <conditionalFormatting sqref="AO10:AO12 AW10:AW13 BE11:BH15 AO16:AO18 BE16:BE18 AO19:AR20 AY19:AZ20 BE19:BH23 AO21:AO23 AW21:AW23 AO13:AR15">
    <cfRule type="expression" dxfId="62" priority="24">
      <formula>$S10="kualitatif"</formula>
    </cfRule>
  </conditionalFormatting>
  <conditionalFormatting sqref="BE10">
    <cfRule type="expression" dxfId="61" priority="87">
      <formula>$S10="kualitatif"</formula>
    </cfRule>
  </conditionalFormatting>
  <conditionalFormatting sqref="BM10:BP23 AK11:AK23">
    <cfRule type="containsText" dxfId="60" priority="99" operator="containsText" text="Low to Moderate">
      <formula>NOT(ISERROR(SEARCH(("Low to Moderate"),(AK10))))</formula>
    </cfRule>
    <cfRule type="containsText" dxfId="59" priority="100" operator="containsText" text="Moderate">
      <formula>NOT(ISERROR(SEARCH(("Moderate"),(AK10))))</formula>
    </cfRule>
    <cfRule type="containsText" dxfId="58" priority="101" operator="containsText" text="Low">
      <formula>NOT(ISERROR(SEARCH(("Low"),(AK10))))</formula>
    </cfRule>
    <cfRule type="containsText" dxfId="57" priority="102" operator="containsText" text="High">
      <formula>NOT(ISERROR(SEARCH(("High"),(AK10))))</formula>
    </cfRule>
  </conditionalFormatting>
  <conditionalFormatting sqref="CK4:CK6">
    <cfRule type="cellIs" dxfId="56" priority="74" operator="equal">
      <formula>1</formula>
    </cfRule>
  </conditionalFormatting>
  <conditionalFormatting sqref="CK10:CV23">
    <cfRule type="cellIs" dxfId="55" priority="6" operator="equal">
      <formula>1</formula>
    </cfRule>
  </conditionalFormatting>
  <conditionalFormatting sqref="AD15">
    <cfRule type="colorScale" priority="3">
      <colorScale>
        <cfvo type="min"/>
        <cfvo type="max"/>
        <color rgb="FFFF7128"/>
        <color rgb="FFFFEF9C"/>
      </colorScale>
    </cfRule>
    <cfRule type="colorScale" priority="4">
      <colorScale>
        <cfvo type="min"/>
        <cfvo type="percentile" val="50"/>
        <cfvo type="max"/>
        <color rgb="FFF8696B"/>
        <color rgb="FFFFEB84"/>
        <color rgb="FF63BE7B"/>
      </colorScale>
    </cfRule>
  </conditionalFormatting>
  <conditionalFormatting sqref="AD14">
    <cfRule type="colorScale" priority="1">
      <colorScale>
        <cfvo type="min"/>
        <cfvo type="max"/>
        <color rgb="FFFF7128"/>
        <color rgb="FFFFEF9C"/>
      </colorScale>
    </cfRule>
    <cfRule type="colorScale" priority="2">
      <colorScale>
        <cfvo type="min"/>
        <cfvo type="percentile" val="50"/>
        <cfvo type="max"/>
        <color rgb="FFF8696B"/>
        <color rgb="FFFFEB84"/>
        <color rgb="FF63BE7B"/>
      </colorScale>
    </cfRule>
  </conditionalFormatting>
  <dataValidations count="2">
    <dataValidation type="list" allowBlank="1" showInputMessage="1" showErrorMessage="1" sqref="BA10:BD23 AF10:AF23 AH10:AH23 AS10:AV23" xr:uid="{79408BC8-A835-43B4-9664-A0CC0D3295A4}">
      <formula1>"1,2,3,4,5"</formula1>
    </dataValidation>
    <dataValidation type="list" allowBlank="1" showInputMessage="1" showErrorMessage="1" sqref="CB10:CB23" xr:uid="{E5D7312D-164A-4217-810F-72D31015EE68}">
      <formula1>IF(AK10="low",Low,IF(AK10="low to moderate",Low_To_Moderate,IF(AK10="moderate",Moderate,IF(AK10="moderate to high",Moderate_To_High,IF(AK10="high",High)))))</formula1>
    </dataValidation>
  </dataValidations>
  <hyperlinks>
    <hyperlink ref="A3" location="'Daftar Isi'!A1" display="Kembali ke Daftar Isi" xr:uid="{DCD70957-F2C7-453A-B384-1447F4141852}"/>
  </hyperlink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1">
        <x14:dataValidation type="list" allowBlank="1" showInputMessage="1" showErrorMessage="1" xr:uid="{F37AAD6C-63F4-41F2-9739-1BD5F3FCDC4F}">
          <x14:formula1>
            <xm:f>Source!$X$63:$X$64</xm:f>
          </x14:formula1>
          <xm:sqref>CG10 CG13 CG18:CG20</xm:sqref>
        </x14:dataValidation>
        <x14:dataValidation type="list" allowBlank="1" showInputMessage="1" showErrorMessage="1" xr:uid="{2E8B9085-62AA-46DB-B51C-AB7F7E50B5C0}">
          <x14:formula1>
            <xm:f>Source!$V$33:$V$48</xm:f>
          </x14:formula1>
          <xm:sqref>E10 E12:E23</xm:sqref>
        </x14:dataValidation>
        <x14:dataValidation type="list" allowBlank="1" showInputMessage="1" showErrorMessage="1" xr:uid="{14D3AF8C-42AA-47FB-A204-55CB118BBEE1}">
          <x14:formula1>
            <xm:f>Source!$V$83:$V$103</xm:f>
          </x14:formula1>
          <xm:sqref>K10 K12:K23</xm:sqref>
        </x14:dataValidation>
        <x14:dataValidation type="list" allowBlank="1" showInputMessage="1" showErrorMessage="1" xr:uid="{F9FD878F-4A06-45B8-887D-31F49E4BE674}">
          <x14:formula1>
            <xm:f>Source!$D$225:$D$240</xm:f>
          </x14:formula1>
          <xm:sqref>J10 J12:J23</xm:sqref>
        </x14:dataValidation>
        <x14:dataValidation type="list" allowBlank="1" showInputMessage="1" showErrorMessage="1" xr:uid="{9A89367A-7C7F-44D1-84AB-280AB2939B2B}">
          <x14:formula1>
            <xm:f>Source!$M$33:$M$34</xm:f>
          </x14:formula1>
          <xm:sqref>Z10:Z23</xm:sqref>
        </x14:dataValidation>
        <x14:dataValidation type="list" allowBlank="1" showInputMessage="1" showErrorMessage="1" xr:uid="{26DF758D-3972-4208-92C2-535BC2BDD6D8}">
          <x14:formula1>
            <xm:f>Source!$V$63:$V$73</xm:f>
          </x14:formula1>
          <xm:sqref>CI10:CI23</xm:sqref>
        </x14:dataValidation>
        <x14:dataValidation type="list" allowBlank="1" showInputMessage="1" showErrorMessage="1" xr:uid="{F6AF9380-AFBF-466E-B5AE-3645AB346040}">
          <x14:formula1>
            <xm:f>Source!$V$54:$V$57</xm:f>
          </x14:formula1>
          <xm:sqref>CC10:CC23</xm:sqref>
        </x14:dataValidation>
        <x14:dataValidation type="list" allowBlank="1" showInputMessage="1" showErrorMessage="1" xr:uid="{188A299B-73E2-412E-8766-45E8A5224EB4}">
          <x14:formula1>
            <xm:f>Source!$V$77:$V$81</xm:f>
          </x14:formula1>
          <xm:sqref>Y10:Y23</xm:sqref>
        </x14:dataValidation>
        <x14:dataValidation type="list" allowBlank="1" showInputMessage="1" showErrorMessage="1" xr:uid="{F87D58A1-4BEA-4516-884A-C2870916DE6C}">
          <x14:formula1>
            <xm:f>Source!$X$77:$X$81</xm:f>
          </x14:formula1>
          <xm:sqref>I10:I22</xm:sqref>
        </x14:dataValidation>
        <x14:dataValidation type="list" allowBlank="1" showInputMessage="1" showErrorMessage="1" xr:uid="{F7CFD8E3-A27F-43E8-9F9B-69B5B9E86EA9}">
          <x14:formula1>
            <xm:f>Source!$AA$61:$AA$66</xm:f>
          </x14:formula1>
          <xm:sqref>W10:W23</xm:sqref>
        </x14:dataValidation>
        <x14:dataValidation type="list" allowBlank="1" showInputMessage="1" showErrorMessage="1" xr:uid="{54597FEC-9338-4D4A-AC4B-5471ED436BAD}">
          <x14:formula1>
            <xm:f>Source!$X$77:$X$82</xm:f>
          </x14:formula1>
          <xm:sqref>I23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D5DD-1478-424D-8539-1FE7709277B1}">
  <sheetPr>
    <tabColor rgb="FFFF0000"/>
  </sheetPr>
  <dimension ref="A2:AA291"/>
  <sheetViews>
    <sheetView showGridLines="0" topLeftCell="A201" zoomScale="55" zoomScaleNormal="55" workbookViewId="0">
      <selection activeCell="L214" sqref="L214"/>
    </sheetView>
  </sheetViews>
  <sheetFormatPr defaultRowHeight="14.25"/>
  <cols>
    <col min="2" max="2" width="15.265625" customWidth="1"/>
    <col min="3" max="3" width="48.796875" customWidth="1"/>
    <col min="4" max="4" width="22.1328125" customWidth="1"/>
    <col min="5" max="5" width="18.265625" customWidth="1"/>
    <col min="6" max="6" width="17.265625" customWidth="1"/>
    <col min="7" max="7" width="20" bestFit="1" customWidth="1"/>
    <col min="8" max="8" width="22.86328125" customWidth="1"/>
    <col min="9" max="9" width="19.86328125" customWidth="1"/>
    <col min="10" max="10" width="23.265625" bestFit="1" customWidth="1"/>
    <col min="11" max="11" width="17.59765625" bestFit="1" customWidth="1"/>
    <col min="12" max="12" width="17.86328125" customWidth="1"/>
    <col min="13" max="13" width="22.265625" bestFit="1" customWidth="1"/>
    <col min="14" max="14" width="23.265625" bestFit="1" customWidth="1"/>
    <col min="15" max="16" width="22.265625" bestFit="1" customWidth="1"/>
    <col min="17" max="17" width="23.1328125" bestFit="1" customWidth="1"/>
    <col min="18" max="19" width="22.1328125" bestFit="1" customWidth="1"/>
    <col min="20" max="20" width="23.1328125" bestFit="1" customWidth="1"/>
    <col min="21" max="21" width="22.1328125" bestFit="1" customWidth="1"/>
    <col min="22" max="22" width="31.59765625" bestFit="1" customWidth="1"/>
    <col min="23" max="23" width="17.3984375" bestFit="1" customWidth="1"/>
    <col min="24" max="24" width="16" bestFit="1" customWidth="1"/>
    <col min="25" max="25" width="18.59765625" bestFit="1" customWidth="1"/>
    <col min="26" max="26" width="18.86328125" bestFit="1" customWidth="1"/>
  </cols>
  <sheetData>
    <row r="2" spans="1:21">
      <c r="A2" s="373"/>
      <c r="B2" s="1479" t="s">
        <v>411</v>
      </c>
      <c r="C2" s="1480"/>
      <c r="D2" s="1480"/>
      <c r="E2" s="1480"/>
      <c r="F2" s="1480"/>
      <c r="G2" s="1480"/>
      <c r="H2" s="1480"/>
      <c r="I2" s="1480"/>
      <c r="J2" s="1480"/>
      <c r="K2" s="1480"/>
      <c r="L2" s="1480"/>
    </row>
    <row r="3" spans="1:21">
      <c r="A3" s="373"/>
      <c r="B3" s="1480"/>
      <c r="C3" s="1480"/>
      <c r="D3" s="1480"/>
      <c r="E3" s="1480"/>
      <c r="F3" s="1480"/>
      <c r="G3" s="1480"/>
      <c r="H3" s="1480"/>
      <c r="I3" s="1480"/>
      <c r="J3" s="1480"/>
      <c r="K3" s="1480"/>
      <c r="L3" s="1480"/>
    </row>
    <row r="4" spans="1:21">
      <c r="A4" s="373"/>
      <c r="B4" s="1480"/>
      <c r="C4" s="1480"/>
      <c r="D4" s="1480"/>
      <c r="E4" s="1480"/>
      <c r="F4" s="1480"/>
      <c r="G4" s="1480"/>
      <c r="H4" s="1480"/>
      <c r="I4" s="1480"/>
      <c r="J4" s="1480"/>
      <c r="K4" s="1480"/>
      <c r="L4" s="1480"/>
    </row>
    <row r="5" spans="1:21">
      <c r="A5" s="373"/>
      <c r="B5" s="1480"/>
      <c r="C5" s="1480"/>
      <c r="D5" s="1480"/>
      <c r="E5" s="1480"/>
      <c r="F5" s="1480"/>
      <c r="G5" s="1480"/>
      <c r="H5" s="1480"/>
      <c r="I5" s="1480"/>
      <c r="J5" s="1480"/>
      <c r="K5" s="1480"/>
      <c r="L5" s="1480"/>
    </row>
    <row r="6" spans="1:21">
      <c r="A6" s="373"/>
      <c r="B6" s="1480"/>
      <c r="C6" s="1480"/>
      <c r="D6" s="1480"/>
      <c r="E6" s="1480"/>
      <c r="F6" s="1480"/>
      <c r="G6" s="1480"/>
      <c r="H6" s="1480"/>
      <c r="I6" s="1480"/>
      <c r="J6" s="1480"/>
      <c r="K6" s="1480"/>
      <c r="L6" s="1480"/>
    </row>
    <row r="7" spans="1:21" ht="14.65" thickBot="1"/>
    <row r="8" spans="1:21" s="1128" customFormat="1">
      <c r="B8" s="1251"/>
      <c r="C8" s="1252"/>
      <c r="D8" s="1252"/>
      <c r="E8" s="1252"/>
      <c r="F8" s="1252"/>
      <c r="G8" s="1252"/>
      <c r="H8" s="1252"/>
      <c r="I8" s="1252"/>
      <c r="J8" s="1252"/>
      <c r="K8" s="1252"/>
      <c r="L8" s="1252"/>
      <c r="M8" s="1252"/>
      <c r="N8" s="1252"/>
      <c r="O8" s="1252"/>
      <c r="P8" s="1252"/>
      <c r="Q8" s="1252"/>
      <c r="R8" s="1252"/>
      <c r="S8" s="1252"/>
      <c r="T8" s="1252"/>
      <c r="U8" s="1253"/>
    </row>
    <row r="9" spans="1:21" s="1128" customFormat="1" ht="18">
      <c r="B9" s="1254">
        <v>1</v>
      </c>
      <c r="C9" s="1255" t="s">
        <v>3224</v>
      </c>
      <c r="D9" s="1256"/>
      <c r="E9" s="1257"/>
      <c r="F9" s="1258"/>
      <c r="G9" s="1258"/>
      <c r="H9" s="1258"/>
      <c r="I9" s="1258"/>
      <c r="J9" s="1258"/>
      <c r="K9" s="1258"/>
      <c r="L9" s="1258"/>
      <c r="M9" s="1258"/>
      <c r="N9" s="1258"/>
      <c r="O9" s="1258"/>
      <c r="P9" s="1258"/>
      <c r="Q9" s="1258"/>
      <c r="R9" s="1258"/>
      <c r="S9" s="1258"/>
      <c r="T9" s="1258"/>
      <c r="U9" s="1259"/>
    </row>
    <row r="10" spans="1:21" s="1128" customFormat="1" ht="21">
      <c r="B10" s="1260"/>
      <c r="C10" s="1261" t="s">
        <v>413</v>
      </c>
      <c r="D10" s="1262"/>
      <c r="E10" s="1262"/>
      <c r="F10" s="1262"/>
      <c r="G10" s="1262"/>
      <c r="H10" s="1262"/>
      <c r="I10" s="1262"/>
      <c r="J10" s="1262"/>
      <c r="K10" s="1262"/>
      <c r="L10" s="1262"/>
      <c r="M10" s="1262"/>
      <c r="U10" s="1263"/>
    </row>
    <row r="11" spans="1:21" s="1128" customFormat="1" ht="21">
      <c r="B11" s="1260"/>
      <c r="C11" s="1117" t="s">
        <v>414</v>
      </c>
      <c r="D11" s="1481" t="s">
        <v>415</v>
      </c>
      <c r="E11" s="1482"/>
      <c r="F11" s="1117" t="s">
        <v>416</v>
      </c>
      <c r="G11" s="1117" t="s">
        <v>417</v>
      </c>
      <c r="H11" s="1264"/>
      <c r="I11" s="1264"/>
      <c r="J11" s="1264"/>
      <c r="K11" s="1262"/>
      <c r="L11" s="1262"/>
      <c r="M11" s="1258"/>
      <c r="N11" s="1258"/>
      <c r="O11" s="1258"/>
      <c r="P11" s="1258"/>
      <c r="Q11" s="1258"/>
      <c r="R11" s="1258"/>
      <c r="S11" s="1258"/>
      <c r="T11" s="1258"/>
      <c r="U11" s="1259"/>
    </row>
    <row r="12" spans="1:21" s="1128" customFormat="1">
      <c r="B12" s="1265"/>
      <c r="C12" s="106" t="s">
        <v>418</v>
      </c>
      <c r="D12" s="1117">
        <f>D26-Z34</f>
        <v>40.599999999999994</v>
      </c>
      <c r="E12" s="1117" t="s">
        <v>419</v>
      </c>
      <c r="F12" s="1119" t="s">
        <v>420</v>
      </c>
      <c r="G12" s="1119" t="s">
        <v>421</v>
      </c>
      <c r="H12" s="1266"/>
      <c r="I12" s="1264"/>
      <c r="J12" s="1267"/>
      <c r="K12" s="1258"/>
      <c r="M12" s="1258"/>
      <c r="N12" s="1258"/>
      <c r="O12" s="1258"/>
      <c r="P12" s="1258"/>
      <c r="Q12" s="1258"/>
      <c r="R12" s="1258"/>
      <c r="S12" s="1258"/>
      <c r="T12" s="1258"/>
      <c r="U12" s="1259"/>
    </row>
    <row r="13" spans="1:21" s="1128" customFormat="1">
      <c r="B13" s="1265"/>
      <c r="C13" s="106" t="s">
        <v>422</v>
      </c>
      <c r="D13" s="1117">
        <f>D27</f>
        <v>15</v>
      </c>
      <c r="E13" s="1117" t="s">
        <v>419</v>
      </c>
      <c r="F13" s="1119" t="s">
        <v>420</v>
      </c>
      <c r="G13" s="1119" t="s">
        <v>421</v>
      </c>
      <c r="H13" s="1268"/>
      <c r="I13" s="1267"/>
      <c r="J13" s="1268"/>
      <c r="K13" s="1258"/>
      <c r="M13" s="1258"/>
      <c r="N13" s="1258"/>
      <c r="O13" s="1258"/>
      <c r="P13" s="1258"/>
      <c r="Q13" s="1258"/>
      <c r="R13" s="1258"/>
      <c r="S13" s="1258"/>
      <c r="T13" s="1258"/>
      <c r="U13" s="1259"/>
    </row>
    <row r="14" spans="1:21" s="1128" customFormat="1">
      <c r="B14" s="1265"/>
      <c r="C14" s="106" t="s">
        <v>423</v>
      </c>
      <c r="D14" s="1117">
        <f>F28</f>
        <v>16</v>
      </c>
      <c r="E14" s="1117" t="s">
        <v>419</v>
      </c>
      <c r="F14" s="1119" t="s">
        <v>420</v>
      </c>
      <c r="G14" s="1119" t="s">
        <v>424</v>
      </c>
      <c r="H14" s="1269"/>
      <c r="J14" s="1269"/>
      <c r="K14" s="1258"/>
      <c r="M14" s="1258"/>
      <c r="N14" s="1258"/>
      <c r="O14" s="1258"/>
      <c r="P14" s="1258"/>
      <c r="Q14" s="1258"/>
      <c r="R14" s="1258"/>
      <c r="S14" s="1258"/>
      <c r="T14" s="1258"/>
      <c r="U14" s="1259"/>
    </row>
    <row r="15" spans="1:21" s="1128" customFormat="1">
      <c r="B15" s="1265"/>
      <c r="C15" s="106" t="s">
        <v>425</v>
      </c>
      <c r="D15" s="1117">
        <f>F29</f>
        <v>8.5</v>
      </c>
      <c r="E15" s="1117" t="s">
        <v>419</v>
      </c>
      <c r="F15" s="1119" t="s">
        <v>420</v>
      </c>
      <c r="G15" s="1119" t="s">
        <v>424</v>
      </c>
      <c r="H15" s="1269"/>
      <c r="J15" s="1269"/>
      <c r="K15" s="1258"/>
      <c r="M15" s="1258"/>
      <c r="N15" s="1258"/>
      <c r="O15" s="1258"/>
      <c r="P15" s="1258"/>
      <c r="Q15" s="1258"/>
      <c r="R15" s="1258"/>
      <c r="S15" s="1258"/>
      <c r="T15" s="1258"/>
      <c r="U15" s="1259"/>
    </row>
    <row r="16" spans="1:21" s="1128" customFormat="1">
      <c r="B16" s="1265"/>
      <c r="C16" s="106" t="s">
        <v>426</v>
      </c>
      <c r="D16" s="1117">
        <f>D30</f>
        <v>12</v>
      </c>
      <c r="E16" s="1117" t="s">
        <v>419</v>
      </c>
      <c r="F16" s="1119" t="s">
        <v>420</v>
      </c>
      <c r="G16" s="1119" t="s">
        <v>421</v>
      </c>
      <c r="H16" s="1269"/>
      <c r="J16" s="1269"/>
      <c r="K16" s="1258"/>
      <c r="M16" s="1258"/>
      <c r="N16" s="1258"/>
      <c r="O16" s="1258"/>
      <c r="P16" s="1258"/>
      <c r="Q16" s="1258"/>
      <c r="R16" s="1258"/>
      <c r="S16" s="1258"/>
      <c r="T16" s="1258"/>
      <c r="U16" s="1259"/>
    </row>
    <row r="17" spans="2:26" s="1128" customFormat="1">
      <c r="B17" s="1265"/>
      <c r="C17" s="1118" t="s">
        <v>427</v>
      </c>
      <c r="D17" s="1117">
        <v>200</v>
      </c>
      <c r="E17" s="1117" t="s">
        <v>428</v>
      </c>
      <c r="K17" s="1258"/>
      <c r="M17" s="1258"/>
      <c r="N17" s="1258"/>
      <c r="O17" s="1258"/>
      <c r="P17" s="1258"/>
      <c r="Q17" s="1258"/>
      <c r="R17" s="1258"/>
      <c r="S17" s="1258"/>
      <c r="T17" s="1258"/>
      <c r="U17" s="1259"/>
    </row>
    <row r="18" spans="2:26" s="1128" customFormat="1">
      <c r="B18" s="1265"/>
      <c r="C18" s="1118" t="s">
        <v>429</v>
      </c>
      <c r="D18" s="1117">
        <v>200</v>
      </c>
      <c r="E18" s="1117" t="s">
        <v>428</v>
      </c>
      <c r="K18" s="1258"/>
      <c r="M18" s="1258"/>
      <c r="N18" s="1258"/>
      <c r="O18" s="1258"/>
      <c r="P18" s="1258"/>
      <c r="Q18" s="1258"/>
      <c r="R18" s="1258"/>
      <c r="S18" s="1258"/>
      <c r="T18" s="1258"/>
      <c r="U18" s="1259"/>
    </row>
    <row r="19" spans="2:26" s="1128" customFormat="1">
      <c r="B19" s="1265"/>
      <c r="C19" s="1118" t="s">
        <v>430</v>
      </c>
      <c r="D19" s="1117">
        <v>200</v>
      </c>
      <c r="E19" s="1117" t="s">
        <v>428</v>
      </c>
      <c r="K19" s="1258"/>
      <c r="M19" s="1258"/>
      <c r="N19" s="1258"/>
      <c r="O19" s="1258"/>
      <c r="P19" s="1258"/>
      <c r="Q19" s="1258"/>
      <c r="R19" s="1258"/>
      <c r="S19" s="1258"/>
      <c r="T19" s="1258"/>
      <c r="U19" s="1259"/>
    </row>
    <row r="20" spans="2:26" s="1128" customFormat="1">
      <c r="B20" s="1265"/>
      <c r="C20" s="1118" t="s">
        <v>431</v>
      </c>
      <c r="D20" s="1121">
        <v>1800</v>
      </c>
      <c r="E20" s="1117" t="s">
        <v>432</v>
      </c>
      <c r="K20" s="1258"/>
      <c r="M20" s="1258"/>
      <c r="N20" s="1258"/>
      <c r="O20" s="1258"/>
      <c r="P20" s="1258"/>
      <c r="Q20" s="1258"/>
      <c r="R20" s="1258"/>
      <c r="S20" s="1258"/>
      <c r="T20" s="1258"/>
      <c r="U20" s="1259"/>
    </row>
    <row r="21" spans="2:26" s="1128" customFormat="1">
      <c r="B21" s="1265"/>
      <c r="C21" s="1118" t="s">
        <v>433</v>
      </c>
      <c r="D21" s="1121">
        <v>1650</v>
      </c>
      <c r="E21" s="1117" t="s">
        <v>432</v>
      </c>
      <c r="K21" s="1258"/>
      <c r="U21" s="1263"/>
    </row>
    <row r="22" spans="2:26" s="1128" customFormat="1">
      <c r="B22" s="1265"/>
      <c r="C22" s="1118" t="s">
        <v>434</v>
      </c>
      <c r="D22" s="1121">
        <v>1500</v>
      </c>
      <c r="E22" s="1117" t="s">
        <v>432</v>
      </c>
      <c r="K22" s="1258"/>
      <c r="M22" s="1258"/>
      <c r="N22" s="1258"/>
      <c r="O22" s="1258"/>
      <c r="P22" s="1258"/>
      <c r="Q22" s="1258"/>
      <c r="R22" s="1258"/>
      <c r="S22" s="1258"/>
      <c r="T22" s="1258"/>
      <c r="U22" s="1259"/>
    </row>
    <row r="23" spans="2:26" s="1128" customFormat="1">
      <c r="B23" s="1265"/>
      <c r="D23" s="1266"/>
      <c r="E23" s="1264"/>
      <c r="K23" s="1258"/>
      <c r="U23" s="1263"/>
    </row>
    <row r="24" spans="2:26" s="1128" customFormat="1">
      <c r="B24" s="1265"/>
      <c r="C24" s="1128" t="s">
        <v>435</v>
      </c>
      <c r="D24" s="1266"/>
      <c r="E24" s="1264"/>
      <c r="K24" s="1258"/>
      <c r="U24" s="1263"/>
    </row>
    <row r="25" spans="2:26" s="1128" customFormat="1">
      <c r="B25" s="1265"/>
      <c r="C25" s="1409" t="s">
        <v>436</v>
      </c>
      <c r="D25" s="1409" t="s">
        <v>437</v>
      </c>
      <c r="E25" s="1409" t="s">
        <v>438</v>
      </c>
      <c r="F25" s="1409" t="s">
        <v>439</v>
      </c>
      <c r="G25" s="1409" t="s">
        <v>440</v>
      </c>
      <c r="H25" s="1409" t="s">
        <v>441</v>
      </c>
      <c r="I25" s="1409" t="s">
        <v>442</v>
      </c>
      <c r="J25" s="1409" t="s">
        <v>443</v>
      </c>
      <c r="K25" s="1409" t="s">
        <v>444</v>
      </c>
      <c r="L25" s="1409" t="s">
        <v>445</v>
      </c>
      <c r="M25" s="1409" t="s">
        <v>446</v>
      </c>
      <c r="N25" s="1409" t="s">
        <v>447</v>
      </c>
      <c r="O25" s="1409" t="s">
        <v>448</v>
      </c>
      <c r="U25" s="1263"/>
    </row>
    <row r="26" spans="2:26" s="1128" customFormat="1">
      <c r="B26" s="1265"/>
      <c r="C26" s="106" t="s">
        <v>418</v>
      </c>
      <c r="D26" s="1410">
        <v>173.2</v>
      </c>
      <c r="E26" s="1410">
        <v>173.2</v>
      </c>
      <c r="F26" s="1410">
        <v>173.2</v>
      </c>
      <c r="G26" s="1410">
        <v>245.2</v>
      </c>
      <c r="H26" s="1410">
        <v>263.2</v>
      </c>
      <c r="I26" s="1410">
        <v>263.2</v>
      </c>
      <c r="J26" s="1410">
        <v>263.2</v>
      </c>
      <c r="K26" s="1410">
        <v>280.2</v>
      </c>
      <c r="L26" s="1410">
        <v>280.2</v>
      </c>
      <c r="M26" s="1410">
        <v>280.2</v>
      </c>
      <c r="N26" s="1410">
        <v>280.2</v>
      </c>
      <c r="O26" s="1410">
        <v>280.2</v>
      </c>
      <c r="U26" s="1263"/>
    </row>
    <row r="27" spans="2:26" s="1128" customFormat="1">
      <c r="B27" s="1265"/>
      <c r="C27" s="106" t="s">
        <v>422</v>
      </c>
      <c r="D27" s="1410">
        <v>15</v>
      </c>
      <c r="E27" s="1410">
        <v>15</v>
      </c>
      <c r="F27" s="1410">
        <v>15</v>
      </c>
      <c r="G27" s="1410">
        <v>15</v>
      </c>
      <c r="H27" s="1410">
        <v>15</v>
      </c>
      <c r="I27" s="1410">
        <v>15</v>
      </c>
      <c r="J27" s="1410">
        <v>15</v>
      </c>
      <c r="K27" s="1410">
        <v>15</v>
      </c>
      <c r="L27" s="1410">
        <v>30</v>
      </c>
      <c r="M27" s="1410">
        <v>30</v>
      </c>
      <c r="N27" s="1410">
        <v>30</v>
      </c>
      <c r="O27" s="1410">
        <v>30</v>
      </c>
      <c r="U27" s="1263"/>
    </row>
    <row r="28" spans="2:26" s="1128" customFormat="1">
      <c r="B28" s="1265"/>
      <c r="C28" s="106" t="s">
        <v>423</v>
      </c>
      <c r="D28" s="106"/>
      <c r="E28" s="106"/>
      <c r="F28" s="1410">
        <v>16</v>
      </c>
      <c r="G28" s="1410">
        <v>16</v>
      </c>
      <c r="H28" s="1410">
        <v>16</v>
      </c>
      <c r="I28" s="1410">
        <v>16</v>
      </c>
      <c r="J28" s="1410">
        <v>16</v>
      </c>
      <c r="K28" s="1410">
        <v>16</v>
      </c>
      <c r="L28" s="1410">
        <v>16</v>
      </c>
      <c r="M28" s="1410">
        <v>16</v>
      </c>
      <c r="N28" s="1410">
        <v>16</v>
      </c>
      <c r="O28" s="1410">
        <v>16</v>
      </c>
      <c r="U28" s="1263"/>
    </row>
    <row r="29" spans="2:26" s="1128" customFormat="1">
      <c r="B29" s="1265"/>
      <c r="C29" s="106" t="s">
        <v>425</v>
      </c>
      <c r="D29" s="106"/>
      <c r="E29" s="106"/>
      <c r="F29" s="1410">
        <v>8.5</v>
      </c>
      <c r="G29" s="1410">
        <v>8.5</v>
      </c>
      <c r="H29" s="1410">
        <v>8.5</v>
      </c>
      <c r="I29" s="1410">
        <v>8.5</v>
      </c>
      <c r="J29" s="1410">
        <v>8.5</v>
      </c>
      <c r="K29" s="1410">
        <v>8.5</v>
      </c>
      <c r="L29" s="1410">
        <v>8.5</v>
      </c>
      <c r="M29" s="1410">
        <v>8.5</v>
      </c>
      <c r="N29" s="1410">
        <v>8.5</v>
      </c>
      <c r="O29" s="1410">
        <v>8.5</v>
      </c>
      <c r="U29" s="1263"/>
    </row>
    <row r="30" spans="2:26" s="1128" customFormat="1">
      <c r="B30" s="1265"/>
      <c r="C30" s="106" t="s">
        <v>426</v>
      </c>
      <c r="D30" s="106">
        <v>12</v>
      </c>
      <c r="E30" s="106">
        <v>12</v>
      </c>
      <c r="F30" s="1410">
        <v>12</v>
      </c>
      <c r="G30" s="1410">
        <v>12</v>
      </c>
      <c r="H30" s="1410">
        <v>12</v>
      </c>
      <c r="I30" s="1410">
        <v>12</v>
      </c>
      <c r="J30" s="1410">
        <v>12</v>
      </c>
      <c r="K30" s="1410">
        <v>12</v>
      </c>
      <c r="L30" s="1410">
        <v>12</v>
      </c>
      <c r="M30" s="1410">
        <v>12</v>
      </c>
      <c r="N30" s="1410">
        <v>12</v>
      </c>
      <c r="O30" s="1410">
        <v>12</v>
      </c>
      <c r="U30" s="1263"/>
    </row>
    <row r="31" spans="2:26" s="1128" customFormat="1">
      <c r="B31" s="1260"/>
      <c r="C31" s="1258"/>
      <c r="D31" s="1258"/>
      <c r="E31" s="1258"/>
      <c r="F31" s="1258"/>
      <c r="G31" s="1258"/>
      <c r="H31" s="1258"/>
      <c r="I31" s="1258"/>
      <c r="J31" s="1258"/>
      <c r="K31" s="1258"/>
      <c r="L31" s="1258"/>
      <c r="M31" s="1258"/>
      <c r="N31" s="1258"/>
      <c r="O31" s="1258"/>
      <c r="P31" s="1258"/>
      <c r="Q31" s="1258"/>
      <c r="R31" s="1258"/>
      <c r="S31" s="1258"/>
      <c r="T31" s="1258"/>
      <c r="U31" s="1259"/>
    </row>
    <row r="32" spans="2:26" s="1128" customFormat="1">
      <c r="B32" s="1260"/>
      <c r="C32" s="1270" t="s">
        <v>449</v>
      </c>
      <c r="D32" s="1258"/>
      <c r="E32" s="1258"/>
      <c r="F32" s="1258"/>
      <c r="G32" s="1258"/>
      <c r="H32" s="1258"/>
      <c r="I32" s="1258"/>
      <c r="J32" s="1258"/>
      <c r="K32" s="1258"/>
      <c r="L32" s="1258"/>
      <c r="M32" s="1258"/>
      <c r="N32" s="1258"/>
      <c r="O32" s="1258"/>
      <c r="P32" s="1258"/>
      <c r="Q32" s="1258"/>
      <c r="R32" s="1258"/>
      <c r="S32" s="1258"/>
      <c r="T32" s="1258"/>
      <c r="U32" s="1259"/>
      <c r="V32" s="1411" t="s">
        <v>450</v>
      </c>
      <c r="W32" s="1411" t="s">
        <v>414</v>
      </c>
      <c r="X32" s="1411" t="s">
        <v>451</v>
      </c>
      <c r="Y32" s="1411" t="s">
        <v>452</v>
      </c>
      <c r="Z32" s="1411">
        <v>2025</v>
      </c>
    </row>
    <row r="33" spans="2:26" s="1128" customFormat="1">
      <c r="B33" s="1260"/>
      <c r="C33" s="1119" t="s">
        <v>414</v>
      </c>
      <c r="D33" s="1122" t="s">
        <v>453</v>
      </c>
      <c r="E33" s="1119" t="s">
        <v>454</v>
      </c>
      <c r="F33" s="1119" t="s">
        <v>455</v>
      </c>
      <c r="G33" s="1119" t="s">
        <v>456</v>
      </c>
      <c r="H33" s="1119" t="s">
        <v>324</v>
      </c>
      <c r="I33" s="1119" t="s">
        <v>457</v>
      </c>
      <c r="J33" s="1119" t="s">
        <v>458</v>
      </c>
      <c r="K33" s="1119" t="s">
        <v>459</v>
      </c>
      <c r="L33" s="1119" t="s">
        <v>460</v>
      </c>
      <c r="M33" s="1119" t="s">
        <v>461</v>
      </c>
      <c r="N33" s="1119" t="s">
        <v>462</v>
      </c>
      <c r="O33" s="1119" t="s">
        <v>463</v>
      </c>
      <c r="P33" s="1188" t="s">
        <v>464</v>
      </c>
      <c r="Q33" s="1189" t="s">
        <v>186</v>
      </c>
      <c r="R33" s="1189" t="s">
        <v>187</v>
      </c>
      <c r="S33" s="1189" t="s">
        <v>188</v>
      </c>
      <c r="T33" s="1189" t="s">
        <v>189</v>
      </c>
      <c r="U33" s="1259"/>
      <c r="V33" s="1411"/>
      <c r="W33" s="1411"/>
      <c r="X33" s="1411"/>
      <c r="Y33" s="1411"/>
      <c r="Z33" s="1411" t="s">
        <v>448</v>
      </c>
    </row>
    <row r="34" spans="2:26" s="1128" customFormat="1">
      <c r="B34" s="1260"/>
      <c r="C34" s="106" t="s">
        <v>418</v>
      </c>
      <c r="D34" s="1120">
        <f>(D26-132.6)*$D$18*$D$21*1000</f>
        <v>13397999999.999998</v>
      </c>
      <c r="E34" s="1120">
        <f t="shared" ref="E34:O34" si="0">(E26-132.6)*$D$18*$D$21*1000</f>
        <v>13397999999.999998</v>
      </c>
      <c r="F34" s="1120">
        <f t="shared" si="0"/>
        <v>13397999999.999998</v>
      </c>
      <c r="G34" s="1120">
        <f t="shared" si="0"/>
        <v>37158000000</v>
      </c>
      <c r="H34" s="1120">
        <f t="shared" si="0"/>
        <v>43098000000</v>
      </c>
      <c r="I34" s="1120">
        <f t="shared" si="0"/>
        <v>43098000000</v>
      </c>
      <c r="J34" s="1120">
        <f t="shared" si="0"/>
        <v>43098000000</v>
      </c>
      <c r="K34" s="1120">
        <f t="shared" si="0"/>
        <v>48708000000</v>
      </c>
      <c r="L34" s="1120">
        <f t="shared" si="0"/>
        <v>48708000000</v>
      </c>
      <c r="M34" s="1120">
        <f t="shared" si="0"/>
        <v>48708000000</v>
      </c>
      <c r="N34" s="1120">
        <f t="shared" si="0"/>
        <v>48708000000</v>
      </c>
      <c r="O34" s="1120">
        <f t="shared" si="0"/>
        <v>48708000000</v>
      </c>
      <c r="P34" s="1190">
        <f>SUM(D34:O34)</f>
        <v>450186000000</v>
      </c>
      <c r="Q34" s="1120">
        <f>SUM(D34:F34)</f>
        <v>40193999999.999992</v>
      </c>
      <c r="R34" s="1120">
        <f>SUM(G34:I34)</f>
        <v>123354000000</v>
      </c>
      <c r="S34" s="1120">
        <f>SUM(J34:L34)</f>
        <v>140514000000</v>
      </c>
      <c r="T34" s="1120">
        <f>SUM(M34:O34)</f>
        <v>146124000000</v>
      </c>
      <c r="U34" s="1259"/>
      <c r="V34" s="1410">
        <v>1</v>
      </c>
      <c r="W34" s="106" t="s">
        <v>418</v>
      </c>
      <c r="X34" s="1410" t="s">
        <v>465</v>
      </c>
      <c r="Y34" s="1410" t="s">
        <v>419</v>
      </c>
      <c r="Z34" s="1410">
        <v>132.6</v>
      </c>
    </row>
    <row r="35" spans="2:26" s="1128" customFormat="1">
      <c r="B35" s="1260" t="s">
        <v>466</v>
      </c>
      <c r="C35" s="106" t="s">
        <v>422</v>
      </c>
      <c r="D35" s="1120">
        <f>D27*$D$17*$D$20*1000</f>
        <v>5400000000</v>
      </c>
      <c r="E35" s="1120">
        <f t="shared" ref="E35:O35" si="1">E27*$D$17*$D$20*1000</f>
        <v>5400000000</v>
      </c>
      <c r="F35" s="1120">
        <f t="shared" si="1"/>
        <v>5400000000</v>
      </c>
      <c r="G35" s="1120">
        <f t="shared" si="1"/>
        <v>5400000000</v>
      </c>
      <c r="H35" s="1120">
        <f t="shared" si="1"/>
        <v>5400000000</v>
      </c>
      <c r="I35" s="1120">
        <f t="shared" si="1"/>
        <v>5400000000</v>
      </c>
      <c r="J35" s="1120">
        <f t="shared" si="1"/>
        <v>5400000000</v>
      </c>
      <c r="K35" s="1120">
        <f t="shared" si="1"/>
        <v>5400000000</v>
      </c>
      <c r="L35" s="1120">
        <f t="shared" si="1"/>
        <v>10800000000</v>
      </c>
      <c r="M35" s="1120">
        <f t="shared" si="1"/>
        <v>10800000000</v>
      </c>
      <c r="N35" s="1120">
        <f t="shared" si="1"/>
        <v>10800000000</v>
      </c>
      <c r="O35" s="1120">
        <f t="shared" si="1"/>
        <v>10800000000</v>
      </c>
      <c r="P35" s="1190">
        <f t="shared" ref="P35:P38" si="2">SUM(D35:O35)</f>
        <v>86400000000</v>
      </c>
      <c r="Q35" s="1120">
        <f t="shared" ref="Q35:Q38" si="3">SUM(D35:F35)</f>
        <v>16200000000</v>
      </c>
      <c r="R35" s="1120">
        <f t="shared" ref="R35:R38" si="4">SUM(G35:I35)</f>
        <v>16200000000</v>
      </c>
      <c r="S35" s="1120">
        <f t="shared" ref="S35:S38" si="5">SUM(J35:L35)</f>
        <v>21600000000</v>
      </c>
      <c r="T35" s="1120">
        <f t="shared" ref="T35:T38" si="6">SUM(M35:O35)</f>
        <v>32400000000</v>
      </c>
      <c r="U35" s="1259"/>
      <c r="V35" s="1410">
        <v>2</v>
      </c>
      <c r="W35" s="106" t="s">
        <v>422</v>
      </c>
      <c r="X35" s="1410" t="s">
        <v>465</v>
      </c>
      <c r="Y35" s="1410" t="s">
        <v>419</v>
      </c>
      <c r="Z35" s="1410">
        <v>0</v>
      </c>
    </row>
    <row r="36" spans="2:26" s="1128" customFormat="1">
      <c r="B36" s="1260" t="s">
        <v>467</v>
      </c>
      <c r="C36" s="106" t="s">
        <v>423</v>
      </c>
      <c r="D36" s="1118"/>
      <c r="E36" s="1118"/>
      <c r="F36" s="1120">
        <f>F28*$D$21*$D$18*1000</f>
        <v>5280000000</v>
      </c>
      <c r="G36" s="1120">
        <f t="shared" ref="G36:O36" si="7">G28*$D$21*$D$18*1000</f>
        <v>5280000000</v>
      </c>
      <c r="H36" s="1120">
        <f t="shared" si="7"/>
        <v>5280000000</v>
      </c>
      <c r="I36" s="1120">
        <f t="shared" si="7"/>
        <v>5280000000</v>
      </c>
      <c r="J36" s="1120">
        <f t="shared" si="7"/>
        <v>5280000000</v>
      </c>
      <c r="K36" s="1120">
        <f t="shared" si="7"/>
        <v>5280000000</v>
      </c>
      <c r="L36" s="1120">
        <f t="shared" si="7"/>
        <v>5280000000</v>
      </c>
      <c r="M36" s="1120">
        <f t="shared" si="7"/>
        <v>5280000000</v>
      </c>
      <c r="N36" s="1120">
        <f t="shared" si="7"/>
        <v>5280000000</v>
      </c>
      <c r="O36" s="1120">
        <f t="shared" si="7"/>
        <v>5280000000</v>
      </c>
      <c r="P36" s="1190">
        <f t="shared" si="2"/>
        <v>52800000000</v>
      </c>
      <c r="Q36" s="1120">
        <f t="shared" si="3"/>
        <v>5280000000</v>
      </c>
      <c r="R36" s="1120">
        <f t="shared" si="4"/>
        <v>15840000000</v>
      </c>
      <c r="S36" s="1120">
        <f t="shared" si="5"/>
        <v>15840000000</v>
      </c>
      <c r="T36" s="1120">
        <f t="shared" si="6"/>
        <v>15840000000</v>
      </c>
      <c r="U36" s="1259"/>
      <c r="V36" s="1410">
        <v>3</v>
      </c>
      <c r="W36" s="106" t="s">
        <v>423</v>
      </c>
      <c r="X36" s="1410" t="s">
        <v>465</v>
      </c>
      <c r="Y36" s="1410" t="s">
        <v>419</v>
      </c>
      <c r="Z36" s="106"/>
    </row>
    <row r="37" spans="2:26" s="1128" customFormat="1">
      <c r="B37" s="1260" t="s">
        <v>467</v>
      </c>
      <c r="C37" s="106" t="s">
        <v>425</v>
      </c>
      <c r="D37" s="1118"/>
      <c r="E37" s="1118"/>
      <c r="F37" s="1120">
        <f>F29*$D$21*$D$18*1000</f>
        <v>2805000000</v>
      </c>
      <c r="G37" s="1120">
        <f t="shared" ref="G37:O37" si="8">G29*$D$21*$D$18*1000</f>
        <v>2805000000</v>
      </c>
      <c r="H37" s="1120">
        <f t="shared" si="8"/>
        <v>2805000000</v>
      </c>
      <c r="I37" s="1120">
        <f t="shared" si="8"/>
        <v>2805000000</v>
      </c>
      <c r="J37" s="1120">
        <f t="shared" si="8"/>
        <v>2805000000</v>
      </c>
      <c r="K37" s="1120">
        <f t="shared" si="8"/>
        <v>2805000000</v>
      </c>
      <c r="L37" s="1120">
        <f t="shared" si="8"/>
        <v>2805000000</v>
      </c>
      <c r="M37" s="1120">
        <f t="shared" si="8"/>
        <v>2805000000</v>
      </c>
      <c r="N37" s="1120">
        <f t="shared" si="8"/>
        <v>2805000000</v>
      </c>
      <c r="O37" s="1120">
        <f t="shared" si="8"/>
        <v>2805000000</v>
      </c>
      <c r="P37" s="1190">
        <f t="shared" si="2"/>
        <v>28050000000</v>
      </c>
      <c r="Q37" s="1120">
        <f t="shared" si="3"/>
        <v>2805000000</v>
      </c>
      <c r="R37" s="1120">
        <f t="shared" si="4"/>
        <v>8415000000</v>
      </c>
      <c r="S37" s="1120">
        <f t="shared" si="5"/>
        <v>8415000000</v>
      </c>
      <c r="T37" s="1120">
        <f t="shared" si="6"/>
        <v>8415000000</v>
      </c>
      <c r="U37" s="1259"/>
      <c r="V37" s="1410">
        <v>4</v>
      </c>
      <c r="W37" s="106" t="s">
        <v>425</v>
      </c>
      <c r="X37" s="1410" t="s">
        <v>468</v>
      </c>
      <c r="Y37" s="1410" t="s">
        <v>419</v>
      </c>
      <c r="Z37" s="106"/>
    </row>
    <row r="38" spans="2:26" s="1128" customFormat="1">
      <c r="B38" s="1260" t="s">
        <v>469</v>
      </c>
      <c r="C38" s="1118" t="s">
        <v>426</v>
      </c>
      <c r="D38" s="1120">
        <f>D30*$D$22*$D$19*1000</f>
        <v>3600000000</v>
      </c>
      <c r="E38" s="1120">
        <f t="shared" ref="E38:O38" si="9">E30*$D$22*$D$19*1000</f>
        <v>3600000000</v>
      </c>
      <c r="F38" s="1120">
        <f t="shared" si="9"/>
        <v>3600000000</v>
      </c>
      <c r="G38" s="1120">
        <f t="shared" si="9"/>
        <v>3600000000</v>
      </c>
      <c r="H38" s="1120">
        <f t="shared" si="9"/>
        <v>3600000000</v>
      </c>
      <c r="I38" s="1120">
        <f t="shared" si="9"/>
        <v>3600000000</v>
      </c>
      <c r="J38" s="1120">
        <f t="shared" si="9"/>
        <v>3600000000</v>
      </c>
      <c r="K38" s="1120">
        <f t="shared" si="9"/>
        <v>3600000000</v>
      </c>
      <c r="L38" s="1120">
        <f t="shared" si="9"/>
        <v>3600000000</v>
      </c>
      <c r="M38" s="1120">
        <f t="shared" si="9"/>
        <v>3600000000</v>
      </c>
      <c r="N38" s="1120">
        <f t="shared" si="9"/>
        <v>3600000000</v>
      </c>
      <c r="O38" s="1120">
        <f t="shared" si="9"/>
        <v>3600000000</v>
      </c>
      <c r="P38" s="1190">
        <f t="shared" si="2"/>
        <v>43200000000</v>
      </c>
      <c r="Q38" s="1120">
        <f t="shared" si="3"/>
        <v>10800000000</v>
      </c>
      <c r="R38" s="1120">
        <f t="shared" si="4"/>
        <v>10800000000</v>
      </c>
      <c r="S38" s="1120">
        <f t="shared" si="5"/>
        <v>10800000000</v>
      </c>
      <c r="T38" s="1120">
        <f t="shared" si="6"/>
        <v>10800000000</v>
      </c>
      <c r="U38" s="1259"/>
      <c r="V38" s="1410">
        <v>5</v>
      </c>
      <c r="W38" s="106" t="s">
        <v>426</v>
      </c>
      <c r="X38" s="1410"/>
      <c r="Y38" s="1410" t="s">
        <v>419</v>
      </c>
      <c r="Z38" s="106"/>
    </row>
    <row r="39" spans="2:26" s="1128" customFormat="1">
      <c r="B39" s="1260"/>
      <c r="C39" s="1118"/>
      <c r="D39" s="1118"/>
      <c r="E39" s="1118"/>
      <c r="F39" s="1120"/>
      <c r="G39" s="1120"/>
      <c r="H39" s="1120"/>
      <c r="I39" s="1120"/>
      <c r="J39" s="1120"/>
      <c r="K39" s="1120"/>
      <c r="L39" s="1120"/>
      <c r="M39" s="1120"/>
      <c r="N39" s="1120"/>
      <c r="O39" s="1120"/>
      <c r="P39" s="1190"/>
      <c r="Q39" s="1120"/>
      <c r="R39" s="1120"/>
      <c r="S39" s="1120"/>
      <c r="T39" s="1120"/>
      <c r="U39" s="1259"/>
    </row>
    <row r="40" spans="2:26" s="1128" customFormat="1">
      <c r="B40" s="1260"/>
      <c r="C40" s="1188" t="s">
        <v>470</v>
      </c>
      <c r="D40" s="1125">
        <f>SUM(D34:D38)</f>
        <v>22398000000</v>
      </c>
      <c r="E40" s="1125">
        <f t="shared" ref="E40:O40" si="10">SUM(E34:E38)</f>
        <v>22398000000</v>
      </c>
      <c r="F40" s="1125">
        <f t="shared" si="10"/>
        <v>30483000000</v>
      </c>
      <c r="G40" s="1125">
        <f t="shared" si="10"/>
        <v>54243000000</v>
      </c>
      <c r="H40" s="1125">
        <f t="shared" si="10"/>
        <v>60183000000</v>
      </c>
      <c r="I40" s="1125">
        <f t="shared" si="10"/>
        <v>60183000000</v>
      </c>
      <c r="J40" s="1125">
        <f t="shared" si="10"/>
        <v>60183000000</v>
      </c>
      <c r="K40" s="1125">
        <f t="shared" si="10"/>
        <v>65793000000</v>
      </c>
      <c r="L40" s="1125">
        <f t="shared" si="10"/>
        <v>71193000000</v>
      </c>
      <c r="M40" s="1125">
        <f t="shared" si="10"/>
        <v>71193000000</v>
      </c>
      <c r="N40" s="1125">
        <f t="shared" si="10"/>
        <v>71193000000</v>
      </c>
      <c r="O40" s="1125">
        <f t="shared" si="10"/>
        <v>71193000000</v>
      </c>
      <c r="P40" s="1126">
        <f>SUM(P34:P39)</f>
        <v>660636000000</v>
      </c>
      <c r="Q40" s="1126">
        <f>SUM(Q34:Q39)</f>
        <v>75279000000</v>
      </c>
      <c r="R40" s="1126">
        <f t="shared" ref="R40" si="11">SUM(R34:R39)</f>
        <v>174609000000</v>
      </c>
      <c r="S40" s="1126">
        <f t="shared" ref="S40" si="12">SUM(S34:S39)</f>
        <v>197169000000</v>
      </c>
      <c r="T40" s="1126">
        <f t="shared" ref="T40" si="13">SUM(T34:T39)</f>
        <v>213579000000</v>
      </c>
      <c r="U40" s="1259"/>
    </row>
    <row r="41" spans="2:26" s="1128" customFormat="1">
      <c r="B41" s="1260"/>
      <c r="C41" s="1188" t="s">
        <v>471</v>
      </c>
      <c r="D41" s="1125">
        <f>D40</f>
        <v>22398000000</v>
      </c>
      <c r="E41" s="1125">
        <f>D41+E40</f>
        <v>44796000000</v>
      </c>
      <c r="F41" s="1125">
        <f t="shared" ref="F41" si="14">E41+F40</f>
        <v>75279000000</v>
      </c>
      <c r="G41" s="1125">
        <f t="shared" ref="G41" si="15">F41+G40</f>
        <v>129522000000</v>
      </c>
      <c r="H41" s="1125">
        <f t="shared" ref="H41" si="16">G41+H40</f>
        <v>189705000000</v>
      </c>
      <c r="I41" s="1125">
        <f t="shared" ref="I41" si="17">H41+I40</f>
        <v>249888000000</v>
      </c>
      <c r="J41" s="1125">
        <f t="shared" ref="J41" si="18">I41+J40</f>
        <v>310071000000</v>
      </c>
      <c r="K41" s="1125">
        <f t="shared" ref="K41" si="19">J41+K40</f>
        <v>375864000000</v>
      </c>
      <c r="L41" s="1125">
        <f t="shared" ref="L41" si="20">K41+L40</f>
        <v>447057000000</v>
      </c>
      <c r="M41" s="1125">
        <f t="shared" ref="M41" si="21">L41+M40</f>
        <v>518250000000</v>
      </c>
      <c r="N41" s="1125">
        <f t="shared" ref="N41" si="22">M41+N40</f>
        <v>589443000000</v>
      </c>
      <c r="O41" s="1125">
        <f>N41+O40</f>
        <v>660636000000</v>
      </c>
      <c r="P41" s="1191"/>
      <c r="Q41" s="1125">
        <f>Q40</f>
        <v>75279000000</v>
      </c>
      <c r="R41" s="1125">
        <f t="shared" ref="R41" si="23">Q41+R40</f>
        <v>249888000000</v>
      </c>
      <c r="S41" s="1125">
        <f t="shared" ref="S41" si="24">R41+S40</f>
        <v>447057000000</v>
      </c>
      <c r="T41" s="1125">
        <f>S41+T40</f>
        <v>660636000000</v>
      </c>
      <c r="U41" s="1259"/>
    </row>
    <row r="42" spans="2:26" s="1128" customFormat="1">
      <c r="B42" s="1260"/>
      <c r="C42" s="1258"/>
      <c r="F42" s="1269"/>
      <c r="G42" s="1269"/>
      <c r="I42" s="1269"/>
      <c r="L42" s="1269"/>
      <c r="O42" s="1269"/>
      <c r="P42" s="1258"/>
      <c r="Q42" s="1271">
        <f>T41</f>
        <v>660636000000</v>
      </c>
      <c r="R42" s="1271">
        <f>$Q$42-Q41</f>
        <v>585357000000</v>
      </c>
      <c r="S42" s="1271">
        <f t="shared" ref="S42:T42" si="25">$Q$42-R41</f>
        <v>410748000000</v>
      </c>
      <c r="T42" s="1271">
        <f t="shared" si="25"/>
        <v>213579000000</v>
      </c>
      <c r="U42" s="1259"/>
    </row>
    <row r="43" spans="2:26" s="1128" customFormat="1">
      <c r="B43" s="1265"/>
      <c r="U43" s="1263"/>
    </row>
    <row r="44" spans="2:26" s="1128" customFormat="1">
      <c r="B44" s="1265"/>
      <c r="C44" s="1117" t="s">
        <v>414</v>
      </c>
      <c r="D44" s="1481" t="s">
        <v>415</v>
      </c>
      <c r="E44" s="1482"/>
      <c r="F44" s="1117" t="s">
        <v>416</v>
      </c>
      <c r="G44" s="1117" t="s">
        <v>472</v>
      </c>
      <c r="H44" s="1117" t="s">
        <v>473</v>
      </c>
      <c r="I44" s="1117" t="s">
        <v>474</v>
      </c>
      <c r="J44" s="1272"/>
      <c r="K44" s="1273"/>
      <c r="L44" s="1273"/>
      <c r="M44" s="1274"/>
      <c r="N44" s="1274"/>
      <c r="U44" s="1263"/>
    </row>
    <row r="45" spans="2:26" s="1128" customFormat="1">
      <c r="B45" s="1265"/>
      <c r="C45" s="1118" t="s">
        <v>475</v>
      </c>
      <c r="D45" s="1117">
        <v>243.2</v>
      </c>
      <c r="E45" s="1117" t="s">
        <v>419</v>
      </c>
      <c r="F45" s="1119" t="s">
        <v>420</v>
      </c>
      <c r="G45" s="1121" t="s">
        <v>476</v>
      </c>
      <c r="H45" s="1192" t="s">
        <v>477</v>
      </c>
      <c r="I45" s="1119" t="s">
        <v>478</v>
      </c>
      <c r="J45" s="1272"/>
      <c r="K45" s="1273"/>
      <c r="L45" s="1273"/>
      <c r="M45" s="1274"/>
      <c r="N45" s="1274"/>
      <c r="U45" s="1263"/>
    </row>
    <row r="46" spans="2:26" s="1128" customFormat="1">
      <c r="B46" s="1265"/>
      <c r="C46" s="1118" t="s">
        <v>479</v>
      </c>
      <c r="D46" s="1117">
        <v>15</v>
      </c>
      <c r="E46" s="1117" t="s">
        <v>419</v>
      </c>
      <c r="F46" s="1119" t="s">
        <v>420</v>
      </c>
      <c r="G46" s="1122" t="s">
        <v>325</v>
      </c>
      <c r="H46" s="1119" t="s">
        <v>480</v>
      </c>
      <c r="I46" s="1119" t="s">
        <v>478</v>
      </c>
      <c r="J46" s="1272"/>
      <c r="K46" s="1273"/>
      <c r="L46" s="1273"/>
      <c r="M46" s="1274"/>
      <c r="N46" s="1274"/>
      <c r="U46" s="1263"/>
    </row>
    <row r="47" spans="2:26" s="1128" customFormat="1">
      <c r="B47" s="1265"/>
      <c r="C47" s="1193" t="s">
        <v>481</v>
      </c>
      <c r="D47" s="1117">
        <v>12.5</v>
      </c>
      <c r="E47" s="1117" t="s">
        <v>419</v>
      </c>
      <c r="F47" s="1119" t="s">
        <v>420</v>
      </c>
      <c r="G47" s="1122" t="s">
        <v>421</v>
      </c>
      <c r="H47" s="1119" t="s">
        <v>482</v>
      </c>
      <c r="I47" s="1119" t="s">
        <v>478</v>
      </c>
      <c r="J47" s="1272"/>
      <c r="K47" s="1273"/>
      <c r="L47" s="1273"/>
      <c r="M47" s="1274"/>
      <c r="N47" s="1274"/>
      <c r="U47" s="1263"/>
    </row>
    <row r="48" spans="2:26" s="1128" customFormat="1">
      <c r="B48" s="1265"/>
      <c r="C48" s="1193" t="s">
        <v>483</v>
      </c>
      <c r="D48" s="1117">
        <v>12</v>
      </c>
      <c r="E48" s="1119" t="s">
        <v>419</v>
      </c>
      <c r="F48" s="1119" t="s">
        <v>420</v>
      </c>
      <c r="G48" s="1119" t="s">
        <v>326</v>
      </c>
      <c r="H48" s="1119" t="s">
        <v>484</v>
      </c>
      <c r="I48" s="1119" t="s">
        <v>485</v>
      </c>
      <c r="J48" s="1272"/>
      <c r="K48" s="1273"/>
      <c r="L48" s="1273"/>
      <c r="M48" s="1274"/>
      <c r="N48" s="1274"/>
      <c r="U48" s="1263"/>
    </row>
    <row r="49" spans="2:21" s="1128" customFormat="1">
      <c r="B49" s="1265"/>
      <c r="C49" s="1193" t="s">
        <v>486</v>
      </c>
      <c r="D49" s="1117">
        <v>5</v>
      </c>
      <c r="E49" s="1119" t="s">
        <v>419</v>
      </c>
      <c r="F49" s="1119" t="s">
        <v>420</v>
      </c>
      <c r="G49" s="1119" t="s">
        <v>424</v>
      </c>
      <c r="H49" s="1119" t="s">
        <v>487</v>
      </c>
      <c r="I49" s="1119" t="s">
        <v>488</v>
      </c>
      <c r="J49" s="1272"/>
      <c r="K49" s="1273"/>
      <c r="L49" s="1273"/>
      <c r="M49" s="1274"/>
      <c r="N49" s="1274"/>
      <c r="U49" s="1263"/>
    </row>
    <row r="50" spans="2:21" s="1128" customFormat="1">
      <c r="B50" s="1265"/>
      <c r="C50" s="1193" t="s">
        <v>489</v>
      </c>
      <c r="D50" s="1117">
        <v>8</v>
      </c>
      <c r="E50" s="1119" t="s">
        <v>419</v>
      </c>
      <c r="F50" s="1119" t="s">
        <v>490</v>
      </c>
      <c r="G50" s="1119" t="s">
        <v>421</v>
      </c>
      <c r="H50" s="1119"/>
      <c r="I50" s="1119" t="s">
        <v>491</v>
      </c>
      <c r="J50" s="1272"/>
      <c r="K50" s="1273"/>
      <c r="L50" s="1273"/>
      <c r="M50" s="1274"/>
      <c r="N50" s="1274"/>
      <c r="U50" s="1263"/>
    </row>
    <row r="51" spans="2:21" s="1128" customFormat="1">
      <c r="B51" s="1265"/>
      <c r="J51" s="1272"/>
      <c r="K51" s="1273"/>
      <c r="L51" s="1273"/>
      <c r="M51" s="1274"/>
      <c r="N51" s="1274"/>
      <c r="U51" s="1263"/>
    </row>
    <row r="52" spans="2:21" s="1128" customFormat="1">
      <c r="B52" s="1265"/>
      <c r="C52" s="1128" t="s">
        <v>492</v>
      </c>
      <c r="D52" s="1194">
        <f>3/5</f>
        <v>0.6</v>
      </c>
      <c r="J52" s="1272"/>
      <c r="K52" s="1273"/>
      <c r="L52" s="1273"/>
      <c r="M52" s="1274"/>
      <c r="N52" s="1274"/>
      <c r="U52" s="1263"/>
    </row>
    <row r="53" spans="2:21" s="1128" customFormat="1" ht="14.65" thickBot="1">
      <c r="B53" s="1275"/>
      <c r="C53" s="1276" t="s">
        <v>493</v>
      </c>
      <c r="D53" s="1276"/>
      <c r="E53" s="1276"/>
      <c r="F53" s="1276"/>
      <c r="G53" s="1276"/>
      <c r="H53" s="1276"/>
      <c r="I53" s="1276"/>
      <c r="J53" s="1276"/>
      <c r="K53" s="1276"/>
      <c r="L53" s="1276"/>
      <c r="M53" s="1276"/>
      <c r="N53" s="1276"/>
      <c r="O53" s="1276"/>
      <c r="P53" s="1276"/>
      <c r="Q53" s="1276"/>
      <c r="R53" s="1276"/>
      <c r="S53" s="1276"/>
      <c r="T53" s="1276"/>
      <c r="U53" s="1277"/>
    </row>
    <row r="54" spans="2:21" s="1128" customFormat="1" ht="14.65" thickBot="1"/>
    <row r="55" spans="2:21" ht="14.65" thickTop="1">
      <c r="B55" s="1334"/>
      <c r="C55" s="1280"/>
      <c r="D55" s="1280"/>
      <c r="E55" s="1280"/>
      <c r="F55" s="1280"/>
      <c r="G55" s="1280"/>
      <c r="H55" s="1280"/>
      <c r="I55" s="1280"/>
      <c r="J55" s="1280"/>
      <c r="K55" s="1280"/>
      <c r="L55" s="1237"/>
      <c r="M55" s="1237"/>
      <c r="N55" s="1237"/>
      <c r="O55" s="1237"/>
      <c r="P55" s="1237"/>
      <c r="Q55" s="1237"/>
      <c r="R55" s="1237"/>
      <c r="S55" s="1237"/>
      <c r="T55" s="1237"/>
      <c r="U55" s="1238"/>
    </row>
    <row r="56" spans="2:21" ht="18">
      <c r="B56" s="1335">
        <v>2</v>
      </c>
      <c r="C56" s="1323" t="s">
        <v>494</v>
      </c>
      <c r="D56" s="1197"/>
      <c r="E56" s="1197"/>
      <c r="F56" s="1197"/>
      <c r="G56" s="1197"/>
      <c r="H56" s="1197"/>
      <c r="I56" s="1197"/>
      <c r="J56" s="1197"/>
      <c r="K56" s="1283"/>
      <c r="L56" s="1239"/>
      <c r="M56" s="1239"/>
      <c r="N56" s="1239"/>
      <c r="O56" s="1239"/>
      <c r="P56" s="1239"/>
      <c r="Q56" s="1239"/>
      <c r="R56" s="1239"/>
      <c r="S56" s="1239"/>
      <c r="T56" s="1239"/>
      <c r="U56" s="1240"/>
    </row>
    <row r="57" spans="2:21">
      <c r="B57" s="1328"/>
      <c r="C57" s="1197" t="s">
        <v>495</v>
      </c>
      <c r="D57" s="1197"/>
      <c r="E57" s="1197"/>
      <c r="F57" s="1197"/>
      <c r="G57" s="1197"/>
      <c r="H57" s="1197"/>
      <c r="I57" s="1197"/>
      <c r="J57" s="1197"/>
      <c r="K57" s="1283"/>
      <c r="L57" s="1239"/>
      <c r="M57" s="1239"/>
      <c r="N57" s="1239"/>
      <c r="O57" s="1239"/>
      <c r="P57" s="1239"/>
      <c r="Q57" s="1239"/>
      <c r="R57" s="1239"/>
      <c r="S57" s="1239"/>
      <c r="T57" s="1239"/>
      <c r="U57" s="1240"/>
    </row>
    <row r="58" spans="2:21">
      <c r="B58" s="1328"/>
      <c r="C58" s="1336"/>
      <c r="D58" s="1197"/>
      <c r="E58" s="1197"/>
      <c r="F58" s="1197"/>
      <c r="G58" s="1197"/>
      <c r="H58" s="1197"/>
      <c r="I58" s="1197"/>
      <c r="J58" s="1197"/>
      <c r="K58" s="1283"/>
      <c r="L58" s="1239"/>
      <c r="M58" s="1239"/>
      <c r="N58" s="1239"/>
      <c r="O58" s="1239"/>
      <c r="P58" s="1239"/>
      <c r="Q58" s="1239"/>
      <c r="R58" s="1239"/>
      <c r="S58" s="1239"/>
      <c r="T58" s="1239"/>
      <c r="U58" s="1240"/>
    </row>
    <row r="59" spans="2:21" ht="28.5">
      <c r="B59" s="1337"/>
      <c r="C59" s="1204" t="s">
        <v>496</v>
      </c>
      <c r="D59" s="1204" t="s">
        <v>497</v>
      </c>
      <c r="E59" s="1204" t="s">
        <v>498</v>
      </c>
      <c r="F59" s="1204" t="s">
        <v>499</v>
      </c>
      <c r="G59" s="1204" t="s">
        <v>500</v>
      </c>
      <c r="H59" s="1204" t="s">
        <v>501</v>
      </c>
      <c r="I59" s="1204" t="s">
        <v>502</v>
      </c>
      <c r="J59" s="1204" t="s">
        <v>503</v>
      </c>
      <c r="K59" s="1283"/>
      <c r="L59" s="1239"/>
      <c r="M59" s="1239"/>
      <c r="N59" s="1239"/>
      <c r="O59" s="1239"/>
      <c r="P59" s="1239"/>
      <c r="Q59" s="1239"/>
      <c r="R59" s="1239"/>
      <c r="S59" s="1239"/>
      <c r="T59" s="1239"/>
      <c r="U59" s="1240"/>
    </row>
    <row r="60" spans="2:21">
      <c r="B60" s="1337"/>
      <c r="C60" s="1338">
        <v>2025</v>
      </c>
      <c r="D60" s="1205">
        <v>7734910000</v>
      </c>
      <c r="E60" s="1205">
        <v>3634910000</v>
      </c>
      <c r="F60" s="1204"/>
      <c r="G60" s="1206"/>
      <c r="H60" s="1205">
        <v>2418887596</v>
      </c>
      <c r="I60" s="1208">
        <v>0</v>
      </c>
      <c r="J60" s="1207">
        <f>1/5</f>
        <v>0.2</v>
      </c>
      <c r="K60" s="1283"/>
      <c r="L60" s="2064"/>
      <c r="M60" s="2064"/>
      <c r="N60" s="1239"/>
      <c r="O60" s="1239"/>
      <c r="P60" s="1239"/>
      <c r="Q60" s="1239"/>
      <c r="R60" s="1239"/>
      <c r="S60" s="1239"/>
      <c r="T60" s="1239"/>
      <c r="U60" s="1240"/>
    </row>
    <row r="61" spans="2:21">
      <c r="B61" s="1328"/>
      <c r="C61" s="1199">
        <v>2024</v>
      </c>
      <c r="D61" s="1203">
        <v>1573060280</v>
      </c>
      <c r="E61" s="1203">
        <v>1512390764</v>
      </c>
      <c r="F61" s="1203">
        <v>5112390764</v>
      </c>
      <c r="G61" s="1203">
        <f>F61-E61</f>
        <v>3600000000</v>
      </c>
      <c r="H61" s="1203">
        <v>5013011085</v>
      </c>
      <c r="I61" s="1203">
        <v>1</v>
      </c>
      <c r="J61" s="1209">
        <f>1/4</f>
        <v>0.25</v>
      </c>
      <c r="K61" s="1283"/>
      <c r="L61" s="1239"/>
      <c r="M61" s="1239"/>
      <c r="N61" s="1239"/>
      <c r="O61" s="1239"/>
      <c r="P61" s="1239"/>
      <c r="Q61" s="1239"/>
      <c r="R61" s="1239"/>
      <c r="S61" s="1239"/>
      <c r="T61" s="1239"/>
      <c r="U61" s="1240"/>
    </row>
    <row r="62" spans="2:21">
      <c r="B62" s="1328"/>
      <c r="C62" s="1199">
        <v>2023</v>
      </c>
      <c r="D62" s="1203">
        <v>1102020280</v>
      </c>
      <c r="E62" s="1203">
        <v>783784120</v>
      </c>
      <c r="F62" s="1203"/>
      <c r="G62" s="1203"/>
      <c r="H62" s="1203">
        <v>711254036</v>
      </c>
      <c r="I62" s="1208">
        <v>0</v>
      </c>
      <c r="J62" s="1208"/>
      <c r="K62" s="1283"/>
      <c r="L62" s="1239"/>
      <c r="M62" s="1239"/>
      <c r="N62" s="1239"/>
      <c r="O62" s="1239"/>
      <c r="P62" s="1239"/>
      <c r="Q62" s="1239"/>
      <c r="R62" s="1239"/>
      <c r="S62" s="1239"/>
      <c r="T62" s="1239"/>
      <c r="U62" s="1240"/>
    </row>
    <row r="63" spans="2:21">
      <c r="B63" s="1328"/>
      <c r="C63" s="1199">
        <v>2022</v>
      </c>
      <c r="D63" s="1203">
        <v>758962364</v>
      </c>
      <c r="E63" s="1203">
        <f>757357827</f>
        <v>757357827</v>
      </c>
      <c r="F63" s="1203"/>
      <c r="G63" s="1203"/>
      <c r="H63" s="1203">
        <v>754071920</v>
      </c>
      <c r="I63" s="1208">
        <v>0</v>
      </c>
      <c r="J63" s="1208"/>
      <c r="K63" s="1283"/>
      <c r="L63" s="1239"/>
      <c r="M63" s="1239"/>
      <c r="N63" s="1239"/>
      <c r="O63" s="1239"/>
      <c r="P63" s="1239"/>
      <c r="Q63" s="1239"/>
      <c r="R63" s="1239"/>
      <c r="S63" s="1239"/>
      <c r="T63" s="1239"/>
      <c r="U63" s="1240"/>
    </row>
    <row r="64" spans="2:21">
      <c r="B64" s="1328"/>
      <c r="C64" s="1199">
        <v>2021</v>
      </c>
      <c r="D64" s="1203">
        <v>2241366965</v>
      </c>
      <c r="E64" s="1203">
        <f>758962365</f>
        <v>758962365</v>
      </c>
      <c r="F64" s="1203"/>
      <c r="G64" s="1203"/>
      <c r="H64" s="1203">
        <v>603995223</v>
      </c>
      <c r="I64" s="1208">
        <v>0</v>
      </c>
      <c r="J64" s="1208"/>
      <c r="K64" s="1283"/>
      <c r="L64" s="1239"/>
      <c r="M64" s="1239"/>
      <c r="N64" s="1239"/>
      <c r="O64" s="1239"/>
      <c r="P64" s="1239"/>
      <c r="Q64" s="1239"/>
      <c r="R64" s="1239"/>
      <c r="S64" s="1239"/>
      <c r="T64" s="1239"/>
      <c r="U64" s="1240"/>
    </row>
    <row r="65" spans="2:27">
      <c r="B65" s="1328"/>
      <c r="C65" s="1197"/>
      <c r="D65" s="1210"/>
      <c r="E65" s="1210"/>
      <c r="F65" s="1211" t="s">
        <v>505</v>
      </c>
      <c r="G65" s="1210">
        <f>AVERAGE(G60:G64)</f>
        <v>3600000000</v>
      </c>
      <c r="H65" s="1210"/>
      <c r="I65" s="1197"/>
      <c r="J65" s="1357">
        <f>AVERAGE(J60:J61)</f>
        <v>0.22500000000000001</v>
      </c>
      <c r="K65" s="1283"/>
      <c r="L65" s="1239"/>
      <c r="M65" s="1239"/>
      <c r="N65" s="1239"/>
      <c r="O65" s="1239"/>
      <c r="P65" s="1239"/>
      <c r="Q65" s="1239"/>
      <c r="R65" s="1239"/>
      <c r="S65" s="1239"/>
      <c r="T65" s="1239"/>
      <c r="U65" s="1240"/>
    </row>
    <row r="66" spans="2:27">
      <c r="B66" s="1328"/>
      <c r="C66" s="1197"/>
      <c r="D66" s="1210"/>
      <c r="E66" s="1210"/>
      <c r="F66" s="1210"/>
      <c r="G66" s="1210"/>
      <c r="H66" s="1210"/>
      <c r="I66" s="1197"/>
      <c r="J66" s="1197"/>
      <c r="K66" s="1283"/>
      <c r="L66" s="1239"/>
      <c r="M66" s="1239"/>
      <c r="N66" s="1239"/>
      <c r="O66" s="1239"/>
      <c r="P66" s="1239"/>
      <c r="Q66" s="1239"/>
      <c r="R66" s="1239"/>
      <c r="S66" s="1239"/>
      <c r="T66" s="1239"/>
      <c r="U66" s="1240"/>
    </row>
    <row r="67" spans="2:27">
      <c r="B67" s="1328"/>
      <c r="C67" s="1197" t="s">
        <v>506</v>
      </c>
      <c r="D67" s="1210"/>
      <c r="E67" s="1210"/>
      <c r="F67" s="1210"/>
      <c r="G67" s="1210"/>
      <c r="H67" s="1210"/>
      <c r="I67" s="1197"/>
      <c r="J67" s="1197"/>
      <c r="K67" s="1283"/>
      <c r="L67" s="1239"/>
      <c r="M67" s="1239"/>
      <c r="N67" s="1239"/>
      <c r="O67" s="1239"/>
      <c r="P67" s="1239"/>
      <c r="Q67" s="1239"/>
      <c r="R67" s="1239"/>
      <c r="S67" s="1239"/>
      <c r="T67" s="1239"/>
      <c r="U67" s="1240"/>
    </row>
    <row r="68" spans="2:27">
      <c r="B68" s="1328"/>
      <c r="C68" s="1197" t="s">
        <v>507</v>
      </c>
      <c r="D68" s="1210"/>
      <c r="E68" s="1210"/>
      <c r="F68" s="1210"/>
      <c r="G68" s="1210"/>
      <c r="H68" s="1210"/>
      <c r="I68" s="1197"/>
      <c r="J68" s="1197"/>
      <c r="K68" s="1283"/>
      <c r="L68" s="1239"/>
      <c r="M68" s="1239"/>
      <c r="N68" s="1239"/>
      <c r="O68" s="1239"/>
      <c r="P68" s="1239"/>
      <c r="Q68" s="1239"/>
      <c r="R68" s="1239"/>
      <c r="S68" s="1239"/>
      <c r="T68" s="1239"/>
      <c r="U68" s="1240"/>
    </row>
    <row r="69" spans="2:27" ht="14.65" thickBot="1">
      <c r="B69" s="1243"/>
      <c r="C69" s="1244"/>
      <c r="D69" s="1244"/>
      <c r="E69" s="1244"/>
      <c r="F69" s="1244"/>
      <c r="G69" s="1244"/>
      <c r="H69" s="1244"/>
      <c r="I69" s="1244"/>
      <c r="J69" s="1244"/>
      <c r="K69" s="1244"/>
      <c r="L69" s="1244"/>
      <c r="M69" s="1244"/>
      <c r="N69" s="1244"/>
      <c r="O69" s="1244"/>
      <c r="P69" s="1244"/>
      <c r="Q69" s="1244"/>
      <c r="R69" s="1244"/>
      <c r="S69" s="1244"/>
      <c r="T69" s="1244"/>
      <c r="U69" s="1245"/>
    </row>
    <row r="70" spans="2:27" ht="14.65" thickTop="1"/>
    <row r="71" spans="2:27" ht="14.65" thickBot="1"/>
    <row r="72" spans="2:27" s="1197" customFormat="1" ht="18.399999999999999" thickTop="1">
      <c r="B72" s="1278">
        <v>3</v>
      </c>
      <c r="C72" s="1279" t="s">
        <v>508</v>
      </c>
      <c r="D72" s="1325"/>
      <c r="E72" s="1325"/>
      <c r="F72" s="1325"/>
      <c r="G72" s="1325"/>
      <c r="H72" s="1325"/>
      <c r="I72" s="1325"/>
      <c r="J72" s="1326"/>
      <c r="K72" s="1326"/>
      <c r="L72" s="1280"/>
      <c r="M72" s="1280"/>
      <c r="N72" s="1280"/>
      <c r="O72" s="1280"/>
      <c r="P72" s="1280"/>
      <c r="Q72" s="1280"/>
      <c r="R72" s="1280"/>
      <c r="S72" s="1280"/>
      <c r="T72" s="1280"/>
      <c r="U72" s="1280"/>
      <c r="V72" s="1326"/>
      <c r="W72" s="1326"/>
      <c r="X72" s="1326"/>
      <c r="Y72" s="1326"/>
      <c r="Z72" s="1326"/>
      <c r="AA72" s="1327"/>
    </row>
    <row r="73" spans="2:27" s="1197" customFormat="1">
      <c r="B73" s="1328"/>
      <c r="C73" s="1329"/>
      <c r="D73" s="1330"/>
      <c r="E73" s="1330"/>
      <c r="H73" s="1330"/>
      <c r="I73" s="1330"/>
      <c r="L73" s="1283"/>
      <c r="M73" s="1283"/>
      <c r="N73" s="1283"/>
      <c r="O73" s="1283"/>
      <c r="P73" s="1283"/>
      <c r="Q73" s="1283"/>
      <c r="R73" s="1283"/>
      <c r="S73" s="1283"/>
      <c r="T73" s="1283"/>
      <c r="U73" s="1283"/>
      <c r="AA73" s="1331"/>
    </row>
    <row r="74" spans="2:27" s="1197" customFormat="1">
      <c r="B74" s="1328"/>
      <c r="C74" s="1329" t="s">
        <v>509</v>
      </c>
      <c r="D74" s="1330"/>
      <c r="E74" s="1330"/>
      <c r="F74" s="1283"/>
      <c r="G74" s="1283"/>
      <c r="H74" s="1283"/>
      <c r="J74" s="1329" t="s">
        <v>510</v>
      </c>
      <c r="K74" s="1330"/>
      <c r="L74" s="1330"/>
      <c r="M74" s="1283"/>
      <c r="N74" s="1283"/>
      <c r="O74" s="1283"/>
      <c r="P74" s="1329" t="s">
        <v>511</v>
      </c>
      <c r="Q74" s="1330"/>
      <c r="S74" s="1283"/>
      <c r="T74" s="1283"/>
      <c r="U74" s="1283"/>
      <c r="AA74" s="1284"/>
    </row>
    <row r="75" spans="2:27" s="1197" customFormat="1">
      <c r="B75" s="1328"/>
      <c r="C75" s="1332" t="s">
        <v>512</v>
      </c>
      <c r="D75" s="1333"/>
      <c r="E75" s="1283"/>
      <c r="F75" s="1333"/>
      <c r="G75" s="1283">
        <v>35</v>
      </c>
      <c r="H75" s="1283"/>
      <c r="J75" s="1332" t="s">
        <v>513</v>
      </c>
      <c r="K75" s="1333"/>
      <c r="L75" s="1283"/>
      <c r="M75" s="1333"/>
      <c r="N75" s="1283">
        <v>35</v>
      </c>
      <c r="O75" s="1283"/>
      <c r="P75" s="1332" t="s">
        <v>514</v>
      </c>
      <c r="Q75" s="1333"/>
      <c r="S75" s="1333"/>
      <c r="T75" s="1283">
        <v>35</v>
      </c>
      <c r="U75" s="1283"/>
      <c r="AA75" s="1284"/>
    </row>
    <row r="76" spans="2:27" s="1197" customFormat="1">
      <c r="B76" s="1328"/>
      <c r="C76" s="1212" t="s">
        <v>515</v>
      </c>
      <c r="D76" s="1213" t="s">
        <v>516</v>
      </c>
      <c r="E76" s="1213" t="s">
        <v>517</v>
      </c>
      <c r="F76" s="1214" t="s">
        <v>518</v>
      </c>
      <c r="G76" s="1214" t="s">
        <v>519</v>
      </c>
      <c r="H76" s="1212" t="s">
        <v>520</v>
      </c>
      <c r="J76" s="1212" t="s">
        <v>515</v>
      </c>
      <c r="K76" s="1213" t="s">
        <v>516</v>
      </c>
      <c r="L76" s="1213" t="s">
        <v>517</v>
      </c>
      <c r="M76" s="1214" t="s">
        <v>518</v>
      </c>
      <c r="N76" s="1214" t="s">
        <v>519</v>
      </c>
      <c r="O76" s="1283"/>
      <c r="P76" s="1212" t="s">
        <v>515</v>
      </c>
      <c r="Q76" s="1215" t="s">
        <v>516</v>
      </c>
      <c r="R76" s="1213" t="s">
        <v>517</v>
      </c>
      <c r="S76" s="1214" t="s">
        <v>518</v>
      </c>
      <c r="T76" s="1214" t="s">
        <v>519</v>
      </c>
      <c r="U76" s="1283"/>
      <c r="AA76" s="1284"/>
    </row>
    <row r="77" spans="2:27">
      <c r="B77" s="1241"/>
      <c r="C77" s="1208" t="s">
        <v>521</v>
      </c>
      <c r="D77" s="1216">
        <v>99781531200</v>
      </c>
      <c r="E77" s="1217"/>
      <c r="F77" s="1218">
        <v>25</v>
      </c>
      <c r="G77" s="1219">
        <f>$G$75-F77</f>
        <v>10</v>
      </c>
      <c r="H77" s="1216">
        <f>IF(G77&lt;0,D77,0)</f>
        <v>0</v>
      </c>
      <c r="J77" s="1208" t="s">
        <v>522</v>
      </c>
      <c r="K77" s="1216">
        <v>93718324800</v>
      </c>
      <c r="L77" s="1201"/>
      <c r="M77" s="1218">
        <v>42</v>
      </c>
      <c r="N77" s="1152">
        <f>$N$75-M77</f>
        <v>-7</v>
      </c>
      <c r="O77" s="1239"/>
      <c r="P77" s="1220" t="s">
        <v>523</v>
      </c>
      <c r="Q77" s="1221">
        <v>86650048800</v>
      </c>
      <c r="R77" s="1201"/>
      <c r="S77" s="1218">
        <v>30</v>
      </c>
      <c r="T77" s="1152">
        <f>$T$75-S77</f>
        <v>5</v>
      </c>
      <c r="U77" s="1239"/>
      <c r="V77" s="1197"/>
      <c r="W77" s="1197"/>
      <c r="X77" s="1197"/>
      <c r="Y77" s="1197"/>
      <c r="Z77" s="1197"/>
      <c r="AA77" s="1240"/>
    </row>
    <row r="78" spans="2:27">
      <c r="B78" s="1241"/>
      <c r="C78" s="1208" t="s">
        <v>524</v>
      </c>
      <c r="D78" s="1222">
        <v>96182460000</v>
      </c>
      <c r="E78" s="1222"/>
      <c r="F78" s="1222">
        <v>26</v>
      </c>
      <c r="G78" s="1219">
        <f t="shared" ref="G78:G88" si="26">$G$75-F78</f>
        <v>9</v>
      </c>
      <c r="H78" s="1216">
        <f>IF(G78&lt;0,D78,0)</f>
        <v>0</v>
      </c>
      <c r="J78" s="1208" t="s">
        <v>525</v>
      </c>
      <c r="K78" s="1216">
        <v>95259931200</v>
      </c>
      <c r="L78" s="1201"/>
      <c r="M78" s="1218">
        <v>35</v>
      </c>
      <c r="N78" s="1152">
        <f t="shared" ref="N78:N88" si="27">$N$75-M78</f>
        <v>0</v>
      </c>
      <c r="O78" s="1239"/>
      <c r="P78" s="1220" t="s">
        <v>526</v>
      </c>
      <c r="Q78" s="1221">
        <v>80564212800.000015</v>
      </c>
      <c r="R78" s="1201"/>
      <c r="S78" s="1218">
        <v>21</v>
      </c>
      <c r="T78" s="1152">
        <f t="shared" ref="T78:T88" si="28">$T$75-S78</f>
        <v>14</v>
      </c>
      <c r="U78" s="1239"/>
      <c r="V78" s="1197"/>
      <c r="W78" s="1197"/>
      <c r="X78" s="1197"/>
      <c r="Y78" s="1197"/>
      <c r="Z78" s="1197"/>
      <c r="AA78" s="1240"/>
    </row>
    <row r="79" spans="2:27">
      <c r="B79" s="1241"/>
      <c r="C79" s="1208" t="s">
        <v>527</v>
      </c>
      <c r="D79" s="1222">
        <f>102746880000+1814018400</f>
        <v>104560898400</v>
      </c>
      <c r="E79" s="1222"/>
      <c r="F79" s="1222">
        <v>45</v>
      </c>
      <c r="G79" s="1152">
        <f t="shared" si="26"/>
        <v>-10</v>
      </c>
      <c r="H79" s="1216">
        <f>IF(G79&lt;0,D79,0)</f>
        <v>104560898400</v>
      </c>
      <c r="J79" s="1208" t="s">
        <v>528</v>
      </c>
      <c r="K79" s="1216">
        <v>105042664800</v>
      </c>
      <c r="L79" s="1201"/>
      <c r="M79" s="1218">
        <v>33</v>
      </c>
      <c r="N79" s="1152">
        <f t="shared" si="27"/>
        <v>2</v>
      </c>
      <c r="O79" s="1239"/>
      <c r="P79" s="1220" t="s">
        <v>529</v>
      </c>
      <c r="Q79" s="1221">
        <v>89349890400</v>
      </c>
      <c r="R79" s="1201"/>
      <c r="S79" s="1218">
        <v>17</v>
      </c>
      <c r="T79" s="1152">
        <f t="shared" si="28"/>
        <v>18</v>
      </c>
      <c r="U79" s="1239"/>
      <c r="V79" s="1197"/>
      <c r="W79" s="1197"/>
      <c r="X79" s="1197"/>
      <c r="Y79" s="1197"/>
      <c r="Z79" s="1197"/>
      <c r="AA79" s="1240"/>
    </row>
    <row r="80" spans="2:27">
      <c r="B80" s="1241"/>
      <c r="C80" s="1208" t="s">
        <v>530</v>
      </c>
      <c r="D80" s="1216">
        <v>103006872000.00002</v>
      </c>
      <c r="E80" s="1222"/>
      <c r="F80" s="1218">
        <v>57</v>
      </c>
      <c r="G80" s="1152">
        <f t="shared" si="26"/>
        <v>-22</v>
      </c>
      <c r="H80" s="1216">
        <f t="shared" ref="H80:H87" si="29">IF(G80&lt;0,D80,0)</f>
        <v>103006872000.00002</v>
      </c>
      <c r="J80" s="1208" t="s">
        <v>531</v>
      </c>
      <c r="K80" s="1216">
        <v>100435492800</v>
      </c>
      <c r="L80" s="1201"/>
      <c r="M80" s="1218">
        <v>28</v>
      </c>
      <c r="N80" s="1152">
        <f t="shared" si="27"/>
        <v>7</v>
      </c>
      <c r="O80" s="1239"/>
      <c r="P80" s="1220" t="s">
        <v>532</v>
      </c>
      <c r="Q80" s="1221">
        <v>90138830400</v>
      </c>
      <c r="R80" s="1201"/>
      <c r="S80" s="1218">
        <v>17</v>
      </c>
      <c r="T80" s="1152">
        <f t="shared" si="28"/>
        <v>18</v>
      </c>
      <c r="U80" s="1239"/>
      <c r="V80" s="1197"/>
      <c r="W80" s="1197"/>
      <c r="X80" s="1197"/>
      <c r="Y80" s="1197"/>
      <c r="Z80" s="1197"/>
      <c r="AA80" s="1240"/>
    </row>
    <row r="81" spans="2:27">
      <c r="B81" s="1241"/>
      <c r="C81" s="1208" t="s">
        <v>533</v>
      </c>
      <c r="D81" s="1216">
        <v>111930645599.99998</v>
      </c>
      <c r="E81" s="1222"/>
      <c r="F81" s="1218">
        <v>23</v>
      </c>
      <c r="G81" s="1219">
        <f t="shared" si="26"/>
        <v>12</v>
      </c>
      <c r="H81" s="1216">
        <f t="shared" si="29"/>
        <v>0</v>
      </c>
      <c r="J81" s="1208" t="s">
        <v>534</v>
      </c>
      <c r="K81" s="1216">
        <v>105950952000</v>
      </c>
      <c r="L81" s="1201"/>
      <c r="M81" s="1218">
        <v>24</v>
      </c>
      <c r="N81" s="1152">
        <f t="shared" si="27"/>
        <v>11</v>
      </c>
      <c r="O81" s="1239"/>
      <c r="P81" s="1220" t="s">
        <v>535</v>
      </c>
      <c r="Q81" s="1221">
        <v>97139764800</v>
      </c>
      <c r="R81" s="1201"/>
      <c r="S81" s="1218">
        <v>22</v>
      </c>
      <c r="T81" s="1152">
        <f t="shared" si="28"/>
        <v>13</v>
      </c>
      <c r="U81" s="1239"/>
      <c r="V81" s="1197"/>
      <c r="W81" s="1197"/>
      <c r="X81" s="1197"/>
      <c r="Y81" s="1197"/>
      <c r="Z81" s="1197"/>
      <c r="AA81" s="1240"/>
    </row>
    <row r="82" spans="2:27">
      <c r="B82" s="1241"/>
      <c r="C82" s="1208" t="s">
        <v>536</v>
      </c>
      <c r="D82" s="1216">
        <v>110310393600.00003</v>
      </c>
      <c r="E82" s="1216"/>
      <c r="F82" s="1218">
        <v>25</v>
      </c>
      <c r="G82" s="1219">
        <f t="shared" si="26"/>
        <v>10</v>
      </c>
      <c r="H82" s="1216">
        <f>IF(G82&lt;0,D82,0)</f>
        <v>0</v>
      </c>
      <c r="J82" s="1208" t="s">
        <v>537</v>
      </c>
      <c r="K82" s="1216">
        <v>102736440000</v>
      </c>
      <c r="L82" s="1201"/>
      <c r="M82" s="1218">
        <v>168</v>
      </c>
      <c r="N82" s="1152">
        <f t="shared" si="27"/>
        <v>-133</v>
      </c>
      <c r="O82" s="1239"/>
      <c r="P82" s="1220" t="s">
        <v>538</v>
      </c>
      <c r="Q82" s="1221">
        <v>95140101600</v>
      </c>
      <c r="R82" s="1201"/>
      <c r="S82" s="1218">
        <v>26</v>
      </c>
      <c r="T82" s="1152">
        <f t="shared" si="28"/>
        <v>9</v>
      </c>
      <c r="U82" s="1239"/>
      <c r="V82" s="1197"/>
      <c r="W82" s="1197"/>
      <c r="X82" s="1197"/>
      <c r="Y82" s="1197"/>
      <c r="Z82" s="1197"/>
      <c r="AA82" s="1240"/>
    </row>
    <row r="83" spans="2:27">
      <c r="B83" s="1241"/>
      <c r="C83" s="1208" t="s">
        <v>539</v>
      </c>
      <c r="D83" s="476">
        <v>126357293001.59998</v>
      </c>
      <c r="E83" s="476"/>
      <c r="F83" s="1407">
        <v>124</v>
      </c>
      <c r="G83" s="1219">
        <f t="shared" si="26"/>
        <v>-89</v>
      </c>
      <c r="H83" s="1216">
        <f t="shared" si="29"/>
        <v>126357293001.59998</v>
      </c>
      <c r="J83" s="1208" t="s">
        <v>540</v>
      </c>
      <c r="K83" s="1216">
        <v>109467604800</v>
      </c>
      <c r="L83" s="1201"/>
      <c r="M83" s="1218">
        <v>138</v>
      </c>
      <c r="N83" s="1152">
        <f t="shared" si="27"/>
        <v>-103</v>
      </c>
      <c r="O83" s="1239"/>
      <c r="P83" s="1220" t="s">
        <v>541</v>
      </c>
      <c r="Q83" s="1221">
        <v>98102469599.999985</v>
      </c>
      <c r="R83" s="1201"/>
      <c r="S83" s="1218">
        <v>14</v>
      </c>
      <c r="T83" s="1152">
        <f t="shared" si="28"/>
        <v>21</v>
      </c>
      <c r="U83" s="1239"/>
      <c r="V83" s="1197"/>
      <c r="W83" s="1197"/>
      <c r="X83" s="1197"/>
      <c r="Y83" s="1197"/>
      <c r="Z83" s="1197"/>
      <c r="AA83" s="1240"/>
    </row>
    <row r="84" spans="2:27">
      <c r="B84" s="1241"/>
      <c r="C84" s="1208" t="s">
        <v>542</v>
      </c>
      <c r="D84" s="476">
        <v>122678978184.00005</v>
      </c>
      <c r="E84" s="476"/>
      <c r="F84" s="1407">
        <v>93</v>
      </c>
      <c r="G84" s="1219">
        <f t="shared" si="26"/>
        <v>-58</v>
      </c>
      <c r="H84" s="1216">
        <f t="shared" si="29"/>
        <v>122678978184.00005</v>
      </c>
      <c r="J84" s="1208" t="s">
        <v>543</v>
      </c>
      <c r="K84" s="1216">
        <v>107426217600</v>
      </c>
      <c r="L84" s="1201"/>
      <c r="M84" s="1218">
        <v>107</v>
      </c>
      <c r="N84" s="1152">
        <f t="shared" si="27"/>
        <v>-72</v>
      </c>
      <c r="O84" s="1239"/>
      <c r="P84" s="1220" t="s">
        <v>544</v>
      </c>
      <c r="Q84" s="1221">
        <v>100195452000.00002</v>
      </c>
      <c r="R84" s="1201"/>
      <c r="S84" s="1218">
        <v>43</v>
      </c>
      <c r="T84" s="1152">
        <f t="shared" si="28"/>
        <v>-8</v>
      </c>
      <c r="U84" s="1239"/>
      <c r="V84" s="1197"/>
      <c r="W84" s="1197"/>
      <c r="X84" s="1197"/>
      <c r="Y84" s="1197"/>
      <c r="Z84" s="1197"/>
      <c r="AA84" s="1240"/>
    </row>
    <row r="85" spans="2:27">
      <c r="B85" s="1241"/>
      <c r="C85" s="1208" t="s">
        <v>545</v>
      </c>
      <c r="D85" s="476">
        <v>114837787958.40005</v>
      </c>
      <c r="E85" s="476"/>
      <c r="F85" s="1407">
        <v>63</v>
      </c>
      <c r="G85" s="1219">
        <f t="shared" si="26"/>
        <v>-28</v>
      </c>
      <c r="H85" s="1216">
        <f t="shared" si="29"/>
        <v>114837787958.40005</v>
      </c>
      <c r="J85" s="1208" t="s">
        <v>546</v>
      </c>
      <c r="K85" s="1216">
        <v>103772044800</v>
      </c>
      <c r="L85" s="1201"/>
      <c r="M85" s="1218">
        <v>77</v>
      </c>
      <c r="N85" s="1152">
        <f t="shared" si="27"/>
        <v>-42</v>
      </c>
      <c r="O85" s="1239"/>
      <c r="P85" s="1220" t="s">
        <v>547</v>
      </c>
      <c r="Q85" s="1221">
        <v>97049030400</v>
      </c>
      <c r="R85" s="1201"/>
      <c r="S85" s="1218">
        <v>19</v>
      </c>
      <c r="T85" s="1152">
        <f t="shared" si="28"/>
        <v>16</v>
      </c>
      <c r="U85" s="1239"/>
      <c r="V85" s="1197"/>
      <c r="W85" s="1197"/>
      <c r="X85" s="1197"/>
      <c r="Y85" s="1197"/>
      <c r="Z85" s="1197"/>
      <c r="AA85" s="1240"/>
    </row>
    <row r="86" spans="2:27">
      <c r="B86" s="1241"/>
      <c r="C86" s="1208" t="s">
        <v>548</v>
      </c>
      <c r="D86" s="476">
        <v>153782444517.59988</v>
      </c>
      <c r="E86" s="476">
        <v>153782444517.59988</v>
      </c>
      <c r="F86" s="1408">
        <f>30+31+31+28</f>
        <v>120</v>
      </c>
      <c r="G86" s="1219">
        <f t="shared" si="26"/>
        <v>-85</v>
      </c>
      <c r="H86" s="1216">
        <f t="shared" si="29"/>
        <v>153782444517.59988</v>
      </c>
      <c r="J86" s="1208" t="s">
        <v>549</v>
      </c>
      <c r="K86" s="1216">
        <v>107230820400</v>
      </c>
      <c r="L86" s="1201"/>
      <c r="M86" s="1218">
        <v>46</v>
      </c>
      <c r="N86" s="1152">
        <f t="shared" si="27"/>
        <v>-11</v>
      </c>
      <c r="O86" s="1239"/>
      <c r="P86" s="1220" t="s">
        <v>550</v>
      </c>
      <c r="Q86" s="1221">
        <v>101634674400</v>
      </c>
      <c r="R86" s="1201"/>
      <c r="S86" s="1218">
        <v>17</v>
      </c>
      <c r="T86" s="1152">
        <f t="shared" si="28"/>
        <v>18</v>
      </c>
      <c r="U86" s="1239"/>
      <c r="V86" s="1197"/>
      <c r="W86" s="1197"/>
      <c r="X86" s="1197"/>
      <c r="Y86" s="1197"/>
      <c r="Z86" s="1197"/>
      <c r="AA86" s="1240"/>
    </row>
    <row r="87" spans="2:27">
      <c r="B87" s="1241"/>
      <c r="C87" s="1208" t="s">
        <v>551</v>
      </c>
      <c r="D87" s="476">
        <v>144613729697.60004</v>
      </c>
      <c r="E87" s="476">
        <v>144613729697.60004</v>
      </c>
      <c r="F87" s="1408">
        <f>31+31+28</f>
        <v>90</v>
      </c>
      <c r="G87" s="1219">
        <f t="shared" si="26"/>
        <v>-55</v>
      </c>
      <c r="H87" s="1216">
        <f t="shared" si="29"/>
        <v>144613729697.60004</v>
      </c>
      <c r="J87" s="1208" t="s">
        <v>552</v>
      </c>
      <c r="K87" s="1216">
        <v>99108144000</v>
      </c>
      <c r="L87" s="1201"/>
      <c r="M87" s="1218">
        <v>16</v>
      </c>
      <c r="N87" s="1152">
        <f t="shared" si="27"/>
        <v>19</v>
      </c>
      <c r="O87" s="1239"/>
      <c r="P87" s="1220" t="s">
        <v>553</v>
      </c>
      <c r="Q87" s="1221">
        <v>96269191200</v>
      </c>
      <c r="R87" s="1201"/>
      <c r="S87" s="1218">
        <v>12</v>
      </c>
      <c r="T87" s="1152">
        <f t="shared" si="28"/>
        <v>23</v>
      </c>
      <c r="U87" s="1239"/>
      <c r="V87" s="1197"/>
      <c r="W87" s="1197"/>
      <c r="X87" s="1197"/>
      <c r="Y87" s="1197"/>
      <c r="Z87" s="1197"/>
      <c r="AA87" s="1240"/>
    </row>
    <row r="88" spans="2:27">
      <c r="B88" s="1241"/>
      <c r="C88" s="1208" t="s">
        <v>554</v>
      </c>
      <c r="D88" s="476">
        <v>145852249726.40002</v>
      </c>
      <c r="E88" s="476">
        <v>145852249726.40002</v>
      </c>
      <c r="F88" s="1408">
        <f>31+28</f>
        <v>59</v>
      </c>
      <c r="G88" s="1219">
        <f t="shared" si="26"/>
        <v>-24</v>
      </c>
      <c r="H88" s="476">
        <f>IF(G88&lt;0,D88,0)</f>
        <v>145852249726.40002</v>
      </c>
      <c r="J88" s="1208" t="s">
        <v>555</v>
      </c>
      <c r="K88" s="1216">
        <v>107228059200</v>
      </c>
      <c r="L88" s="1216"/>
      <c r="M88" s="1218">
        <v>55</v>
      </c>
      <c r="N88" s="1152">
        <f t="shared" si="27"/>
        <v>-20</v>
      </c>
      <c r="O88" s="1239"/>
      <c r="P88" s="1220" t="s">
        <v>556</v>
      </c>
      <c r="Q88" s="1221">
        <v>97001827200</v>
      </c>
      <c r="R88" s="1216"/>
      <c r="S88" s="1218">
        <v>4</v>
      </c>
      <c r="T88" s="1152">
        <f t="shared" si="28"/>
        <v>31</v>
      </c>
      <c r="U88" s="1239"/>
      <c r="V88" s="1197"/>
      <c r="W88" s="1197"/>
      <c r="X88" s="1197"/>
      <c r="Y88" s="1197"/>
      <c r="Z88" s="1197"/>
      <c r="AA88" s="1240"/>
    </row>
    <row r="89" spans="2:27">
      <c r="B89" s="1241"/>
      <c r="C89" s="1223" t="s">
        <v>557</v>
      </c>
      <c r="D89" s="1222">
        <f>SUM(D77:D88)</f>
        <v>1433895283885.6001</v>
      </c>
      <c r="E89" s="1222">
        <f>SUM(E77:E88)</f>
        <v>444248423941.59998</v>
      </c>
      <c r="F89" s="1224">
        <f>SUM(F77:F88)</f>
        <v>750</v>
      </c>
      <c r="G89" s="1152"/>
      <c r="H89" s="1153">
        <f>AVERAGE(H79:H88,K77,K82:K86,K88,Q84)</f>
        <v>102636956504.75555</v>
      </c>
      <c r="J89" s="1223" t="s">
        <v>557</v>
      </c>
      <c r="K89" s="1225">
        <f>SUM(K77:K88)</f>
        <v>1237376696400</v>
      </c>
      <c r="L89" s="1225">
        <f>SUM(L77:L88)</f>
        <v>0</v>
      </c>
      <c r="M89" s="1226">
        <f>SUM(M77:M88)</f>
        <v>769</v>
      </c>
      <c r="N89" s="1152"/>
      <c r="O89" s="1239"/>
      <c r="P89" s="1223" t="s">
        <v>557</v>
      </c>
      <c r="Q89" s="1227">
        <f>SUM(Q77:Q88)</f>
        <v>1129235493600</v>
      </c>
      <c r="R89" s="1225">
        <f>SUM(R77:R88)</f>
        <v>0</v>
      </c>
      <c r="S89" s="1226">
        <f>SUM(S77:S88)</f>
        <v>242</v>
      </c>
      <c r="T89" s="1152"/>
      <c r="U89" s="1239"/>
      <c r="V89" s="1197"/>
      <c r="W89" s="1197"/>
      <c r="X89" s="1197"/>
      <c r="Y89" s="1197"/>
      <c r="Z89" s="1197"/>
      <c r="AA89" s="1240"/>
    </row>
    <row r="90" spans="2:27">
      <c r="B90" s="1241"/>
      <c r="C90" s="470"/>
      <c r="D90" s="496"/>
      <c r="E90" s="496"/>
      <c r="F90" s="1239"/>
      <c r="G90" s="1138" t="s">
        <v>492</v>
      </c>
      <c r="H90" s="1154">
        <f>(8+7+1)/36</f>
        <v>0.44444444444444442</v>
      </c>
      <c r="J90" s="470"/>
      <c r="K90" s="496"/>
      <c r="L90" s="496"/>
      <c r="M90" s="1239"/>
      <c r="N90" s="1239"/>
      <c r="O90" s="1239"/>
      <c r="P90" s="470"/>
      <c r="Q90" s="496"/>
      <c r="S90" s="1239"/>
      <c r="T90" s="1239"/>
      <c r="U90" s="1239"/>
      <c r="V90" s="1197"/>
      <c r="W90" s="1197"/>
      <c r="X90" s="1197"/>
      <c r="Y90" s="1197"/>
      <c r="Z90" s="1197"/>
      <c r="AA90" s="1240"/>
    </row>
    <row r="91" spans="2:27">
      <c r="B91" s="1241"/>
      <c r="C91" s="470"/>
      <c r="D91" s="470"/>
      <c r="E91" s="1239"/>
      <c r="F91" s="1239"/>
      <c r="G91" s="1239"/>
      <c r="H91" s="1239"/>
      <c r="I91" s="1247"/>
      <c r="J91" s="497">
        <v>2023</v>
      </c>
      <c r="K91" s="470">
        <v>1</v>
      </c>
      <c r="L91" s="1239"/>
      <c r="M91" s="1239"/>
      <c r="N91" s="1239"/>
      <c r="O91" s="1239"/>
      <c r="P91" s="497"/>
      <c r="Q91" s="497"/>
      <c r="R91" s="1239"/>
      <c r="S91" s="1239"/>
      <c r="T91" s="1239"/>
      <c r="U91" s="1239"/>
      <c r="AA91" s="1246"/>
    </row>
    <row r="92" spans="2:27">
      <c r="B92" s="1241"/>
      <c r="C92" s="131" t="s">
        <v>3226</v>
      </c>
      <c r="E92" s="1248"/>
      <c r="F92" s="1248"/>
      <c r="G92" s="1248"/>
      <c r="H92" s="1248"/>
      <c r="I92" s="1248"/>
      <c r="J92">
        <v>2024</v>
      </c>
      <c r="K92">
        <v>7</v>
      </c>
      <c r="L92" s="1239"/>
      <c r="M92" s="1239"/>
      <c r="N92" s="1239"/>
      <c r="O92" s="1239"/>
      <c r="P92" s="1239"/>
      <c r="Q92" s="1239"/>
      <c r="R92" s="1239"/>
      <c r="S92" s="1239"/>
      <c r="T92" s="1239"/>
      <c r="U92" s="1239"/>
      <c r="AA92" s="1246"/>
    </row>
    <row r="93" spans="2:27">
      <c r="B93" s="1241"/>
      <c r="C93" s="1483" t="s">
        <v>3227</v>
      </c>
      <c r="D93" s="1483"/>
      <c r="E93" s="1483"/>
      <c r="F93" s="1483"/>
      <c r="G93" s="1483"/>
      <c r="H93" s="1483"/>
      <c r="I93" s="1483"/>
      <c r="J93" s="1483"/>
      <c r="K93" s="1483"/>
      <c r="L93" s="1483"/>
      <c r="M93" s="1483"/>
      <c r="N93" s="1483"/>
      <c r="O93" s="1483"/>
      <c r="P93" s="1483"/>
      <c r="Q93" s="1483"/>
      <c r="R93" s="1483"/>
      <c r="S93" s="1483"/>
      <c r="T93" s="1483"/>
      <c r="U93" s="1239"/>
      <c r="AA93" s="1246"/>
    </row>
    <row r="94" spans="2:27" ht="14.65" thickBot="1">
      <c r="B94" s="1243"/>
      <c r="C94" s="1244"/>
      <c r="D94" s="1244"/>
      <c r="E94" s="1244"/>
      <c r="F94" s="1244"/>
      <c r="G94" s="1244"/>
      <c r="H94" s="1244"/>
      <c r="I94" s="1244"/>
      <c r="J94" s="1244"/>
      <c r="K94" s="1244"/>
      <c r="L94" s="1244"/>
      <c r="M94" s="1244"/>
      <c r="N94" s="1244"/>
      <c r="O94" s="1244"/>
      <c r="P94" s="1244"/>
      <c r="Q94" s="1244"/>
      <c r="R94" s="1244"/>
      <c r="S94" s="1244"/>
      <c r="T94" s="1244"/>
      <c r="U94" s="1244"/>
      <c r="V94" s="1249"/>
      <c r="W94" s="1249"/>
      <c r="X94" s="1249"/>
      <c r="Y94" s="1249"/>
      <c r="Z94" s="1249"/>
      <c r="AA94" s="1250"/>
    </row>
    <row r="95" spans="2:27" ht="15" thickTop="1" thickBot="1"/>
    <row r="96" spans="2:27" s="1128" customFormat="1">
      <c r="B96" s="1251"/>
      <c r="C96" s="1252"/>
      <c r="D96" s="1252"/>
      <c r="E96" s="1252"/>
      <c r="F96" s="1252"/>
      <c r="G96" s="1252"/>
      <c r="H96" s="1252"/>
      <c r="I96" s="1252"/>
      <c r="J96" s="1252"/>
      <c r="K96" s="1252"/>
      <c r="L96" s="1252"/>
      <c r="M96" s="1252"/>
      <c r="N96" s="1252"/>
      <c r="O96" s="1252"/>
      <c r="P96" s="1252"/>
      <c r="Q96" s="1252"/>
      <c r="R96" s="1252"/>
      <c r="S96" s="1252"/>
      <c r="T96" s="1252"/>
      <c r="U96" s="1253"/>
    </row>
    <row r="97" spans="2:26" s="1128" customFormat="1" ht="18">
      <c r="B97" s="1254">
        <v>4</v>
      </c>
      <c r="C97" s="1255" t="s">
        <v>412</v>
      </c>
      <c r="D97" s="1256"/>
      <c r="E97" s="1257"/>
      <c r="F97" s="1258"/>
      <c r="G97" s="1258"/>
      <c r="H97" s="1258"/>
      <c r="I97" s="1258"/>
      <c r="J97" s="1258"/>
      <c r="K97" s="1258"/>
      <c r="L97" s="1258"/>
      <c r="M97" s="1258"/>
      <c r="N97" s="1258"/>
      <c r="O97" s="1258"/>
      <c r="P97" s="1258"/>
      <c r="Q97" s="1258"/>
      <c r="R97" s="1258"/>
      <c r="S97" s="1258"/>
      <c r="T97" s="1258"/>
      <c r="U97" s="1259"/>
    </row>
    <row r="98" spans="2:26" s="1128" customFormat="1" ht="21">
      <c r="B98" s="1260"/>
      <c r="C98" s="1261" t="s">
        <v>413</v>
      </c>
      <c r="D98" s="1262"/>
      <c r="E98" s="1262"/>
      <c r="F98" s="1262"/>
      <c r="G98" s="1262"/>
      <c r="H98" s="1262"/>
      <c r="I98" s="1262"/>
      <c r="J98" s="1262"/>
      <c r="K98" s="1262"/>
      <c r="L98" s="1262"/>
      <c r="M98" s="1262"/>
      <c r="U98" s="1263"/>
    </row>
    <row r="99" spans="2:26" s="1128" customFormat="1" ht="21">
      <c r="B99" s="1260"/>
      <c r="C99" s="1117" t="s">
        <v>414</v>
      </c>
      <c r="D99" s="1481" t="s">
        <v>415</v>
      </c>
      <c r="E99" s="1482"/>
      <c r="F99" s="1117" t="s">
        <v>416</v>
      </c>
      <c r="G99" s="1117" t="s">
        <v>417</v>
      </c>
      <c r="H99" s="1264"/>
      <c r="I99" s="1264"/>
      <c r="J99" s="1264"/>
      <c r="K99" s="1262"/>
      <c r="L99" s="1262"/>
      <c r="M99" s="1258"/>
      <c r="N99" s="1258"/>
      <c r="O99" s="1258"/>
      <c r="P99" s="1258"/>
      <c r="Q99" s="1258"/>
      <c r="R99" s="1258"/>
      <c r="S99" s="1258"/>
      <c r="T99" s="1258"/>
      <c r="U99" s="1259"/>
    </row>
    <row r="100" spans="2:26" s="1128" customFormat="1">
      <c r="B100" s="1265"/>
      <c r="C100" s="106" t="s">
        <v>3228</v>
      </c>
      <c r="D100" s="1117">
        <v>511</v>
      </c>
      <c r="E100" s="1117" t="s">
        <v>419</v>
      </c>
      <c r="F100" s="1119" t="s">
        <v>490</v>
      </c>
      <c r="G100" s="1119" t="s">
        <v>562</v>
      </c>
      <c r="H100" s="1266"/>
      <c r="I100" s="1264"/>
      <c r="J100" s="1267"/>
      <c r="K100" s="1258"/>
      <c r="M100" s="1258"/>
      <c r="N100" s="1258"/>
      <c r="O100" s="1258"/>
      <c r="P100" s="1258"/>
      <c r="Q100" s="1258"/>
      <c r="R100" s="1258"/>
      <c r="S100" s="1258"/>
      <c r="T100" s="1258"/>
      <c r="U100" s="1259"/>
    </row>
    <row r="101" spans="2:26" s="1128" customFormat="1">
      <c r="B101" s="1265"/>
      <c r="C101" s="1118" t="s">
        <v>427</v>
      </c>
      <c r="D101" s="1117">
        <v>200</v>
      </c>
      <c r="E101" s="1117" t="s">
        <v>428</v>
      </c>
      <c r="K101" s="1258"/>
      <c r="M101" s="1258"/>
      <c r="N101" s="1258"/>
      <c r="O101" s="1258"/>
      <c r="P101" s="1258"/>
      <c r="Q101" s="1258"/>
      <c r="R101" s="1258"/>
      <c r="S101" s="1258"/>
      <c r="T101" s="1258"/>
      <c r="U101" s="1259"/>
    </row>
    <row r="102" spans="2:26" s="1128" customFormat="1">
      <c r="B102" s="1265"/>
      <c r="C102" s="1118" t="s">
        <v>431</v>
      </c>
      <c r="D102" s="1121">
        <v>1800</v>
      </c>
      <c r="E102" s="1117" t="s">
        <v>432</v>
      </c>
      <c r="K102" s="1258"/>
      <c r="M102" s="1258"/>
      <c r="N102" s="1258"/>
      <c r="O102" s="1258"/>
      <c r="P102" s="1258"/>
      <c r="Q102" s="1258"/>
      <c r="R102" s="1258"/>
      <c r="S102" s="1258"/>
      <c r="T102" s="1258"/>
      <c r="U102" s="1259"/>
    </row>
    <row r="103" spans="2:26" s="1128" customFormat="1">
      <c r="B103" s="1265"/>
      <c r="D103" s="1266"/>
      <c r="E103" s="1264"/>
      <c r="K103" s="1258"/>
      <c r="U103" s="1263"/>
    </row>
    <row r="104" spans="2:26" s="1128" customFormat="1">
      <c r="B104" s="1265"/>
      <c r="C104" s="1128" t="s">
        <v>435</v>
      </c>
      <c r="D104" s="1266"/>
      <c r="E104" s="1264"/>
      <c r="K104" s="1258"/>
      <c r="U104" s="1263"/>
    </row>
    <row r="105" spans="2:26" s="1128" customFormat="1">
      <c r="B105" s="1265"/>
      <c r="C105" s="1409" t="s">
        <v>436</v>
      </c>
      <c r="D105" s="1409" t="s">
        <v>437</v>
      </c>
      <c r="E105" s="1409" t="s">
        <v>438</v>
      </c>
      <c r="F105" s="1409" t="s">
        <v>439</v>
      </c>
      <c r="G105" s="1409" t="s">
        <v>440</v>
      </c>
      <c r="H105" s="1409" t="s">
        <v>441</v>
      </c>
      <c r="I105" s="1409" t="s">
        <v>442</v>
      </c>
      <c r="J105" s="1409" t="s">
        <v>443</v>
      </c>
      <c r="K105" s="1409" t="s">
        <v>444</v>
      </c>
      <c r="L105" s="1409" t="s">
        <v>445</v>
      </c>
      <c r="M105" s="1409" t="s">
        <v>446</v>
      </c>
      <c r="N105" s="1409" t="s">
        <v>447</v>
      </c>
      <c r="O105" s="1409" t="s">
        <v>448</v>
      </c>
      <c r="U105" s="1263"/>
    </row>
    <row r="106" spans="2:26" s="1128" customFormat="1">
      <c r="B106" s="1265"/>
      <c r="C106" s="106" t="s">
        <v>3228</v>
      </c>
      <c r="D106" s="1410"/>
      <c r="E106" s="1410"/>
      <c r="F106" s="1410"/>
      <c r="G106" s="1410"/>
      <c r="H106" s="1410"/>
      <c r="I106" s="1410"/>
      <c r="J106" s="1410"/>
      <c r="K106" s="1410"/>
      <c r="L106" s="1410">
        <v>177</v>
      </c>
      <c r="M106" s="1410">
        <v>177</v>
      </c>
      <c r="N106" s="1410">
        <v>177</v>
      </c>
      <c r="O106" s="1410">
        <v>177</v>
      </c>
      <c r="U106" s="1263"/>
    </row>
    <row r="107" spans="2:26" s="1128" customFormat="1">
      <c r="B107" s="1260"/>
      <c r="C107" s="1258"/>
      <c r="D107" s="1258"/>
      <c r="E107" s="1258"/>
      <c r="F107" s="1258"/>
      <c r="G107" s="1258"/>
      <c r="H107" s="1258"/>
      <c r="I107" s="1258"/>
      <c r="J107" s="1258"/>
      <c r="K107" s="1258"/>
      <c r="L107" s="1258"/>
      <c r="M107" s="1258"/>
      <c r="N107" s="1258"/>
      <c r="O107" s="1258"/>
      <c r="P107" s="1258"/>
      <c r="Q107" s="1258"/>
      <c r="R107" s="1258"/>
      <c r="S107" s="1258"/>
      <c r="T107" s="1258"/>
      <c r="U107" s="1259"/>
    </row>
    <row r="108" spans="2:26" s="1128" customFormat="1">
      <c r="B108" s="1260"/>
      <c r="C108" s="1270" t="s">
        <v>449</v>
      </c>
      <c r="D108" s="1258"/>
      <c r="E108" s="1258"/>
      <c r="F108" s="1258"/>
      <c r="G108" s="1258"/>
      <c r="H108" s="1258"/>
      <c r="I108" s="1258"/>
      <c r="J108" s="1258"/>
      <c r="K108" s="1258"/>
      <c r="L108" s="1258"/>
      <c r="M108" s="1258"/>
      <c r="N108" s="1258"/>
      <c r="O108" s="1258"/>
      <c r="P108" s="1258"/>
      <c r="Q108" s="1258"/>
      <c r="R108" s="1258"/>
      <c r="S108" s="1258"/>
      <c r="T108" s="1258"/>
      <c r="U108" s="1259"/>
      <c r="V108" s="1411" t="s">
        <v>450</v>
      </c>
      <c r="W108" s="1411" t="s">
        <v>414</v>
      </c>
      <c r="X108" s="1411" t="s">
        <v>451</v>
      </c>
      <c r="Y108" s="1411" t="s">
        <v>452</v>
      </c>
      <c r="Z108" s="1411">
        <v>2025</v>
      </c>
    </row>
    <row r="109" spans="2:26" s="1128" customFormat="1">
      <c r="B109" s="1260"/>
      <c r="C109" s="1119" t="s">
        <v>414</v>
      </c>
      <c r="D109" s="1122" t="s">
        <v>453</v>
      </c>
      <c r="E109" s="1119" t="s">
        <v>454</v>
      </c>
      <c r="F109" s="1119" t="s">
        <v>455</v>
      </c>
      <c r="G109" s="1119" t="s">
        <v>456</v>
      </c>
      <c r="H109" s="1119" t="s">
        <v>324</v>
      </c>
      <c r="I109" s="1119" t="s">
        <v>457</v>
      </c>
      <c r="J109" s="1119" t="s">
        <v>458</v>
      </c>
      <c r="K109" s="1119" t="s">
        <v>459</v>
      </c>
      <c r="L109" s="1119" t="s">
        <v>460</v>
      </c>
      <c r="M109" s="1119" t="s">
        <v>461</v>
      </c>
      <c r="N109" s="1119" t="s">
        <v>462</v>
      </c>
      <c r="O109" s="1119" t="s">
        <v>463</v>
      </c>
      <c r="P109" s="1188" t="s">
        <v>464</v>
      </c>
      <c r="Q109" s="1189" t="s">
        <v>186</v>
      </c>
      <c r="R109" s="1189" t="s">
        <v>187</v>
      </c>
      <c r="S109" s="1189" t="s">
        <v>188</v>
      </c>
      <c r="T109" s="1189" t="s">
        <v>189</v>
      </c>
      <c r="U109" s="1259"/>
      <c r="V109" s="1411"/>
      <c r="W109" s="1411"/>
      <c r="X109" s="1411"/>
      <c r="Y109" s="1411"/>
      <c r="Z109" s="1411" t="s">
        <v>448</v>
      </c>
    </row>
    <row r="110" spans="2:26" s="1128" customFormat="1">
      <c r="B110" s="1260"/>
      <c r="C110" s="106" t="s">
        <v>3228</v>
      </c>
      <c r="D110" s="1120"/>
      <c r="E110" s="1120"/>
      <c r="F110" s="1120"/>
      <c r="G110" s="1120"/>
      <c r="H110" s="1120"/>
      <c r="I110" s="1120"/>
      <c r="J110" s="1120"/>
      <c r="K110" s="1120"/>
      <c r="L110" s="1120">
        <f>(L106*$D$101*$D$102*1000)</f>
        <v>63720000000</v>
      </c>
      <c r="M110" s="1120">
        <f t="shared" ref="M110:O110" si="30">(M106*$D$101*$D$102*1000)</f>
        <v>63720000000</v>
      </c>
      <c r="N110" s="1120">
        <f t="shared" si="30"/>
        <v>63720000000</v>
      </c>
      <c r="O110" s="1120">
        <f t="shared" si="30"/>
        <v>63720000000</v>
      </c>
      <c r="P110" s="1190">
        <f>SUM(D110:O110)</f>
        <v>254880000000</v>
      </c>
      <c r="Q110" s="1120">
        <f>SUM(D110:F110)</f>
        <v>0</v>
      </c>
      <c r="R110" s="1120">
        <f>SUM(G110:I110)</f>
        <v>0</v>
      </c>
      <c r="S110" s="1120">
        <f>SUM(J110:L110)</f>
        <v>63720000000</v>
      </c>
      <c r="T110" s="1120">
        <f>SUM(M110:O110)</f>
        <v>191160000000</v>
      </c>
      <c r="U110" s="1259"/>
      <c r="V110" s="1410">
        <v>1</v>
      </c>
      <c r="W110" s="106" t="s">
        <v>418</v>
      </c>
      <c r="X110" s="1410" t="s">
        <v>465</v>
      </c>
      <c r="Y110" s="1410" t="s">
        <v>419</v>
      </c>
      <c r="Z110" s="1410">
        <v>132.6</v>
      </c>
    </row>
    <row r="111" spans="2:26" s="1128" customFormat="1">
      <c r="B111" s="1260"/>
      <c r="C111" s="1118"/>
      <c r="D111" s="1118"/>
      <c r="E111" s="1118"/>
      <c r="F111" s="1120"/>
      <c r="G111" s="1120"/>
      <c r="H111" s="1120"/>
      <c r="I111" s="1120"/>
      <c r="J111" s="1120"/>
      <c r="K111" s="1120"/>
      <c r="L111" s="1120"/>
      <c r="M111" s="1120"/>
      <c r="N111" s="1120"/>
      <c r="O111" s="1120"/>
      <c r="P111" s="1190"/>
      <c r="Q111" s="1120"/>
      <c r="R111" s="1120"/>
      <c r="S111" s="1120"/>
      <c r="T111" s="1120"/>
      <c r="U111" s="1259"/>
    </row>
    <row r="112" spans="2:26" s="1128" customFormat="1">
      <c r="B112" s="1260"/>
      <c r="C112" s="1188" t="s">
        <v>470</v>
      </c>
      <c r="D112" s="1125">
        <f>SUM(D110:D110)</f>
        <v>0</v>
      </c>
      <c r="E112" s="1125">
        <f>SUM(E110:E110)</f>
        <v>0</v>
      </c>
      <c r="F112" s="1125">
        <f>SUM(F110:F110)</f>
        <v>0</v>
      </c>
      <c r="G112" s="1125">
        <f>SUM(G110:G110)</f>
        <v>0</v>
      </c>
      <c r="H112" s="1125">
        <f>SUM(H110:H110)</f>
        <v>0</v>
      </c>
      <c r="I112" s="1125">
        <f>SUM(I110:I110)</f>
        <v>0</v>
      </c>
      <c r="J112" s="1125">
        <f>SUM(J110:J110)</f>
        <v>0</v>
      </c>
      <c r="K112" s="1125">
        <f>SUM(K110:K110)</f>
        <v>0</v>
      </c>
      <c r="L112" s="1125">
        <f>SUM(L110:L110)</f>
        <v>63720000000</v>
      </c>
      <c r="M112" s="1125">
        <f>SUM(M110:M110)</f>
        <v>63720000000</v>
      </c>
      <c r="N112" s="1125">
        <f>SUM(N110:N110)</f>
        <v>63720000000</v>
      </c>
      <c r="O112" s="1125">
        <f>SUM(O110:O110)</f>
        <v>63720000000</v>
      </c>
      <c r="P112" s="1126">
        <f>SUM(P110:P111)</f>
        <v>254880000000</v>
      </c>
      <c r="Q112" s="1126">
        <f>SUM(Q110:Q111)</f>
        <v>0</v>
      </c>
      <c r="R112" s="1126">
        <f>SUM(R110:R111)</f>
        <v>0</v>
      </c>
      <c r="S112" s="1126">
        <f>SUM(S110:S111)</f>
        <v>63720000000</v>
      </c>
      <c r="T112" s="1126">
        <f>SUM(T110:T111)</f>
        <v>191160000000</v>
      </c>
      <c r="U112" s="1259"/>
    </row>
    <row r="113" spans="2:21" s="1128" customFormat="1">
      <c r="B113" s="1260"/>
      <c r="C113" s="1188" t="s">
        <v>471</v>
      </c>
      <c r="D113" s="1125">
        <f>D112</f>
        <v>0</v>
      </c>
      <c r="E113" s="1125">
        <f>D113+E112</f>
        <v>0</v>
      </c>
      <c r="F113" s="1125">
        <f t="shared" ref="F113" si="31">E113+F112</f>
        <v>0</v>
      </c>
      <c r="G113" s="1125">
        <f t="shared" ref="G113" si="32">F113+G112</f>
        <v>0</v>
      </c>
      <c r="H113" s="1125">
        <f t="shared" ref="H113" si="33">G113+H112</f>
        <v>0</v>
      </c>
      <c r="I113" s="1125">
        <f t="shared" ref="I113" si="34">H113+I112</f>
        <v>0</v>
      </c>
      <c r="J113" s="1125">
        <f t="shared" ref="J113" si="35">I113+J112</f>
        <v>0</v>
      </c>
      <c r="K113" s="1125">
        <f t="shared" ref="K113" si="36">J113+K112</f>
        <v>0</v>
      </c>
      <c r="L113" s="1125">
        <f t="shared" ref="L113" si="37">K113+L112</f>
        <v>63720000000</v>
      </c>
      <c r="M113" s="1125">
        <f t="shared" ref="M113" si="38">L113+M112</f>
        <v>127440000000</v>
      </c>
      <c r="N113" s="1125">
        <f t="shared" ref="N113" si="39">M113+N112</f>
        <v>191160000000</v>
      </c>
      <c r="O113" s="1125">
        <f>N113+O112</f>
        <v>254880000000</v>
      </c>
      <c r="P113" s="1191"/>
      <c r="Q113" s="1125">
        <f>Q112</f>
        <v>0</v>
      </c>
      <c r="R113" s="1125">
        <f t="shared" ref="R113" si="40">Q113+R112</f>
        <v>0</v>
      </c>
      <c r="S113" s="1125">
        <f t="shared" ref="S113" si="41">R113+S112</f>
        <v>63720000000</v>
      </c>
      <c r="T113" s="1125">
        <f>S113+T112</f>
        <v>254880000000</v>
      </c>
      <c r="U113" s="1259"/>
    </row>
    <row r="114" spans="2:21" s="1128" customFormat="1">
      <c r="B114" s="1260"/>
      <c r="C114" s="1258"/>
      <c r="F114" s="1269"/>
      <c r="G114" s="1269"/>
      <c r="I114" s="1269"/>
      <c r="L114" s="1269"/>
      <c r="O114" s="1269"/>
      <c r="P114" s="1258"/>
      <c r="Q114" s="1271">
        <f>T113</f>
        <v>254880000000</v>
      </c>
      <c r="R114" s="1271">
        <f>$Q$114-Q113</f>
        <v>254880000000</v>
      </c>
      <c r="S114" s="1271">
        <f t="shared" ref="S114:T114" si="42">$Q$114-R113</f>
        <v>254880000000</v>
      </c>
      <c r="T114" s="1271">
        <f t="shared" si="42"/>
        <v>191160000000</v>
      </c>
      <c r="U114" s="1259"/>
    </row>
    <row r="115" spans="2:21" s="1128" customFormat="1">
      <c r="B115" s="1265"/>
      <c r="U115" s="1263"/>
    </row>
    <row r="116" spans="2:21" s="1128" customFormat="1">
      <c r="B116" s="1265"/>
      <c r="C116" s="1117" t="s">
        <v>414</v>
      </c>
      <c r="D116" s="1481" t="s">
        <v>415</v>
      </c>
      <c r="E116" s="1482"/>
      <c r="F116" s="1117" t="s">
        <v>416</v>
      </c>
      <c r="G116" s="1117" t="s">
        <v>472</v>
      </c>
      <c r="H116" s="1117" t="s">
        <v>473</v>
      </c>
      <c r="I116" s="1117" t="s">
        <v>474</v>
      </c>
      <c r="J116" s="1272"/>
      <c r="U116" s="1263"/>
    </row>
    <row r="117" spans="2:21" s="1128" customFormat="1">
      <c r="B117" s="1265"/>
      <c r="C117" s="1118" t="s">
        <v>475</v>
      </c>
      <c r="D117" s="1117">
        <v>243.2</v>
      </c>
      <c r="E117" s="1117" t="s">
        <v>419</v>
      </c>
      <c r="F117" s="1119" t="s">
        <v>420</v>
      </c>
      <c r="G117" s="1121" t="s">
        <v>476</v>
      </c>
      <c r="H117" s="1192" t="s">
        <v>477</v>
      </c>
      <c r="I117" s="1119" t="s">
        <v>478</v>
      </c>
      <c r="J117" s="1272"/>
      <c r="U117" s="1263"/>
    </row>
    <row r="118" spans="2:21" s="1128" customFormat="1">
      <c r="B118" s="1265"/>
      <c r="C118" s="1118" t="s">
        <v>479</v>
      </c>
      <c r="D118" s="1117">
        <v>15</v>
      </c>
      <c r="E118" s="1117" t="s">
        <v>419</v>
      </c>
      <c r="F118" s="1119" t="s">
        <v>420</v>
      </c>
      <c r="G118" s="1122" t="s">
        <v>325</v>
      </c>
      <c r="H118" s="1119" t="s">
        <v>480</v>
      </c>
      <c r="I118" s="1119" t="s">
        <v>478</v>
      </c>
      <c r="J118" s="1272"/>
      <c r="U118" s="1263"/>
    </row>
    <row r="119" spans="2:21" s="1128" customFormat="1">
      <c r="B119" s="1265"/>
      <c r="C119" s="1193" t="s">
        <v>481</v>
      </c>
      <c r="D119" s="1117">
        <v>12.5</v>
      </c>
      <c r="E119" s="1117" t="s">
        <v>419</v>
      </c>
      <c r="F119" s="2029" t="s">
        <v>490</v>
      </c>
      <c r="G119" s="2029" t="s">
        <v>421</v>
      </c>
      <c r="H119" s="1119" t="s">
        <v>482</v>
      </c>
      <c r="I119" s="1119" t="s">
        <v>478</v>
      </c>
      <c r="J119" s="1272"/>
      <c r="U119" s="1263"/>
    </row>
    <row r="120" spans="2:21" s="1128" customFormat="1">
      <c r="B120" s="1265"/>
      <c r="C120" s="1193" t="s">
        <v>483</v>
      </c>
      <c r="D120" s="1117">
        <v>12</v>
      </c>
      <c r="E120" s="1119" t="s">
        <v>419</v>
      </c>
      <c r="F120" s="1119" t="s">
        <v>420</v>
      </c>
      <c r="G120" s="1119" t="s">
        <v>326</v>
      </c>
      <c r="H120" s="1119" t="s">
        <v>484</v>
      </c>
      <c r="I120" s="1119" t="s">
        <v>485</v>
      </c>
      <c r="J120" s="1272"/>
      <c r="U120" s="1263"/>
    </row>
    <row r="121" spans="2:21" s="1128" customFormat="1">
      <c r="B121" s="1265"/>
      <c r="C121" s="1193" t="s">
        <v>486</v>
      </c>
      <c r="D121" s="1117">
        <v>5</v>
      </c>
      <c r="E121" s="1119" t="s">
        <v>419</v>
      </c>
      <c r="F121" s="2029" t="s">
        <v>490</v>
      </c>
      <c r="G121" s="2029" t="s">
        <v>424</v>
      </c>
      <c r="H121" s="1119" t="s">
        <v>487</v>
      </c>
      <c r="I121" s="1119" t="s">
        <v>488</v>
      </c>
      <c r="J121" s="1272"/>
      <c r="U121" s="1263"/>
    </row>
    <row r="122" spans="2:21" s="1128" customFormat="1">
      <c r="B122" s="1265"/>
      <c r="C122" s="1193" t="s">
        <v>489</v>
      </c>
      <c r="D122" s="1117">
        <v>8</v>
      </c>
      <c r="E122" s="1119" t="s">
        <v>419</v>
      </c>
      <c r="F122" s="2029" t="s">
        <v>490</v>
      </c>
      <c r="G122" s="2029" t="s">
        <v>421</v>
      </c>
      <c r="H122" s="1119"/>
      <c r="I122" s="1119" t="s">
        <v>491</v>
      </c>
      <c r="J122" s="1272"/>
      <c r="U122" s="1263"/>
    </row>
    <row r="123" spans="2:21" s="1128" customFormat="1">
      <c r="B123" s="1265"/>
      <c r="J123" s="1272"/>
      <c r="K123" s="1273"/>
      <c r="L123" s="1273"/>
      <c r="M123" s="1274"/>
      <c r="N123" s="1274"/>
      <c r="U123" s="1263"/>
    </row>
    <row r="124" spans="2:21" s="1128" customFormat="1">
      <c r="B124" s="1265"/>
      <c r="C124" s="1128" t="s">
        <v>492</v>
      </c>
      <c r="D124" s="1194">
        <f>1/3</f>
        <v>0.33333333333333331</v>
      </c>
      <c r="J124" s="1272"/>
      <c r="K124" s="1273"/>
      <c r="L124" s="1273"/>
      <c r="M124" s="1274"/>
      <c r="N124" s="1274"/>
      <c r="U124" s="1263"/>
    </row>
    <row r="125" spans="2:21" s="1128" customFormat="1" ht="14.65" thickBot="1">
      <c r="B125" s="1275"/>
      <c r="C125" s="1276" t="s">
        <v>3230</v>
      </c>
      <c r="D125" s="1276"/>
      <c r="E125" s="1276"/>
      <c r="F125" s="1276"/>
      <c r="G125" s="1276"/>
      <c r="H125" s="1276"/>
      <c r="I125" s="1276"/>
      <c r="J125" s="1276"/>
      <c r="K125" s="1276"/>
      <c r="L125" s="1276"/>
      <c r="M125" s="1276"/>
      <c r="N125" s="1276"/>
      <c r="O125" s="1276"/>
      <c r="P125" s="1276"/>
      <c r="Q125" s="1276"/>
      <c r="R125" s="1276"/>
      <c r="S125" s="1276"/>
      <c r="T125" s="1276"/>
      <c r="U125" s="1277"/>
    </row>
    <row r="127" spans="2:21" ht="14.65" thickBot="1"/>
    <row r="128" spans="2:21" ht="18.399999999999999" thickTop="1">
      <c r="B128" s="1278">
        <v>5</v>
      </c>
      <c r="C128" s="1279" t="s">
        <v>3241</v>
      </c>
      <c r="D128" s="1280"/>
      <c r="E128" s="1280"/>
      <c r="F128" s="1280"/>
      <c r="G128" s="1280"/>
      <c r="H128" s="1280"/>
      <c r="I128" s="1280"/>
      <c r="J128" s="1280"/>
      <c r="K128" s="1280"/>
      <c r="L128" s="1280"/>
      <c r="M128" s="1280"/>
      <c r="N128" s="1280"/>
      <c r="O128" s="1280"/>
      <c r="P128" s="1280"/>
      <c r="Q128" s="1280"/>
      <c r="R128" s="1280"/>
      <c r="S128" s="1280"/>
      <c r="T128" s="1280"/>
      <c r="U128" s="2059"/>
    </row>
    <row r="129" spans="2:21" ht="18">
      <c r="B129" s="1335"/>
      <c r="C129" s="2031"/>
      <c r="D129" s="2032"/>
      <c r="E129" s="2032"/>
      <c r="F129" s="2032"/>
      <c r="G129" s="2032"/>
      <c r="H129" s="1283"/>
      <c r="I129" s="1283"/>
      <c r="J129" s="1283"/>
      <c r="K129" s="1283"/>
      <c r="L129" s="1283"/>
      <c r="M129" s="1283"/>
      <c r="N129" s="1283"/>
      <c r="O129" s="1283"/>
      <c r="P129" s="1283"/>
      <c r="Q129" s="1283"/>
      <c r="R129" s="1283"/>
      <c r="S129" s="1283"/>
      <c r="T129" s="1283"/>
      <c r="U129" s="2060"/>
    </row>
    <row r="130" spans="2:21" ht="18">
      <c r="B130" s="1335"/>
      <c r="C130" s="2036" t="s">
        <v>323</v>
      </c>
      <c r="D130" s="2037" t="s">
        <v>453</v>
      </c>
      <c r="E130" s="2038" t="s">
        <v>454</v>
      </c>
      <c r="F130" s="2038" t="s">
        <v>455</v>
      </c>
      <c r="G130" s="2038" t="s">
        <v>456</v>
      </c>
      <c r="H130" s="2038" t="s">
        <v>324</v>
      </c>
      <c r="I130" s="2038" t="s">
        <v>457</v>
      </c>
      <c r="J130" s="2038" t="s">
        <v>458</v>
      </c>
      <c r="K130" s="2038" t="s">
        <v>459</v>
      </c>
      <c r="L130" s="2038" t="s">
        <v>460</v>
      </c>
      <c r="M130" s="2038" t="s">
        <v>461</v>
      </c>
      <c r="N130" s="2038" t="s">
        <v>462</v>
      </c>
      <c r="O130" s="2044" t="s">
        <v>463</v>
      </c>
      <c r="P130" s="2049" t="s">
        <v>464</v>
      </c>
      <c r="Q130" s="2050" t="s">
        <v>186</v>
      </c>
      <c r="R130" s="2050" t="s">
        <v>187</v>
      </c>
      <c r="S130" s="2050" t="s">
        <v>188</v>
      </c>
      <c r="T130" s="2050" t="s">
        <v>189</v>
      </c>
      <c r="U130" s="2053"/>
    </row>
    <row r="131" spans="2:21" ht="18">
      <c r="B131" s="1335"/>
      <c r="C131" s="2039" t="s">
        <v>3242</v>
      </c>
      <c r="D131" s="2040">
        <v>57363967.072857074</v>
      </c>
      <c r="E131" s="2040">
        <v>55282246.669657074</v>
      </c>
      <c r="F131" s="2040">
        <v>61215608.223485649</v>
      </c>
      <c r="G131" s="2040">
        <v>59213324.056971364</v>
      </c>
      <c r="H131" s="2041">
        <v>62776463.076025069</v>
      </c>
      <c r="I131" s="2041">
        <v>60860228.029676266</v>
      </c>
      <c r="J131" s="2041">
        <v>64876031.69193802</v>
      </c>
      <c r="K131" s="2041">
        <v>63659143.351530984</v>
      </c>
      <c r="L131" s="2041">
        <v>61484240.184718169</v>
      </c>
      <c r="M131" s="2041">
        <v>63544700.256059341</v>
      </c>
      <c r="N131" s="2041">
        <v>58698886.471085548</v>
      </c>
      <c r="O131" s="2045">
        <v>63544741.453594342</v>
      </c>
      <c r="P131" s="2041">
        <f>SUM(D131:O131)</f>
        <v>732519580.53759885</v>
      </c>
      <c r="Q131" s="2041">
        <f>SUM(D131:F131)</f>
        <v>173861821.96599978</v>
      </c>
      <c r="R131" s="2041">
        <f>SUM(G131:I131)</f>
        <v>182850015.1626727</v>
      </c>
      <c r="S131" s="2041">
        <f>SUM(J131:L131)</f>
        <v>190019415.22818717</v>
      </c>
      <c r="T131" s="2041">
        <f>SUM(M131:O131)</f>
        <v>185788328.18073922</v>
      </c>
      <c r="U131" s="2053"/>
    </row>
    <row r="132" spans="2:21" ht="18">
      <c r="B132" s="1335"/>
      <c r="C132" s="2039" t="s">
        <v>558</v>
      </c>
      <c r="D132" s="2040">
        <f>D131*$D$136</f>
        <v>115026226774.49301</v>
      </c>
      <c r="E132" s="2040">
        <f>E131*$D$136</f>
        <v>110851961021.99637</v>
      </c>
      <c r="F132" s="2040">
        <f>F131*$D$136</f>
        <v>122749537609.73343</v>
      </c>
      <c r="G132" s="2040">
        <f>G131*$D$136</f>
        <v>118734557399.03899</v>
      </c>
      <c r="H132" s="2040">
        <f>H131*$D$136</f>
        <v>125879363760.04547</v>
      </c>
      <c r="I132" s="2040">
        <f>I131*$D$136</f>
        <v>122036929245.10686</v>
      </c>
      <c r="J132" s="2040">
        <f>J131*$D$136</f>
        <v>130089418748.67412</v>
      </c>
      <c r="K132" s="2040">
        <f>K131*$D$136</f>
        <v>127649314248.48993</v>
      </c>
      <c r="L132" s="2040">
        <f>L131*$D$136</f>
        <v>123288198418.39688</v>
      </c>
      <c r="M132" s="2040">
        <f>M131*$D$136</f>
        <v>127419832953.4502</v>
      </c>
      <c r="N132" s="2040">
        <f>N131*$D$136</f>
        <v>117703007151.82074</v>
      </c>
      <c r="O132" s="2046">
        <f>O131*$D$136</f>
        <v>127419915562.74738</v>
      </c>
      <c r="P132" s="2041">
        <f>SUM(D132:O132)</f>
        <v>1468848262893.9934</v>
      </c>
      <c r="Q132" s="2041">
        <f>SUM(D132:F132)</f>
        <v>348627725406.22278</v>
      </c>
      <c r="R132" s="2041">
        <f>SUM(G132:I132)</f>
        <v>366650850404.19135</v>
      </c>
      <c r="S132" s="2041">
        <f>SUM(J132:L132)</f>
        <v>381026931415.56091</v>
      </c>
      <c r="T132" s="2041">
        <f>SUM(M132:O132)</f>
        <v>372542755668.01831</v>
      </c>
      <c r="U132" s="2053"/>
    </row>
    <row r="133" spans="2:21">
      <c r="B133" s="1328"/>
      <c r="C133" s="2039" t="s">
        <v>559</v>
      </c>
      <c r="D133" s="2042">
        <f>D131*$D$137</f>
        <v>115645757618.87987</v>
      </c>
      <c r="E133" s="2042">
        <f>E131*$D$137</f>
        <v>111449009286.02866</v>
      </c>
      <c r="F133" s="2042">
        <f>F131*$D$137</f>
        <v>123410666178.54707</v>
      </c>
      <c r="G133" s="2042">
        <f>G131*$D$137</f>
        <v>119374061298.85426</v>
      </c>
      <c r="H133" s="2042">
        <f>H131*$D$137</f>
        <v>126557349561.26654</v>
      </c>
      <c r="I133" s="2042">
        <f>I131*$D$137</f>
        <v>122694219707.82735</v>
      </c>
      <c r="J133" s="2042">
        <f>J131*$D$137</f>
        <v>130790079890.94705</v>
      </c>
      <c r="K133" s="2042">
        <f>K131*$D$137</f>
        <v>128336832996.68646</v>
      </c>
      <c r="L133" s="2042">
        <f>L131*$D$137</f>
        <v>123952228212.39183</v>
      </c>
      <c r="M133" s="2042">
        <f>M131*$D$137</f>
        <v>128106115716.21564</v>
      </c>
      <c r="N133" s="2042">
        <f>N131*$D$137</f>
        <v>118336955125.70847</v>
      </c>
      <c r="O133" s="2047">
        <f>O131*$D$137</f>
        <v>128106198770.4462</v>
      </c>
      <c r="P133" s="2041">
        <f>SUM(D133:O133)</f>
        <v>1476759474363.7996</v>
      </c>
      <c r="Q133" s="2041">
        <f>SUM(D133:F133)</f>
        <v>350505433083.45557</v>
      </c>
      <c r="R133" s="2041">
        <f>SUM(G133:I133)</f>
        <v>368625630567.94812</v>
      </c>
      <c r="S133" s="2041">
        <f>SUM(J133:L133)</f>
        <v>383079141100.02533</v>
      </c>
      <c r="T133" s="2041">
        <f>SUM(M133:O133)</f>
        <v>374549269612.3703</v>
      </c>
      <c r="U133" s="2053"/>
    </row>
    <row r="134" spans="2:21">
      <c r="B134" s="1328"/>
      <c r="C134" s="2039" t="s">
        <v>505</v>
      </c>
      <c r="D134" s="2042">
        <f>D133-D132</f>
        <v>619530844.38685608</v>
      </c>
      <c r="E134" s="2042">
        <f>E133-E132</f>
        <v>597048264.0322876</v>
      </c>
      <c r="F134" s="2042">
        <f>F133-F132</f>
        <v>661128568.81364441</v>
      </c>
      <c r="G134" s="2042">
        <f>G133-G132</f>
        <v>639503899.8152771</v>
      </c>
      <c r="H134" s="2042">
        <f>H133-H132</f>
        <v>677985801.22106934</v>
      </c>
      <c r="I134" s="2042">
        <f>I133-I132</f>
        <v>657290462.7204895</v>
      </c>
      <c r="J134" s="2042">
        <f>J133-J132</f>
        <v>700661142.27293396</v>
      </c>
      <c r="K134" s="2042">
        <f>K133-K132</f>
        <v>687518748.1965332</v>
      </c>
      <c r="L134" s="2042">
        <f>L133-L132</f>
        <v>664029793.99494934</v>
      </c>
      <c r="M134" s="2042">
        <f>M133-M132</f>
        <v>686282762.76544189</v>
      </c>
      <c r="N134" s="2042">
        <f>N133-N132</f>
        <v>633947973.88772583</v>
      </c>
      <c r="O134" s="2042">
        <f>O133-O132</f>
        <v>686283207.69882202</v>
      </c>
      <c r="P134" s="2041">
        <f>SUM(D134:O134)</f>
        <v>7911211469.8060303</v>
      </c>
      <c r="Q134" s="2041">
        <f>SUM(D134:F134)</f>
        <v>1877707677.2327881</v>
      </c>
      <c r="R134" s="2041">
        <f>SUM(G134:I134)</f>
        <v>1974780163.7568359</v>
      </c>
      <c r="S134" s="2041">
        <f>SUM(J134:L134)</f>
        <v>2052209684.4644165</v>
      </c>
      <c r="T134" s="2041">
        <f>SUM(M134:O134)</f>
        <v>2006513944.3519897</v>
      </c>
      <c r="U134" s="2053"/>
    </row>
    <row r="135" spans="2:21">
      <c r="B135" s="1328"/>
      <c r="C135" s="2039" t="s">
        <v>630</v>
      </c>
      <c r="D135" s="2042">
        <f>D134</f>
        <v>619530844.38685608</v>
      </c>
      <c r="E135" s="2042">
        <f>D135+E134</f>
        <v>1216579108.4191437</v>
      </c>
      <c r="F135" s="2042">
        <f t="shared" ref="F135:O135" si="43">E135+F134</f>
        <v>1877707677.2327881</v>
      </c>
      <c r="G135" s="2042">
        <f t="shared" si="43"/>
        <v>2517211577.0480652</v>
      </c>
      <c r="H135" s="2042">
        <f t="shared" si="43"/>
        <v>3195197378.2691345</v>
      </c>
      <c r="I135" s="2042">
        <f t="shared" si="43"/>
        <v>3852487840.989624</v>
      </c>
      <c r="J135" s="2042">
        <f t="shared" si="43"/>
        <v>4553148983.262558</v>
      </c>
      <c r="K135" s="2042">
        <f t="shared" si="43"/>
        <v>5240667731.4590912</v>
      </c>
      <c r="L135" s="2042">
        <f t="shared" si="43"/>
        <v>5904697525.4540405</v>
      </c>
      <c r="M135" s="2042">
        <f t="shared" si="43"/>
        <v>6590980288.2194824</v>
      </c>
      <c r="N135" s="2042">
        <f t="shared" si="43"/>
        <v>7224928262.1072083</v>
      </c>
      <c r="O135" s="2042">
        <f t="shared" si="43"/>
        <v>7911211469.8060303</v>
      </c>
      <c r="P135" s="2041"/>
      <c r="Q135" s="2041">
        <f>Q134</f>
        <v>1877707677.2327881</v>
      </c>
      <c r="R135" s="2041">
        <f>Q135+R134</f>
        <v>3852487840.989624</v>
      </c>
      <c r="S135" s="2041">
        <f t="shared" ref="S135:T135" si="44">R135+S134</f>
        <v>5904697525.4540405</v>
      </c>
      <c r="T135" s="2041">
        <f t="shared" si="44"/>
        <v>7911211469.8060303</v>
      </c>
      <c r="U135" s="2053"/>
    </row>
    <row r="136" spans="2:21">
      <c r="B136" s="1328"/>
      <c r="C136" s="2036" t="s">
        <v>563</v>
      </c>
      <c r="D136" s="2052">
        <v>2005.2</v>
      </c>
      <c r="E136" s="2036"/>
      <c r="F136" s="2036"/>
      <c r="G136" s="2036"/>
      <c r="H136" s="2043"/>
      <c r="I136" s="2043"/>
      <c r="J136" s="2043"/>
      <c r="K136" s="2043"/>
      <c r="L136" s="2043"/>
      <c r="M136" s="2043"/>
      <c r="N136" s="2043"/>
      <c r="O136" s="2048"/>
      <c r="P136" s="2043"/>
      <c r="Q136" s="2041">
        <f>T135</f>
        <v>7911211469.8060303</v>
      </c>
      <c r="R136" s="2041">
        <f>$Q$136-Q135</f>
        <v>6033503792.5732422</v>
      </c>
      <c r="S136" s="2041">
        <f t="shared" ref="S136:T136" si="45">$Q$136-R135</f>
        <v>4058723628.8164063</v>
      </c>
      <c r="T136" s="2041">
        <f t="shared" si="45"/>
        <v>2006513944.3519897</v>
      </c>
      <c r="U136" s="2053"/>
    </row>
    <row r="137" spans="2:21">
      <c r="B137" s="1328"/>
      <c r="C137" s="2036" t="s">
        <v>3245</v>
      </c>
      <c r="D137" s="2052">
        <v>2016</v>
      </c>
      <c r="E137" s="2036"/>
      <c r="F137" s="2036"/>
      <c r="G137" s="2036"/>
      <c r="H137" s="2043"/>
      <c r="I137" s="2043"/>
      <c r="J137" s="2043"/>
      <c r="K137" s="2043"/>
      <c r="L137" s="2043"/>
      <c r="M137" s="2043"/>
      <c r="N137" s="2043"/>
      <c r="O137" s="2048"/>
      <c r="P137" s="2043"/>
      <c r="Q137" s="2043"/>
      <c r="R137" s="2043"/>
      <c r="S137" s="2043"/>
      <c r="T137" s="2043"/>
      <c r="U137" s="2053"/>
    </row>
    <row r="138" spans="2:21">
      <c r="B138" s="1328"/>
      <c r="C138" s="2033"/>
      <c r="D138" s="2057"/>
      <c r="E138" s="2033"/>
      <c r="F138" s="2033"/>
      <c r="G138" s="2033"/>
      <c r="H138" s="2051"/>
      <c r="I138" s="2051"/>
      <c r="J138" s="2051"/>
      <c r="K138" s="2051"/>
      <c r="L138" s="2051"/>
      <c r="M138" s="2051"/>
      <c r="N138" s="2051"/>
      <c r="O138" s="2051"/>
      <c r="P138" s="2051"/>
      <c r="Q138" s="2051"/>
      <c r="R138" s="2051"/>
      <c r="S138" s="2051"/>
      <c r="U138" s="2053"/>
    </row>
    <row r="139" spans="2:21">
      <c r="B139" s="1328"/>
      <c r="C139" t="s">
        <v>3249</v>
      </c>
      <c r="D139" s="1357">
        <v>0.25</v>
      </c>
      <c r="E139" s="1197"/>
      <c r="F139" s="1197"/>
      <c r="G139" s="1197"/>
      <c r="H139" s="1197"/>
      <c r="I139" s="1197"/>
      <c r="J139" s="1197"/>
      <c r="N139" s="2033"/>
      <c r="P139" s="2034"/>
      <c r="U139" s="2053"/>
    </row>
    <row r="140" spans="2:21">
      <c r="B140" s="1328"/>
      <c r="C140" t="s">
        <v>3250</v>
      </c>
      <c r="U140" s="2053"/>
    </row>
    <row r="141" spans="2:21">
      <c r="B141" s="2058"/>
      <c r="C141" s="2054"/>
      <c r="D141" s="2054"/>
      <c r="E141" s="2054"/>
      <c r="F141" s="2054"/>
      <c r="G141" s="2054"/>
      <c r="H141" s="2054"/>
      <c r="I141" s="2054"/>
      <c r="J141" s="2054"/>
      <c r="K141" s="2054"/>
      <c r="L141" s="2054"/>
      <c r="M141" s="2054"/>
      <c r="N141" s="2054"/>
      <c r="O141" s="2054"/>
      <c r="P141" s="2054"/>
      <c r="Q141" s="2054"/>
      <c r="R141" s="2054"/>
      <c r="S141" s="2054"/>
      <c r="T141" s="2054"/>
      <c r="U141" s="2055"/>
    </row>
    <row r="142" spans="2:21" ht="14.65" thickBot="1"/>
    <row r="143" spans="2:21" ht="18.399999999999999" thickTop="1">
      <c r="B143" s="1278">
        <v>6</v>
      </c>
      <c r="C143" s="1279" t="s">
        <v>565</v>
      </c>
      <c r="D143" s="1280"/>
      <c r="E143" s="1280"/>
      <c r="F143" s="1280"/>
      <c r="G143" s="1281"/>
    </row>
    <row r="144" spans="2:21">
      <c r="B144" s="1282"/>
      <c r="C144" s="1283"/>
      <c r="D144" s="1283"/>
      <c r="E144" s="1283"/>
      <c r="F144" s="1283"/>
      <c r="G144" s="1284"/>
    </row>
    <row r="145" spans="2:7">
      <c r="B145" s="1282"/>
      <c r="C145" s="1198" t="s">
        <v>496</v>
      </c>
      <c r="D145" s="1198" t="s">
        <v>566</v>
      </c>
      <c r="E145" s="1198" t="s">
        <v>567</v>
      </c>
      <c r="F145" s="1228" t="s">
        <v>568</v>
      </c>
      <c r="G145" s="1284"/>
    </row>
    <row r="146" spans="2:7">
      <c r="B146" s="1282"/>
      <c r="C146" s="1199">
        <v>2025</v>
      </c>
      <c r="D146" s="1230">
        <v>0.99470000000000003</v>
      </c>
      <c r="E146" s="1230">
        <v>0.99729999999999996</v>
      </c>
      <c r="F146" s="1231">
        <f>E146-D146</f>
        <v>2.5999999999999357E-3</v>
      </c>
      <c r="G146" s="1284"/>
    </row>
    <row r="147" spans="2:7">
      <c r="B147" s="1282"/>
      <c r="C147" s="1199">
        <v>2024</v>
      </c>
      <c r="D147" s="1230">
        <v>0.99260000000000004</v>
      </c>
      <c r="E147" s="1230">
        <v>0.99470000000000003</v>
      </c>
      <c r="F147" s="1231">
        <f>E147-D147</f>
        <v>2.0999999999999908E-3</v>
      </c>
      <c r="G147" s="1284"/>
    </row>
    <row r="148" spans="2:7">
      <c r="B148" s="1282"/>
      <c r="C148" s="1199">
        <v>2023</v>
      </c>
      <c r="D148" s="1230">
        <v>0.99209999999999998</v>
      </c>
      <c r="E148" s="1230">
        <v>0.99260000000000004</v>
      </c>
      <c r="F148" s="1231">
        <f>E148-D148</f>
        <v>5.0000000000005596E-4</v>
      </c>
      <c r="G148" s="1284"/>
    </row>
    <row r="149" spans="2:7">
      <c r="B149" s="1282"/>
      <c r="C149" s="1199">
        <v>2022</v>
      </c>
      <c r="D149" s="1230">
        <v>0.99199999999999999</v>
      </c>
      <c r="E149" s="1230">
        <v>0.98250000000000004</v>
      </c>
      <c r="F149" s="1288">
        <f>E149-D149</f>
        <v>-9.4999999999999529E-3</v>
      </c>
      <c r="G149" s="1284"/>
    </row>
    <row r="150" spans="2:7">
      <c r="B150" s="1282"/>
      <c r="C150" s="1199">
        <v>2021</v>
      </c>
      <c r="D150" s="1230">
        <v>0.95</v>
      </c>
      <c r="E150" s="1230">
        <v>0.99080000000000001</v>
      </c>
      <c r="F150" s="1231">
        <f>E150-D150</f>
        <v>4.0800000000000058E-2</v>
      </c>
      <c r="G150" s="1284"/>
    </row>
    <row r="151" spans="2:7">
      <c r="B151" s="1282"/>
      <c r="C151" s="1283"/>
      <c r="D151" s="1283"/>
      <c r="E151" s="1283"/>
      <c r="F151" s="1283"/>
      <c r="G151" s="1284"/>
    </row>
    <row r="152" spans="2:7">
      <c r="B152" s="1282"/>
      <c r="C152" s="1201" t="s">
        <v>492</v>
      </c>
      <c r="D152" s="1202">
        <f>1/5</f>
        <v>0.2</v>
      </c>
      <c r="E152" s="1283"/>
      <c r="F152" s="1283"/>
      <c r="G152" s="1284"/>
    </row>
    <row r="153" spans="2:7" ht="14.65" thickBot="1">
      <c r="B153" s="1285"/>
      <c r="C153" s="1286"/>
      <c r="D153" s="1286"/>
      <c r="E153" s="1286"/>
      <c r="F153" s="1286"/>
      <c r="G153" s="1287"/>
    </row>
    <row r="154" spans="2:7" ht="14.65" thickTop="1"/>
    <row r="155" spans="2:7" ht="14.65" thickBot="1"/>
    <row r="156" spans="2:7" ht="18.399999999999999" thickTop="1">
      <c r="B156" s="1278">
        <v>7</v>
      </c>
      <c r="C156" s="1279" t="s">
        <v>569</v>
      </c>
      <c r="D156" s="1280"/>
      <c r="E156" s="1280"/>
      <c r="F156" s="1280"/>
      <c r="G156" s="1281"/>
    </row>
    <row r="157" spans="2:7">
      <c r="B157" s="1241"/>
      <c r="C157" s="1386"/>
      <c r="D157" s="1386"/>
      <c r="E157" s="1386"/>
      <c r="F157" s="1386"/>
      <c r="G157" s="1246"/>
    </row>
    <row r="158" spans="2:7">
      <c r="B158" s="1387"/>
      <c r="C158" s="1390" t="s">
        <v>570</v>
      </c>
      <c r="D158" s="1390" t="s">
        <v>571</v>
      </c>
      <c r="E158" s="1390" t="s">
        <v>572</v>
      </c>
      <c r="F158" s="1390" t="s">
        <v>573</v>
      </c>
      <c r="G158" s="1388"/>
    </row>
    <row r="159" spans="2:7">
      <c r="B159" s="1387"/>
      <c r="C159" s="1383" t="s">
        <v>574</v>
      </c>
      <c r="D159" s="1382">
        <v>100</v>
      </c>
      <c r="E159" s="1382">
        <v>100.28</v>
      </c>
      <c r="F159" s="1397">
        <v>1.0027999999999999</v>
      </c>
      <c r="G159" s="1395"/>
    </row>
    <row r="160" spans="2:7">
      <c r="B160" s="1387"/>
      <c r="C160" s="1383" t="s">
        <v>575</v>
      </c>
      <c r="D160" s="1382">
        <v>0</v>
      </c>
      <c r="E160" s="1382">
        <v>0</v>
      </c>
      <c r="F160" s="1385">
        <v>0</v>
      </c>
      <c r="G160" s="1389"/>
    </row>
    <row r="161" spans="2:13">
      <c r="B161" s="1387"/>
      <c r="C161" s="1383" t="s">
        <v>576</v>
      </c>
      <c r="D161" s="1382">
        <v>3.7</v>
      </c>
      <c r="E161" s="1382">
        <v>3.73</v>
      </c>
      <c r="F161" s="1398">
        <v>1.0081</v>
      </c>
      <c r="G161" s="1396"/>
    </row>
    <row r="162" spans="2:13">
      <c r="B162" s="1387"/>
      <c r="C162" s="1383" t="s">
        <v>577</v>
      </c>
      <c r="D162" s="1382">
        <v>3.54</v>
      </c>
      <c r="E162" s="1382">
        <v>3.71</v>
      </c>
      <c r="F162" s="1398">
        <v>1.048</v>
      </c>
      <c r="G162" s="1396"/>
    </row>
    <row r="163" spans="2:13">
      <c r="B163" s="1387"/>
      <c r="C163" s="1383" t="s">
        <v>578</v>
      </c>
      <c r="D163" s="1382">
        <v>3</v>
      </c>
      <c r="E163" s="1382">
        <v>3.14</v>
      </c>
      <c r="F163" s="1398">
        <v>1.0466</v>
      </c>
      <c r="G163" s="1396"/>
    </row>
    <row r="164" spans="2:13">
      <c r="B164" s="1387"/>
      <c r="C164" s="1383"/>
      <c r="D164" s="1382"/>
      <c r="E164" s="1382"/>
      <c r="F164" s="1384"/>
      <c r="G164" s="1389"/>
    </row>
    <row r="165" spans="2:13">
      <c r="B165" s="1387"/>
      <c r="C165" s="1394" t="s">
        <v>579</v>
      </c>
      <c r="D165" s="1382"/>
      <c r="E165" s="1381"/>
      <c r="F165" s="1399">
        <v>0</v>
      </c>
      <c r="G165" s="1389"/>
    </row>
    <row r="166" spans="2:13" ht="14.65" thickBot="1">
      <c r="B166" s="1347"/>
      <c r="C166" s="1392"/>
      <c r="D166" s="1391"/>
      <c r="E166" s="1391"/>
      <c r="F166" s="1391"/>
      <c r="G166" s="1393"/>
    </row>
    <row r="167" spans="2:13" ht="14.65" thickTop="1">
      <c r="C167" s="1372"/>
      <c r="D167" s="2"/>
      <c r="E167" s="2"/>
      <c r="F167" s="2"/>
      <c r="G167" s="2"/>
    </row>
    <row r="168" spans="2:13" ht="14.65" thickBot="1"/>
    <row r="169" spans="2:13" ht="18.399999999999999" thickTop="1">
      <c r="B169" s="1278">
        <v>8</v>
      </c>
      <c r="C169" s="1279" t="s">
        <v>580</v>
      </c>
      <c r="D169" s="1280"/>
      <c r="E169" s="1280"/>
      <c r="F169" s="1280"/>
      <c r="G169" s="1280"/>
      <c r="H169" s="1350"/>
      <c r="I169" s="1350"/>
      <c r="J169" s="1350"/>
      <c r="K169" s="1350"/>
      <c r="L169" s="1350"/>
      <c r="M169" s="1346"/>
    </row>
    <row r="170" spans="2:13">
      <c r="B170" s="1282"/>
      <c r="C170" s="1283"/>
      <c r="D170" s="1283"/>
      <c r="E170" s="1283"/>
      <c r="F170" s="1283"/>
      <c r="G170" s="1283"/>
      <c r="M170" s="1246"/>
    </row>
    <row r="171" spans="2:13">
      <c r="B171" s="1282"/>
      <c r="C171" s="1201" t="s">
        <v>582</v>
      </c>
      <c r="D171" s="1351" t="s">
        <v>3258</v>
      </c>
      <c r="E171" s="1283"/>
      <c r="F171" s="1283"/>
      <c r="G171" s="1283"/>
      <c r="H171" s="1283"/>
      <c r="M171" s="1246"/>
    </row>
    <row r="172" spans="2:13">
      <c r="B172" s="1282"/>
      <c r="C172" s="2032"/>
      <c r="D172" s="1349"/>
      <c r="E172" s="1283"/>
      <c r="F172" s="1283"/>
      <c r="G172" s="1283"/>
      <c r="M172" s="1246"/>
    </row>
    <row r="173" spans="2:13">
      <c r="B173" s="1282"/>
      <c r="C173" s="2032" t="s">
        <v>492</v>
      </c>
      <c r="D173" s="1349"/>
      <c r="E173" s="1283"/>
      <c r="F173" s="1283"/>
      <c r="G173" s="1283"/>
      <c r="M173" s="1246"/>
    </row>
    <row r="174" spans="2:13" ht="14.65" thickBot="1">
      <c r="B174" s="1285"/>
      <c r="C174" s="1286" t="s">
        <v>3257</v>
      </c>
      <c r="D174" s="1286"/>
      <c r="E174" s="1286"/>
      <c r="F174" s="1286"/>
      <c r="G174" s="1286"/>
      <c r="H174" s="1249"/>
      <c r="I174" s="1249"/>
      <c r="J174" s="1249"/>
      <c r="K174" s="1249"/>
      <c r="L174" s="1249"/>
      <c r="M174" s="1250"/>
    </row>
    <row r="175" spans="2:13" ht="14.65" thickTop="1"/>
    <row r="176" spans="2:13" ht="14.65" thickBot="1"/>
    <row r="177" spans="2:8" ht="18.399999999999999" thickTop="1">
      <c r="B177" s="1278">
        <v>9</v>
      </c>
      <c r="C177" s="1279" t="s">
        <v>583</v>
      </c>
      <c r="D177" s="1280"/>
      <c r="E177" s="1280"/>
      <c r="F177" s="1280"/>
      <c r="G177" s="1280"/>
      <c r="H177" s="1346"/>
    </row>
    <row r="178" spans="2:8">
      <c r="B178" s="1282"/>
      <c r="C178" s="1283"/>
      <c r="D178" s="1283"/>
      <c r="E178" s="1283"/>
      <c r="F178" s="1283"/>
      <c r="G178" s="1283"/>
      <c r="H178" s="1246"/>
    </row>
    <row r="179" spans="2:8" s="80" customFormat="1" ht="46.5" customHeight="1">
      <c r="B179" s="1343"/>
      <c r="C179" s="1359" t="s">
        <v>584</v>
      </c>
      <c r="D179" s="1360" t="s">
        <v>585</v>
      </c>
      <c r="E179" s="1360" t="s">
        <v>586</v>
      </c>
      <c r="F179" s="1361" t="s">
        <v>587</v>
      </c>
      <c r="G179" s="1361" t="s">
        <v>588</v>
      </c>
      <c r="H179" s="1345"/>
    </row>
    <row r="180" spans="2:8">
      <c r="B180" s="1282">
        <v>1</v>
      </c>
      <c r="C180" s="1362" t="s">
        <v>3264</v>
      </c>
      <c r="D180" s="1366">
        <f>[4]SUMMARY!$G$5</f>
        <v>6114998253.5806484</v>
      </c>
      <c r="E180" s="1363" t="s">
        <v>589</v>
      </c>
      <c r="F180" s="1363" t="s">
        <v>589</v>
      </c>
      <c r="G180" s="1364" t="s">
        <v>590</v>
      </c>
      <c r="H180" s="1246"/>
    </row>
    <row r="181" spans="2:8">
      <c r="B181" s="1282">
        <v>2</v>
      </c>
      <c r="C181" s="1362" t="s">
        <v>591</v>
      </c>
      <c r="D181" s="1363"/>
      <c r="E181" s="1363" t="s">
        <v>589</v>
      </c>
      <c r="F181" s="1363" t="s">
        <v>589</v>
      </c>
      <c r="G181" s="1364" t="s">
        <v>590</v>
      </c>
      <c r="H181" s="1246"/>
    </row>
    <row r="182" spans="2:8">
      <c r="B182" s="1282">
        <v>3</v>
      </c>
      <c r="C182" s="1362" t="s">
        <v>592</v>
      </c>
      <c r="D182" s="2062">
        <f>15242083159+47240207793</f>
        <v>62482290952</v>
      </c>
      <c r="E182" s="1363" t="s">
        <v>589</v>
      </c>
      <c r="F182" s="1363" t="s">
        <v>589</v>
      </c>
      <c r="G182" s="1364" t="s">
        <v>590</v>
      </c>
      <c r="H182" s="1246"/>
    </row>
    <row r="183" spans="2:8">
      <c r="B183" s="1282">
        <v>4</v>
      </c>
      <c r="C183" s="1362" t="s">
        <v>593</v>
      </c>
      <c r="D183" s="2062">
        <v>29518596951</v>
      </c>
      <c r="E183" s="1363" t="s">
        <v>589</v>
      </c>
      <c r="F183" s="1363" t="s">
        <v>589</v>
      </c>
      <c r="G183" s="1364" t="s">
        <v>590</v>
      </c>
      <c r="H183" s="1246"/>
    </row>
    <row r="184" spans="2:8">
      <c r="B184" s="1282">
        <v>5</v>
      </c>
      <c r="C184" s="1362" t="s">
        <v>594</v>
      </c>
      <c r="D184" s="1363"/>
      <c r="E184" s="1363" t="s">
        <v>595</v>
      </c>
      <c r="F184" s="1363" t="s">
        <v>595</v>
      </c>
      <c r="G184" s="1364" t="s">
        <v>590</v>
      </c>
      <c r="H184" s="1246"/>
    </row>
    <row r="185" spans="2:8">
      <c r="B185" s="1282">
        <v>6</v>
      </c>
      <c r="C185" s="1362" t="s">
        <v>596</v>
      </c>
      <c r="D185" s="1363"/>
      <c r="E185" s="1363" t="s">
        <v>595</v>
      </c>
      <c r="F185" s="1363" t="s">
        <v>595</v>
      </c>
      <c r="G185" s="1365" t="s">
        <v>590</v>
      </c>
      <c r="H185" s="1246"/>
    </row>
    <row r="186" spans="2:8">
      <c r="B186" s="1282">
        <v>7</v>
      </c>
      <c r="C186" s="1362" t="s">
        <v>597</v>
      </c>
      <c r="D186" s="2062">
        <f>88529725+38850000+45843000</f>
        <v>173222725</v>
      </c>
      <c r="E186" s="1363" t="s">
        <v>595</v>
      </c>
      <c r="F186" s="1363" t="s">
        <v>595</v>
      </c>
      <c r="G186" s="1364" t="s">
        <v>590</v>
      </c>
      <c r="H186" s="1246"/>
    </row>
    <row r="187" spans="2:8">
      <c r="B187" s="1282"/>
      <c r="C187" s="1362" t="s">
        <v>3265</v>
      </c>
      <c r="D187" s="1366">
        <f>[4]SUMMARY!$G$6</f>
        <v>2091380947</v>
      </c>
      <c r="E187" s="1363" t="s">
        <v>595</v>
      </c>
      <c r="F187" s="1363" t="s">
        <v>595</v>
      </c>
      <c r="G187" s="1364"/>
      <c r="H187" s="1246"/>
    </row>
    <row r="188" spans="2:8">
      <c r="B188" s="1282"/>
      <c r="C188" s="1362" t="s">
        <v>3266</v>
      </c>
      <c r="D188" s="1366">
        <f>[4]SUMMARY!$G$7</f>
        <v>623551272</v>
      </c>
      <c r="E188" s="1363" t="s">
        <v>595</v>
      </c>
      <c r="F188" s="1363" t="s">
        <v>595</v>
      </c>
      <c r="G188" s="1364"/>
      <c r="H188" s="1246"/>
    </row>
    <row r="189" spans="2:8">
      <c r="B189" s="1282"/>
      <c r="C189" s="1367"/>
      <c r="D189" s="1369">
        <f>SUM(D180:D188)</f>
        <v>101004041100.58066</v>
      </c>
      <c r="E189" s="1368"/>
      <c r="F189" s="1364"/>
      <c r="G189" s="1364"/>
      <c r="H189" s="1246"/>
    </row>
    <row r="190" spans="2:8">
      <c r="B190" s="1282"/>
      <c r="C190" s="1283"/>
      <c r="D190" s="1283"/>
      <c r="E190" s="1283"/>
      <c r="F190" s="1283"/>
      <c r="G190" s="1344"/>
      <c r="H190" s="1246"/>
    </row>
    <row r="191" spans="2:8">
      <c r="B191" s="1282"/>
      <c r="C191" s="1201" t="s">
        <v>492</v>
      </c>
      <c r="D191" s="1202">
        <v>0</v>
      </c>
      <c r="E191" s="1283"/>
      <c r="F191" s="1283"/>
      <c r="G191" s="1344"/>
      <c r="H191" s="1246"/>
    </row>
    <row r="192" spans="2:8" ht="14.65" thickBot="1">
      <c r="B192" s="1285"/>
      <c r="C192" s="1286"/>
      <c r="D192" s="1286"/>
      <c r="E192" s="1286"/>
      <c r="F192" s="1286"/>
      <c r="G192" s="1286"/>
      <c r="H192" s="1250"/>
    </row>
    <row r="193" spans="2:21" ht="14.65" thickTop="1"/>
    <row r="194" spans="2:21" ht="14.65" thickBot="1"/>
    <row r="195" spans="2:21" ht="18">
      <c r="B195" s="1295">
        <v>10</v>
      </c>
      <c r="C195" s="1296" t="s">
        <v>598</v>
      </c>
      <c r="D195" s="1297"/>
      <c r="E195" s="1297"/>
      <c r="F195" s="1297"/>
      <c r="G195" s="1298"/>
      <c r="H195" s="1298"/>
      <c r="I195" s="1298"/>
      <c r="J195" s="1298"/>
      <c r="K195" s="1298"/>
      <c r="L195" s="1298"/>
      <c r="M195" s="1298"/>
      <c r="N195" s="1298"/>
      <c r="O195" s="1298"/>
      <c r="P195" s="1298"/>
      <c r="Q195" s="1298"/>
      <c r="R195" s="1298"/>
      <c r="S195" s="1298"/>
      <c r="T195" s="1298"/>
      <c r="U195" s="1299"/>
    </row>
    <row r="196" spans="2:21">
      <c r="B196" s="1300"/>
      <c r="C196" s="1283"/>
      <c r="D196" s="1283"/>
      <c r="E196" s="1283"/>
      <c r="F196" s="1283"/>
      <c r="G196" s="1283"/>
      <c r="H196" s="1283"/>
      <c r="I196" s="1283"/>
      <c r="J196" s="1283"/>
      <c r="K196" s="1283"/>
      <c r="L196" s="1283"/>
      <c r="M196" s="1283"/>
      <c r="N196" s="1283"/>
      <c r="O196" s="1283"/>
      <c r="P196" s="1283"/>
      <c r="Q196" s="1283"/>
      <c r="R196" s="1283"/>
      <c r="S196" s="1283"/>
      <c r="T196" s="1283"/>
      <c r="U196" s="1301"/>
    </row>
    <row r="197" spans="2:21">
      <c r="B197" s="1300"/>
      <c r="C197" s="1201" t="s">
        <v>599</v>
      </c>
      <c r="D197" s="1232">
        <v>7.0000000000000007E-2</v>
      </c>
      <c r="E197" s="1283"/>
      <c r="F197" s="1283"/>
      <c r="G197" s="1283"/>
      <c r="H197" s="1283"/>
      <c r="I197" s="1283"/>
      <c r="J197" s="1283"/>
      <c r="K197" s="1283"/>
      <c r="L197" s="1283"/>
      <c r="M197" s="1283"/>
      <c r="N197" s="1283"/>
      <c r="O197" s="1283"/>
      <c r="P197" s="1283"/>
      <c r="Q197" s="1283"/>
      <c r="R197" s="1283"/>
      <c r="S197" s="1283"/>
      <c r="T197" s="1283"/>
      <c r="U197" s="1301"/>
    </row>
    <row r="198" spans="2:21">
      <c r="B198" s="1300"/>
      <c r="C198" s="1302" t="s">
        <v>449</v>
      </c>
      <c r="D198" s="1283"/>
      <c r="E198" s="1283"/>
      <c r="F198" s="1283"/>
      <c r="G198" s="1283"/>
      <c r="H198" s="1283"/>
      <c r="I198" s="1283"/>
      <c r="J198" s="1283"/>
      <c r="K198" s="1283"/>
      <c r="L198" s="1283"/>
      <c r="M198" s="1283"/>
      <c r="N198" s="1283"/>
      <c r="O198" s="1283"/>
      <c r="P198" s="1283"/>
      <c r="Q198" s="1283"/>
      <c r="R198" s="1283"/>
      <c r="S198" s="1283"/>
      <c r="T198" s="1283"/>
      <c r="U198" s="1301"/>
    </row>
    <row r="199" spans="2:21">
      <c r="B199" s="1300"/>
      <c r="C199" s="1201"/>
      <c r="D199" s="1200" t="s">
        <v>437</v>
      </c>
      <c r="E199" s="1200" t="s">
        <v>438</v>
      </c>
      <c r="F199" s="1200" t="s">
        <v>439</v>
      </c>
      <c r="G199" s="1200" t="s">
        <v>440</v>
      </c>
      <c r="H199" s="1200" t="s">
        <v>441</v>
      </c>
      <c r="I199" s="1200" t="s">
        <v>442</v>
      </c>
      <c r="J199" s="1200" t="s">
        <v>443</v>
      </c>
      <c r="K199" s="1200" t="s">
        <v>444</v>
      </c>
      <c r="L199" s="1200" t="s">
        <v>445</v>
      </c>
      <c r="M199" s="1200" t="s">
        <v>446</v>
      </c>
      <c r="N199" s="1200" t="s">
        <v>447</v>
      </c>
      <c r="O199" s="1200" t="s">
        <v>448</v>
      </c>
      <c r="P199" s="1200" t="s">
        <v>464</v>
      </c>
      <c r="Q199" s="1229" t="s">
        <v>186</v>
      </c>
      <c r="R199" s="1229" t="s">
        <v>187</v>
      </c>
      <c r="S199" s="1229" t="s">
        <v>188</v>
      </c>
      <c r="T199" s="1229" t="s">
        <v>189</v>
      </c>
      <c r="U199" s="1301"/>
    </row>
    <row r="200" spans="2:21">
      <c r="B200" s="1300"/>
      <c r="C200" s="1201" t="s">
        <v>600</v>
      </c>
      <c r="D200" s="1233">
        <v>615400619413.77844</v>
      </c>
      <c r="E200" s="1233">
        <v>602085645907.56384</v>
      </c>
      <c r="F200" s="1233">
        <v>633886648981.57117</v>
      </c>
      <c r="G200" s="1233">
        <v>621773860342.20093</v>
      </c>
      <c r="H200" s="1233">
        <v>657880299224.0542</v>
      </c>
      <c r="I200" s="1233">
        <v>636056927394.98169</v>
      </c>
      <c r="J200" s="1233">
        <v>663901653275.88867</v>
      </c>
      <c r="K200" s="1233">
        <v>706195502570.19995</v>
      </c>
      <c r="L200" s="1233">
        <v>695877046583.59937</v>
      </c>
      <c r="M200" s="1233">
        <v>712446947753.9552</v>
      </c>
      <c r="N200" s="1233">
        <v>698604847047.51074</v>
      </c>
      <c r="O200" s="1233">
        <v>704969864941.69409</v>
      </c>
      <c r="P200" s="1234">
        <f>SUM(D200:O200)</f>
        <v>7949079863436.999</v>
      </c>
      <c r="Q200" s="1235"/>
      <c r="R200" s="1236"/>
      <c r="S200" s="1236"/>
      <c r="T200" s="1201"/>
      <c r="U200" s="1301"/>
    </row>
    <row r="201" spans="2:21">
      <c r="B201" s="1300"/>
      <c r="C201" s="1201" t="s">
        <v>601</v>
      </c>
      <c r="D201" s="1201"/>
      <c r="E201" s="1201"/>
      <c r="F201" s="1201"/>
      <c r="G201" s="1201"/>
      <c r="H201" s="1201"/>
      <c r="I201" s="1201"/>
      <c r="J201" s="1233">
        <f t="shared" ref="J201:O201" si="46">J200*$D$197</f>
        <v>46473115729.31221</v>
      </c>
      <c r="K201" s="1233">
        <f t="shared" si="46"/>
        <v>49433685179.914001</v>
      </c>
      <c r="L201" s="1233">
        <f t="shared" si="46"/>
        <v>48711393260.851959</v>
      </c>
      <c r="M201" s="1233">
        <f t="shared" si="46"/>
        <v>49871286342.776871</v>
      </c>
      <c r="N201" s="1233">
        <f t="shared" si="46"/>
        <v>48902339293.32576</v>
      </c>
      <c r="O201" s="1233">
        <f t="shared" si="46"/>
        <v>49347890545.918594</v>
      </c>
      <c r="P201" s="1234">
        <f>SUM(D201:O201)</f>
        <v>292739710352.09937</v>
      </c>
      <c r="Q201" s="1201">
        <f>F201</f>
        <v>0</v>
      </c>
      <c r="R201" s="1201">
        <f>I201</f>
        <v>0</v>
      </c>
      <c r="S201" s="1233">
        <f>L201</f>
        <v>48711393260.851959</v>
      </c>
      <c r="T201" s="1233">
        <f>P201</f>
        <v>292739710352.09937</v>
      </c>
      <c r="U201" s="1301"/>
    </row>
    <row r="202" spans="2:21">
      <c r="B202" s="1300"/>
      <c r="C202" s="1283"/>
      <c r="D202" s="1283"/>
      <c r="E202" s="1283"/>
      <c r="F202" s="1283"/>
      <c r="G202" s="1283"/>
      <c r="H202" s="1283"/>
      <c r="I202" s="1283"/>
      <c r="J202" s="1283"/>
      <c r="K202" s="1283"/>
      <c r="L202" s="1283"/>
      <c r="M202" s="1283"/>
      <c r="N202" s="1283"/>
      <c r="O202" s="1283"/>
      <c r="P202" s="1283"/>
      <c r="Q202" s="1283"/>
      <c r="R202" s="1283"/>
      <c r="S202" s="1303">
        <f>T201</f>
        <v>292739710352.09937</v>
      </c>
      <c r="T202" s="1303">
        <f>S202-S201</f>
        <v>244028317091.24741</v>
      </c>
      <c r="U202" s="1301"/>
    </row>
    <row r="203" spans="2:21">
      <c r="B203" s="1300"/>
      <c r="C203" s="1201" t="s">
        <v>492</v>
      </c>
      <c r="D203" s="1232">
        <v>0.9</v>
      </c>
      <c r="E203" s="1283"/>
      <c r="F203" s="1283"/>
      <c r="G203" s="1283"/>
      <c r="H203" s="1283"/>
      <c r="I203" s="1283"/>
      <c r="J203" s="1283"/>
      <c r="K203" s="1283"/>
      <c r="L203" s="1283"/>
      <c r="M203" s="1283"/>
      <c r="N203" s="1283"/>
      <c r="O203" s="1283"/>
      <c r="P203" s="1283"/>
      <c r="Q203" s="1283"/>
      <c r="R203" s="1283"/>
      <c r="S203" s="1283"/>
      <c r="T203" s="1283"/>
      <c r="U203" s="1301"/>
    </row>
    <row r="204" spans="2:21">
      <c r="B204" s="1300"/>
      <c r="C204" s="1283" t="s">
        <v>602</v>
      </c>
      <c r="D204" s="1283"/>
      <c r="E204" s="1283"/>
      <c r="F204" s="1283"/>
      <c r="G204" s="1283"/>
      <c r="H204" s="1283"/>
      <c r="I204" s="1283"/>
      <c r="J204" s="1283"/>
      <c r="K204" s="1283"/>
      <c r="L204" s="1283"/>
      <c r="M204" s="1283"/>
      <c r="N204" s="1283"/>
      <c r="O204" s="1283"/>
      <c r="P204" s="1283"/>
      <c r="Q204" s="1283"/>
      <c r="R204" s="1283"/>
      <c r="S204" s="1283"/>
      <c r="T204" s="1283"/>
      <c r="U204" s="1301"/>
    </row>
    <row r="205" spans="2:21" ht="14.65" thickBot="1">
      <c r="B205" s="1304"/>
      <c r="C205" s="1305"/>
      <c r="D205" s="1305"/>
      <c r="E205" s="1305"/>
      <c r="F205" s="1305"/>
      <c r="G205" s="1305"/>
      <c r="H205" s="1305"/>
      <c r="I205" s="1305"/>
      <c r="J205" s="1305"/>
      <c r="K205" s="1305"/>
      <c r="L205" s="1305"/>
      <c r="M205" s="1305"/>
      <c r="N205" s="1305"/>
      <c r="O205" s="1305"/>
      <c r="P205" s="1305"/>
      <c r="Q205" s="1305"/>
      <c r="R205" s="1305"/>
      <c r="S205" s="1305"/>
      <c r="T205" s="1305"/>
      <c r="U205" s="1306"/>
    </row>
    <row r="207" spans="2:21" ht="14.65" thickBot="1"/>
    <row r="208" spans="2:21" ht="14.65" thickTop="1">
      <c r="B208" s="1334"/>
      <c r="C208" s="1280"/>
      <c r="D208" s="1280"/>
      <c r="E208" s="1280"/>
      <c r="F208" s="1280"/>
      <c r="G208" s="1280"/>
      <c r="H208" s="1280"/>
      <c r="I208" s="1280"/>
      <c r="J208" s="1280"/>
      <c r="K208" s="1280"/>
      <c r="L208" s="1237"/>
      <c r="M208" s="1237"/>
      <c r="N208" s="1237"/>
      <c r="O208" s="1237"/>
      <c r="P208" s="1237"/>
      <c r="Q208" s="1237"/>
      <c r="R208" s="1237"/>
      <c r="S208" s="1237"/>
      <c r="T208" s="1237"/>
      <c r="U208" s="1238"/>
    </row>
    <row r="209" spans="2:21" ht="18">
      <c r="B209" s="1335">
        <v>11</v>
      </c>
      <c r="C209" s="1323" t="s">
        <v>603</v>
      </c>
      <c r="D209" s="1197"/>
      <c r="E209" s="1197"/>
      <c r="F209" s="1197"/>
      <c r="G209" s="1197"/>
      <c r="H209" s="1197"/>
      <c r="I209" s="1197"/>
      <c r="J209" s="1197"/>
      <c r="K209" s="1283"/>
      <c r="L209" s="1239"/>
      <c r="M209" s="1239"/>
      <c r="N209" s="1239"/>
      <c r="O209" s="1239"/>
      <c r="P209" s="1239"/>
      <c r="Q209" s="1239"/>
      <c r="R209" s="1239"/>
      <c r="S209" s="1239"/>
      <c r="T209" s="1239"/>
      <c r="U209" s="1240"/>
    </row>
    <row r="210" spans="2:21">
      <c r="B210" s="1328"/>
      <c r="C210" s="1197" t="s">
        <v>495</v>
      </c>
      <c r="D210" s="1197"/>
      <c r="E210" s="1197"/>
      <c r="F210" s="1197"/>
      <c r="G210" s="1197"/>
      <c r="H210" s="1197"/>
      <c r="I210" s="1197"/>
      <c r="J210" s="1197"/>
      <c r="K210" s="1283"/>
      <c r="L210" s="1239"/>
      <c r="M210" s="1239"/>
      <c r="N210" s="1239"/>
      <c r="O210" s="1239"/>
      <c r="P210" s="1239"/>
      <c r="Q210" s="1239"/>
      <c r="R210" s="1239"/>
      <c r="S210" s="1239"/>
      <c r="T210" s="1239"/>
      <c r="U210" s="1240"/>
    </row>
    <row r="211" spans="2:21">
      <c r="B211" s="1328"/>
      <c r="C211" s="1336"/>
      <c r="D211" s="1197"/>
      <c r="E211" s="1197"/>
      <c r="F211" s="1197"/>
      <c r="G211" s="1197"/>
      <c r="H211" s="1197"/>
      <c r="I211" s="1197"/>
      <c r="J211" s="1197"/>
      <c r="K211" s="1283"/>
      <c r="L211" s="1239"/>
      <c r="M211" s="1239"/>
      <c r="N211" s="1239"/>
      <c r="O211" s="1239"/>
      <c r="P211" s="1239"/>
      <c r="Q211" s="1239"/>
      <c r="R211" s="1239"/>
      <c r="S211" s="1239"/>
      <c r="T211" s="1239"/>
      <c r="U211" s="1240"/>
    </row>
    <row r="212" spans="2:21" ht="28.5">
      <c r="B212" s="1337"/>
      <c r="C212" s="1204" t="s">
        <v>496</v>
      </c>
      <c r="D212" s="1204" t="s">
        <v>604</v>
      </c>
      <c r="E212" s="1204" t="s">
        <v>605</v>
      </c>
      <c r="F212" s="1204" t="s">
        <v>500</v>
      </c>
      <c r="G212" s="1204" t="s">
        <v>564</v>
      </c>
      <c r="H212" s="1354"/>
      <c r="I212" s="1355"/>
      <c r="J212" s="1355"/>
      <c r="K212" s="1283"/>
      <c r="L212" s="1239"/>
      <c r="M212" s="1239"/>
      <c r="N212" s="1239"/>
      <c r="O212" s="1239"/>
      <c r="P212" s="1239"/>
      <c r="Q212" s="1239"/>
      <c r="R212" s="1239"/>
      <c r="S212" s="1239"/>
      <c r="T212" s="1239"/>
      <c r="U212" s="1240"/>
    </row>
    <row r="213" spans="2:21">
      <c r="B213" s="1337"/>
      <c r="C213" s="1204">
        <v>2026</v>
      </c>
      <c r="D213" s="1206">
        <f>L216</f>
        <v>597697500</v>
      </c>
      <c r="E213" s="1204"/>
      <c r="F213" s="1204"/>
      <c r="G213" s="1204"/>
      <c r="H213" s="1354"/>
      <c r="I213" s="1355"/>
      <c r="J213" s="2065" t="s">
        <v>3274</v>
      </c>
      <c r="K213" s="2066" t="s">
        <v>647</v>
      </c>
      <c r="L213" s="2067" t="s">
        <v>3273</v>
      </c>
      <c r="M213" s="1239"/>
      <c r="N213" s="1239"/>
      <c r="O213" s="1239"/>
      <c r="P213" s="1239"/>
      <c r="Q213" s="1239"/>
      <c r="R213" s="1239"/>
      <c r="S213" s="1239"/>
      <c r="T213" s="1239"/>
      <c r="U213" s="1240"/>
    </row>
    <row r="214" spans="2:21" ht="28.5">
      <c r="B214" s="1337"/>
      <c r="C214" s="1338">
        <v>2025</v>
      </c>
      <c r="D214" s="1205">
        <f>'[5]Form_12_Monitoring LKAI'!$AI$9</f>
        <v>12453583900</v>
      </c>
      <c r="E214" s="1205">
        <f>'[5]Form_12_Monitoring LKAI'!$AR$9</f>
        <v>12453583900</v>
      </c>
      <c r="F214" s="1358">
        <f>D214-E214</f>
        <v>0</v>
      </c>
      <c r="G214" s="1206"/>
      <c r="H214" s="1354"/>
      <c r="I214" s="1355"/>
      <c r="J214" s="2069" t="s">
        <v>3272</v>
      </c>
      <c r="K214" s="2068">
        <v>11953950000</v>
      </c>
      <c r="L214" s="2070">
        <f>5%*K214</f>
        <v>597697500</v>
      </c>
      <c r="M214" s="2064"/>
      <c r="N214" s="1239"/>
      <c r="O214" s="1239"/>
      <c r="P214" s="1239"/>
      <c r="Q214" s="1239"/>
      <c r="R214" s="1239"/>
      <c r="S214" s="1239"/>
      <c r="T214" s="1239"/>
      <c r="U214" s="1240"/>
    </row>
    <row r="215" spans="2:21">
      <c r="B215" s="1328"/>
      <c r="C215" s="1199">
        <v>2024</v>
      </c>
      <c r="D215" s="1203"/>
      <c r="E215" s="1203"/>
      <c r="F215" s="1203"/>
      <c r="G215" s="1203"/>
      <c r="H215" s="1354"/>
      <c r="I215" s="1355"/>
      <c r="J215" s="2071"/>
      <c r="K215" s="2068"/>
      <c r="L215" s="2072">
        <f>K215</f>
        <v>0</v>
      </c>
      <c r="M215" s="1239"/>
      <c r="N215" s="1239"/>
      <c r="O215" s="1239"/>
      <c r="P215" s="1239"/>
      <c r="Q215" s="1239"/>
      <c r="R215" s="1239"/>
      <c r="S215" s="1239"/>
      <c r="T215" s="1239"/>
      <c r="U215" s="1240"/>
    </row>
    <row r="216" spans="2:21">
      <c r="B216" s="1328"/>
      <c r="C216" s="1199">
        <v>2023</v>
      </c>
      <c r="D216" s="1203" t="s">
        <v>590</v>
      </c>
      <c r="E216" s="1203" t="s">
        <v>590</v>
      </c>
      <c r="F216" s="1203"/>
      <c r="G216" s="1203"/>
      <c r="H216" s="1354"/>
      <c r="I216" s="1355"/>
      <c r="J216" s="2036"/>
      <c r="K216" s="2066"/>
      <c r="L216" s="2072">
        <f>SUM(L214:L215)</f>
        <v>597697500</v>
      </c>
      <c r="M216" s="1239"/>
      <c r="N216" s="1239"/>
      <c r="O216" s="1239"/>
      <c r="P216" s="1239"/>
      <c r="Q216" s="1239"/>
      <c r="R216" s="1239"/>
      <c r="S216" s="1239"/>
      <c r="T216" s="1239"/>
      <c r="U216" s="1240"/>
    </row>
    <row r="217" spans="2:21">
      <c r="B217" s="1328"/>
      <c r="C217" s="1199">
        <v>2022</v>
      </c>
      <c r="D217" s="1203" t="s">
        <v>590</v>
      </c>
      <c r="E217" s="1203" t="s">
        <v>590</v>
      </c>
      <c r="F217" s="1203"/>
      <c r="G217" s="1203"/>
      <c r="H217" s="1356"/>
      <c r="I217" s="1355"/>
      <c r="J217" s="1197"/>
      <c r="K217" s="1283"/>
      <c r="L217" s="1239"/>
      <c r="M217" s="1239"/>
      <c r="N217" s="1239"/>
      <c r="O217" s="1239"/>
      <c r="P217" s="1239"/>
      <c r="Q217" s="1239"/>
      <c r="R217" s="1239"/>
      <c r="S217" s="1239"/>
      <c r="T217" s="1239"/>
      <c r="U217" s="1240"/>
    </row>
    <row r="218" spans="2:21">
      <c r="B218" s="1328"/>
      <c r="C218" s="1199">
        <v>2021</v>
      </c>
      <c r="D218" s="1203" t="s">
        <v>590</v>
      </c>
      <c r="E218" s="1203" t="s">
        <v>590</v>
      </c>
      <c r="F218" s="1203"/>
      <c r="G218" s="1203"/>
      <c r="H218" s="1356"/>
      <c r="I218" s="1197"/>
      <c r="J218" s="1197"/>
      <c r="K218" s="1283"/>
      <c r="L218" s="1239"/>
      <c r="M218" s="1239"/>
      <c r="N218" s="1239"/>
      <c r="O218" s="1239"/>
      <c r="P218" s="1239"/>
      <c r="Q218" s="1239"/>
      <c r="R218" s="1239"/>
      <c r="S218" s="1239"/>
      <c r="T218" s="1239"/>
      <c r="U218" s="1240"/>
    </row>
    <row r="219" spans="2:21">
      <c r="B219" s="1328"/>
      <c r="C219" s="1197"/>
      <c r="D219" s="1210"/>
      <c r="E219" s="1210"/>
      <c r="F219" s="1211" t="s">
        <v>505</v>
      </c>
      <c r="G219" s="1210" t="e">
        <f>AVERAGE(G214:G218)</f>
        <v>#DIV/0!</v>
      </c>
      <c r="H219" s="1210"/>
      <c r="I219" s="1197"/>
      <c r="J219" s="1197"/>
      <c r="K219" s="1283"/>
      <c r="L219" s="1239"/>
      <c r="M219" s="1239"/>
      <c r="N219" s="1239"/>
      <c r="O219" s="1239"/>
      <c r="P219" s="1239"/>
      <c r="Q219" s="1239"/>
      <c r="R219" s="1239"/>
      <c r="S219" s="1239"/>
      <c r="T219" s="1239"/>
      <c r="U219" s="1240"/>
    </row>
    <row r="220" spans="2:21">
      <c r="B220" s="1328"/>
      <c r="C220" s="1197"/>
      <c r="D220" s="1210"/>
      <c r="E220" s="1210"/>
      <c r="F220" s="1210"/>
      <c r="G220" s="1210"/>
      <c r="H220" s="1210"/>
      <c r="I220" s="1197"/>
      <c r="J220" s="1197"/>
      <c r="K220" s="1283"/>
      <c r="L220" s="1239"/>
      <c r="M220" s="1239"/>
      <c r="N220" s="1239"/>
      <c r="O220" s="1239"/>
      <c r="P220" s="1239"/>
      <c r="Q220" s="1239"/>
      <c r="R220" s="1239"/>
      <c r="S220" s="1239"/>
      <c r="T220" s="1239"/>
      <c r="U220" s="1240"/>
    </row>
    <row r="221" spans="2:21" ht="14.65" thickBot="1">
      <c r="B221" s="1243"/>
      <c r="C221" s="1244"/>
      <c r="D221" s="1244"/>
      <c r="E221" s="1244"/>
      <c r="F221" s="1244"/>
      <c r="G221" s="1244"/>
      <c r="H221" s="1244"/>
      <c r="I221" s="1244"/>
      <c r="J221" s="1244"/>
      <c r="K221" s="1244"/>
      <c r="L221" s="1244"/>
      <c r="M221" s="1244"/>
      <c r="N221" s="1244"/>
      <c r="O221" s="1244"/>
      <c r="P221" s="1244"/>
      <c r="Q221" s="1244"/>
      <c r="R221" s="1244"/>
      <c r="S221" s="1244"/>
      <c r="T221" s="1244"/>
      <c r="U221" s="1245"/>
    </row>
    <row r="222" spans="2:21" ht="14.65" thickTop="1">
      <c r="B222" s="1239"/>
      <c r="C222" s="1239"/>
      <c r="D222" s="1239"/>
      <c r="E222" s="1239"/>
      <c r="F222" s="1239"/>
      <c r="G222" s="1239"/>
      <c r="H222" s="1239"/>
      <c r="I222" s="1239"/>
      <c r="J222" s="1239"/>
      <c r="K222" s="1239"/>
      <c r="L222" s="1239"/>
      <c r="M222" s="1239"/>
      <c r="N222" s="1239"/>
      <c r="O222" s="1239"/>
      <c r="P222" s="1239"/>
      <c r="Q222" s="1239"/>
      <c r="R222" s="1239"/>
      <c r="S222" s="1239"/>
      <c r="T222" s="1239"/>
      <c r="U222" s="1239"/>
    </row>
    <row r="223" spans="2:21" ht="14.65" thickBot="1">
      <c r="B223" s="1239"/>
      <c r="C223" s="1239"/>
      <c r="D223" s="1239"/>
      <c r="E223" s="1239"/>
      <c r="F223" s="1239"/>
      <c r="G223" s="1239"/>
      <c r="H223" s="1239"/>
      <c r="I223" s="1239"/>
      <c r="J223" s="1239"/>
      <c r="K223" s="1239"/>
      <c r="L223" s="1239"/>
      <c r="M223" s="1239"/>
      <c r="N223" s="1239"/>
      <c r="O223" s="1239"/>
      <c r="P223" s="1239"/>
      <c r="Q223" s="1239"/>
      <c r="R223" s="1239"/>
      <c r="S223" s="1239"/>
      <c r="T223" s="1239"/>
      <c r="U223" s="1239"/>
    </row>
    <row r="224" spans="2:21" ht="18">
      <c r="B224" s="1295">
        <v>12</v>
      </c>
      <c r="C224" s="1296" t="s">
        <v>606</v>
      </c>
      <c r="D224" s="1289"/>
      <c r="E224" s="1289"/>
      <c r="F224" s="1289"/>
      <c r="G224" s="1289"/>
      <c r="H224" s="1290"/>
      <c r="I224" s="1239"/>
      <c r="J224" s="1239"/>
      <c r="K224" s="1239"/>
      <c r="L224" s="1239"/>
      <c r="M224" s="1239"/>
      <c r="N224" s="1239"/>
      <c r="O224" s="1239"/>
      <c r="P224" s="1239"/>
      <c r="Q224" s="1239"/>
      <c r="R224" s="1239"/>
      <c r="S224" s="1239"/>
      <c r="T224" s="1239"/>
      <c r="U224" s="1239"/>
    </row>
    <row r="225" spans="2:21">
      <c r="B225" s="1291"/>
      <c r="C225" s="1239"/>
      <c r="D225" s="1239"/>
      <c r="E225" s="1239"/>
      <c r="F225" s="1239"/>
      <c r="G225" s="1239"/>
      <c r="H225" s="1292"/>
      <c r="I225" s="1239"/>
      <c r="J225" s="1239"/>
      <c r="K225" s="1239"/>
      <c r="L225" s="1239"/>
      <c r="M225" s="1239"/>
      <c r="N225" s="1239"/>
      <c r="O225" s="1239"/>
      <c r="P225" s="1239"/>
      <c r="Q225" s="1239"/>
      <c r="R225" s="1239"/>
      <c r="S225" s="1239"/>
      <c r="T225" s="1239"/>
      <c r="U225" s="1239"/>
    </row>
    <row r="226" spans="2:21">
      <c r="B226" s="1291"/>
      <c r="C226" s="1380" t="s">
        <v>607</v>
      </c>
      <c r="D226" s="1379"/>
      <c r="E226" s="1379"/>
      <c r="F226" s="1379"/>
      <c r="G226" s="1239"/>
      <c r="H226" s="1292"/>
      <c r="I226" s="1239"/>
      <c r="J226" s="1239"/>
      <c r="K226" s="1239"/>
      <c r="L226" s="1239"/>
      <c r="M226" s="1239"/>
      <c r="N226" s="1239"/>
      <c r="O226" s="1239"/>
      <c r="P226" s="1239"/>
      <c r="Q226" s="1239"/>
      <c r="R226" s="1239"/>
      <c r="S226" s="1239"/>
      <c r="T226" s="1239"/>
      <c r="U226" s="1239"/>
    </row>
    <row r="227" spans="2:21">
      <c r="B227" s="1291"/>
      <c r="C227" s="1360" t="s">
        <v>496</v>
      </c>
      <c r="D227" s="1360" t="s">
        <v>608</v>
      </c>
      <c r="E227" s="1360" t="s">
        <v>572</v>
      </c>
      <c r="F227" s="1360" t="s">
        <v>609</v>
      </c>
      <c r="G227" s="1360" t="s">
        <v>609</v>
      </c>
      <c r="H227" s="1292"/>
      <c r="I227" s="1239"/>
      <c r="J227" s="1239"/>
      <c r="K227" s="1239"/>
      <c r="L227" s="1239"/>
      <c r="M227" s="1239"/>
      <c r="N227" s="1239"/>
      <c r="O227" s="1239"/>
      <c r="P227" s="1239"/>
      <c r="Q227" s="1239"/>
      <c r="R227" s="1239"/>
      <c r="S227" s="1239"/>
      <c r="T227" s="1239"/>
      <c r="U227" s="1239"/>
    </row>
    <row r="228" spans="2:21">
      <c r="B228" s="1291"/>
      <c r="C228" s="1374">
        <v>2025</v>
      </c>
      <c r="D228" s="1375">
        <v>100</v>
      </c>
      <c r="E228" s="1403">
        <v>100.8</v>
      </c>
      <c r="F228" s="1406">
        <f>E228-D228</f>
        <v>0.79999999999999716</v>
      </c>
      <c r="G228" s="1406" t="s">
        <v>610</v>
      </c>
      <c r="H228" s="1292"/>
      <c r="I228" s="1239"/>
      <c r="J228" s="1239"/>
      <c r="K228" s="1239"/>
      <c r="L228" s="1239"/>
      <c r="M228" s="1239"/>
      <c r="N228" s="1239"/>
      <c r="O228" s="1239"/>
      <c r="P228" s="1239"/>
      <c r="Q228" s="1239"/>
      <c r="R228" s="1239"/>
      <c r="S228" s="1239"/>
      <c r="T228" s="1239"/>
      <c r="U228" s="1239"/>
    </row>
    <row r="229" spans="2:21">
      <c r="B229" s="1291"/>
      <c r="C229" s="1377">
        <v>2024</v>
      </c>
      <c r="D229" s="1375">
        <v>100</v>
      </c>
      <c r="E229" s="1403">
        <v>100.4</v>
      </c>
      <c r="F229" s="1406">
        <f t="shared" ref="F229:F232" si="47">E229-D229</f>
        <v>0.40000000000000568</v>
      </c>
      <c r="G229" s="1406" t="s">
        <v>610</v>
      </c>
      <c r="H229" s="1292"/>
      <c r="I229" s="1239"/>
      <c r="J229" s="1239"/>
      <c r="K229" s="1239"/>
      <c r="L229" s="1239"/>
      <c r="M229" s="1239"/>
      <c r="N229" s="1239"/>
      <c r="O229" s="1239"/>
      <c r="P229" s="1239"/>
      <c r="Q229" s="1239"/>
      <c r="R229" s="1239"/>
      <c r="S229" s="1239"/>
      <c r="T229" s="1239"/>
      <c r="U229" s="1239"/>
    </row>
    <row r="230" spans="2:21">
      <c r="B230" s="1291"/>
      <c r="C230" s="1377">
        <v>2023</v>
      </c>
      <c r="D230" s="1378">
        <v>100</v>
      </c>
      <c r="E230" s="1404">
        <v>100</v>
      </c>
      <c r="F230" s="1406">
        <f t="shared" si="47"/>
        <v>0</v>
      </c>
      <c r="G230" s="1406" t="s">
        <v>611</v>
      </c>
      <c r="H230" s="1292"/>
      <c r="I230" s="1239"/>
      <c r="J230" s="1239"/>
      <c r="K230" s="1239"/>
      <c r="L230" s="1239"/>
      <c r="M230" s="1239"/>
      <c r="N230" s="1239"/>
      <c r="O230" s="1239"/>
      <c r="P230" s="1239"/>
      <c r="Q230" s="1239"/>
      <c r="R230" s="1239"/>
      <c r="S230" s="1239"/>
      <c r="T230" s="1239"/>
      <c r="U230" s="1239"/>
    </row>
    <row r="231" spans="2:21">
      <c r="B231" s="1291"/>
      <c r="C231" s="1377">
        <v>2022</v>
      </c>
      <c r="D231" s="1378">
        <v>100</v>
      </c>
      <c r="E231" s="1404">
        <v>100.89</v>
      </c>
      <c r="F231" s="1406">
        <f t="shared" si="47"/>
        <v>0.89000000000000057</v>
      </c>
      <c r="G231" s="1406" t="s">
        <v>610</v>
      </c>
      <c r="H231" s="1292"/>
      <c r="I231" s="1239"/>
      <c r="J231" s="1239"/>
      <c r="K231" s="1239"/>
      <c r="L231" s="1239"/>
      <c r="M231" s="1239"/>
      <c r="N231" s="1239"/>
      <c r="O231" s="1239"/>
      <c r="P231" s="1239"/>
      <c r="Q231" s="1239"/>
      <c r="R231" s="1239"/>
      <c r="S231" s="1239"/>
      <c r="T231" s="1239"/>
      <c r="U231" s="1239"/>
    </row>
    <row r="232" spans="2:21">
      <c r="B232" s="1291"/>
      <c r="C232" s="1377">
        <v>2021</v>
      </c>
      <c r="D232" s="1378">
        <v>100</v>
      </c>
      <c r="E232" s="1404">
        <v>100</v>
      </c>
      <c r="F232" s="1406">
        <f t="shared" si="47"/>
        <v>0</v>
      </c>
      <c r="G232" s="1406" t="s">
        <v>611</v>
      </c>
      <c r="H232" s="1292"/>
      <c r="I232" s="1239"/>
      <c r="J232" s="1239"/>
      <c r="K232" s="1239"/>
      <c r="L232" s="1239"/>
      <c r="M232" s="1239"/>
      <c r="N232" s="1239"/>
      <c r="O232" s="1239"/>
      <c r="P232" s="1239"/>
      <c r="Q232" s="1239"/>
      <c r="R232" s="1239"/>
      <c r="S232" s="1239"/>
      <c r="T232" s="1239"/>
      <c r="U232" s="1239"/>
    </row>
    <row r="233" spans="2:21">
      <c r="B233" s="1291"/>
      <c r="C233" s="1283" t="s">
        <v>612</v>
      </c>
      <c r="D233" s="1405">
        <v>0</v>
      </c>
      <c r="E233" s="1239"/>
      <c r="F233" s="1239"/>
      <c r="G233" s="1239"/>
      <c r="H233" s="1292"/>
      <c r="I233" s="1239"/>
      <c r="J233" s="1239"/>
      <c r="K233" s="1239"/>
      <c r="L233" s="1239"/>
      <c r="M233" s="1239"/>
      <c r="N233" s="1239"/>
      <c r="O233" s="1239"/>
      <c r="P233" s="1239"/>
      <c r="Q233" s="1239"/>
      <c r="R233" s="1239"/>
      <c r="S233" s="1239"/>
      <c r="T233" s="1239"/>
      <c r="U233" s="1239"/>
    </row>
    <row r="234" spans="2:21" ht="14.65" thickBot="1">
      <c r="B234" s="1293"/>
      <c r="C234" s="1373"/>
      <c r="D234" s="1373"/>
      <c r="E234" s="1373"/>
      <c r="F234" s="1373"/>
      <c r="G234" s="1373"/>
      <c r="H234" s="1294"/>
      <c r="I234" s="1239"/>
      <c r="J234" s="1239"/>
      <c r="K234" s="1239"/>
      <c r="L234" s="1239"/>
      <c r="M234" s="1239"/>
      <c r="N234" s="1239"/>
      <c r="O234" s="1239"/>
      <c r="P234" s="1239"/>
      <c r="Q234" s="1239"/>
      <c r="R234" s="1239"/>
      <c r="S234" s="1239"/>
      <c r="T234" s="1239"/>
      <c r="U234" s="1239"/>
    </row>
    <row r="235" spans="2:21">
      <c r="B235" s="1239"/>
      <c r="C235" s="1239"/>
      <c r="D235" s="1239"/>
      <c r="E235" s="1239"/>
      <c r="F235" s="1239"/>
      <c r="G235" s="1239"/>
      <c r="H235" s="1239"/>
      <c r="I235" s="1239"/>
      <c r="J235" s="1239"/>
      <c r="K235" s="1239"/>
      <c r="L235" s="1239"/>
      <c r="M235" s="1239"/>
      <c r="N235" s="1239"/>
      <c r="O235" s="1239"/>
      <c r="P235" s="1239"/>
      <c r="Q235" s="1239"/>
      <c r="R235" s="1239"/>
      <c r="S235" s="1239"/>
      <c r="T235" s="1239"/>
      <c r="U235" s="1239"/>
    </row>
    <row r="236" spans="2:21" ht="14.65" thickBot="1">
      <c r="B236" s="1239"/>
      <c r="C236" s="1239"/>
      <c r="D236" s="1239"/>
      <c r="E236" s="1239"/>
      <c r="F236" s="1239"/>
      <c r="G236" s="1239"/>
      <c r="H236" s="1239"/>
      <c r="I236" s="1239"/>
      <c r="J236" s="1239"/>
      <c r="K236" s="1239"/>
      <c r="L236" s="1239"/>
      <c r="M236" s="1239"/>
      <c r="N236" s="1239"/>
      <c r="O236" s="1239"/>
      <c r="P236" s="1239"/>
      <c r="Q236" s="1239"/>
      <c r="R236" s="1239"/>
      <c r="S236" s="1239"/>
      <c r="T236" s="1239"/>
      <c r="U236" s="1239"/>
    </row>
    <row r="237" spans="2:21" ht="18">
      <c r="B237" s="1295">
        <v>13</v>
      </c>
      <c r="C237" s="1296" t="s">
        <v>613</v>
      </c>
      <c r="D237" s="1289"/>
      <c r="E237" s="1289"/>
      <c r="F237" s="1289"/>
      <c r="G237" s="1289"/>
      <c r="H237" s="1290"/>
      <c r="I237" s="1239"/>
      <c r="J237" s="1239"/>
      <c r="K237" s="1239"/>
      <c r="L237" s="1239"/>
      <c r="M237" s="1239"/>
      <c r="N237" s="1239"/>
      <c r="O237" s="1239"/>
      <c r="P237" s="1239"/>
      <c r="Q237" s="1239"/>
      <c r="R237" s="1239"/>
      <c r="S237" s="1239"/>
      <c r="T237" s="1239"/>
      <c r="U237" s="1239"/>
    </row>
    <row r="238" spans="2:21">
      <c r="B238" s="1291"/>
      <c r="C238" s="1239"/>
      <c r="D238" s="1239"/>
      <c r="E238" s="1239"/>
      <c r="F238" s="1239"/>
      <c r="G238" s="1239"/>
      <c r="H238" s="1292"/>
      <c r="I238" s="1239"/>
      <c r="J238" s="1239"/>
      <c r="K238" s="1239"/>
      <c r="L238" s="1239"/>
      <c r="M238" s="1239"/>
      <c r="N238" s="1239"/>
      <c r="O238" s="1239"/>
      <c r="P238" s="1239"/>
      <c r="Q238" s="1239"/>
      <c r="R238" s="1239"/>
      <c r="S238" s="1239"/>
      <c r="T238" s="1239"/>
      <c r="U238" s="1239"/>
    </row>
    <row r="239" spans="2:21">
      <c r="B239" s="1291"/>
      <c r="C239" s="1380" t="s">
        <v>607</v>
      </c>
      <c r="D239" s="1379"/>
      <c r="E239" s="1379"/>
      <c r="F239" s="1379"/>
      <c r="G239" s="1239"/>
      <c r="H239" s="1292"/>
      <c r="I239" s="1239"/>
      <c r="J239" s="1239"/>
      <c r="K239" s="1239"/>
      <c r="L239" s="1239"/>
      <c r="M239" s="1239"/>
      <c r="N239" s="1239"/>
      <c r="O239" s="1239"/>
      <c r="P239" s="1239"/>
      <c r="Q239" s="1239"/>
      <c r="R239" s="1239"/>
      <c r="S239" s="1239"/>
      <c r="T239" s="1239"/>
      <c r="U239" s="1239"/>
    </row>
    <row r="240" spans="2:21">
      <c r="B240" s="1291"/>
      <c r="C240" s="1360" t="s">
        <v>496</v>
      </c>
      <c r="D240" s="1360" t="s">
        <v>614</v>
      </c>
      <c r="E240" s="1360" t="s">
        <v>572</v>
      </c>
      <c r="F240" s="1360" t="s">
        <v>609</v>
      </c>
      <c r="G240" s="1239"/>
      <c r="H240" s="1292"/>
      <c r="I240" s="1239"/>
      <c r="J240" s="1239"/>
      <c r="K240" s="1239"/>
      <c r="L240" s="1239"/>
      <c r="M240" s="1239"/>
      <c r="N240" s="1239"/>
      <c r="O240" s="1239"/>
      <c r="P240" s="1239"/>
      <c r="Q240" s="1239"/>
      <c r="R240" s="1239"/>
      <c r="S240" s="1239"/>
      <c r="T240" s="1239"/>
      <c r="U240" s="1239"/>
    </row>
    <row r="241" spans="2:21">
      <c r="B241" s="1291"/>
      <c r="C241" s="1374">
        <v>2025</v>
      </c>
      <c r="D241" s="1375" t="s">
        <v>615</v>
      </c>
      <c r="E241" s="1375" t="s">
        <v>616</v>
      </c>
      <c r="F241" s="1376" t="s">
        <v>590</v>
      </c>
      <c r="G241" s="1239"/>
      <c r="H241" s="1292"/>
      <c r="I241" s="1239"/>
      <c r="J241" s="1239"/>
      <c r="K241" s="1239"/>
      <c r="L241" s="1239"/>
      <c r="M241" s="1239"/>
      <c r="N241" s="1239"/>
      <c r="O241" s="1239"/>
      <c r="P241" s="1239"/>
      <c r="Q241" s="1239"/>
      <c r="R241" s="1239"/>
      <c r="S241" s="1239"/>
      <c r="T241" s="1239"/>
      <c r="U241" s="1239"/>
    </row>
    <row r="242" spans="2:21">
      <c r="B242" s="1291"/>
      <c r="C242" s="1377">
        <v>2024</v>
      </c>
      <c r="D242" s="1375" t="s">
        <v>615</v>
      </c>
      <c r="E242" s="1375" t="s">
        <v>616</v>
      </c>
      <c r="F242" s="1376" t="s">
        <v>590</v>
      </c>
      <c r="G242" s="1239"/>
      <c r="H242" s="1292"/>
      <c r="I242" s="1239"/>
      <c r="J242" s="1239"/>
      <c r="K242" s="1239"/>
      <c r="L242" s="1239"/>
      <c r="M242" s="1239"/>
      <c r="N242" s="1239"/>
      <c r="O242" s="1239"/>
      <c r="P242" s="1239"/>
      <c r="Q242" s="1239"/>
      <c r="R242" s="1239"/>
      <c r="S242" s="1239"/>
      <c r="T242" s="1239"/>
      <c r="U242" s="1239"/>
    </row>
    <row r="243" spans="2:21">
      <c r="B243" s="1291"/>
      <c r="C243" s="1377">
        <v>2023</v>
      </c>
      <c r="D243" s="1375" t="s">
        <v>615</v>
      </c>
      <c r="E243" s="1375" t="s">
        <v>616</v>
      </c>
      <c r="F243" s="1376" t="s">
        <v>590</v>
      </c>
      <c r="G243" s="1239"/>
      <c r="H243" s="1292"/>
      <c r="I243" s="1239"/>
      <c r="J243" s="1239"/>
      <c r="K243" s="1239"/>
      <c r="L243" s="1239"/>
      <c r="M243" s="1239"/>
      <c r="N243" s="1239"/>
      <c r="O243" s="1239"/>
      <c r="P243" s="1239"/>
      <c r="Q243" s="1239"/>
      <c r="R243" s="1239"/>
      <c r="S243" s="1239"/>
      <c r="T243" s="1239"/>
      <c r="U243" s="1239"/>
    </row>
    <row r="244" spans="2:21">
      <c r="B244" s="1291"/>
      <c r="C244" s="1377">
        <v>2022</v>
      </c>
      <c r="D244" s="1375" t="s">
        <v>615</v>
      </c>
      <c r="E244" s="1375" t="s">
        <v>616</v>
      </c>
      <c r="F244" s="1376" t="s">
        <v>590</v>
      </c>
      <c r="G244" s="1239"/>
      <c r="H244" s="1292"/>
      <c r="I244" s="1239"/>
      <c r="J244" s="1239"/>
      <c r="K244" s="1239"/>
      <c r="L244" s="1239"/>
      <c r="M244" s="1239"/>
      <c r="N244" s="1239"/>
      <c r="O244" s="1239"/>
      <c r="P244" s="1239"/>
      <c r="Q244" s="1239"/>
      <c r="R244" s="1239"/>
      <c r="S244" s="1239"/>
      <c r="T244" s="1239"/>
      <c r="U244" s="1239"/>
    </row>
    <row r="245" spans="2:21">
      <c r="B245" s="1291"/>
      <c r="C245" s="1377">
        <v>2021</v>
      </c>
      <c r="D245" s="1375" t="s">
        <v>615</v>
      </c>
      <c r="E245" s="1375" t="s">
        <v>616</v>
      </c>
      <c r="F245" s="1376" t="s">
        <v>590</v>
      </c>
      <c r="G245" s="1239"/>
      <c r="H245" s="1292"/>
      <c r="I245" s="1239"/>
      <c r="J245" s="1239"/>
      <c r="K245" s="1239"/>
      <c r="L245" s="1239"/>
      <c r="M245" s="1239"/>
      <c r="N245" s="1239"/>
      <c r="O245" s="1239"/>
      <c r="P245" s="1239"/>
      <c r="Q245" s="1239"/>
      <c r="R245" s="1239"/>
      <c r="S245" s="1239"/>
      <c r="T245" s="1239"/>
      <c r="U245" s="1239"/>
    </row>
    <row r="246" spans="2:21">
      <c r="B246" s="1291"/>
      <c r="C246" s="1283" t="s">
        <v>617</v>
      </c>
      <c r="D246" s="1239"/>
      <c r="E246" s="1239"/>
      <c r="F246" s="1239"/>
      <c r="G246" s="1239"/>
      <c r="H246" s="1292"/>
      <c r="I246" s="1239"/>
      <c r="J246" s="1239"/>
      <c r="K246" s="1239"/>
      <c r="L246" s="1239"/>
      <c r="M246" s="1239"/>
      <c r="N246" s="1239"/>
      <c r="O246" s="1239"/>
      <c r="P246" s="1239"/>
      <c r="Q246" s="1239"/>
      <c r="R246" s="1239"/>
      <c r="S246" s="1239"/>
      <c r="T246" s="1239"/>
      <c r="U246" s="1239"/>
    </row>
    <row r="247" spans="2:21" ht="14.65" thickBot="1">
      <c r="B247" s="1293"/>
      <c r="C247" s="1373"/>
      <c r="D247" s="1373"/>
      <c r="E247" s="1373"/>
      <c r="F247" s="1373"/>
      <c r="G247" s="1373"/>
      <c r="H247" s="1294"/>
      <c r="I247" s="1239"/>
      <c r="J247" s="1239"/>
      <c r="K247" s="1239"/>
      <c r="L247" s="1239"/>
      <c r="M247" s="1239"/>
      <c r="N247" s="1239"/>
      <c r="O247" s="1239"/>
      <c r="P247" s="1239"/>
      <c r="Q247" s="1239"/>
      <c r="R247" s="1239"/>
      <c r="S247" s="1239"/>
      <c r="T247" s="1239"/>
      <c r="U247" s="1239"/>
    </row>
    <row r="248" spans="2:21">
      <c r="B248" s="1239"/>
      <c r="C248" s="1239"/>
      <c r="D248" s="1239"/>
      <c r="E248" s="1239"/>
      <c r="F248" s="1239"/>
      <c r="G248" s="1239"/>
      <c r="H248" s="1239"/>
      <c r="I248" s="1239"/>
      <c r="J248" s="1239"/>
      <c r="K248" s="1239"/>
      <c r="L248" s="1239"/>
      <c r="M248" s="1239"/>
      <c r="N248" s="1239"/>
      <c r="O248" s="1239"/>
      <c r="P248" s="1239"/>
      <c r="Q248" s="1239"/>
      <c r="R248" s="1239"/>
      <c r="S248" s="1239"/>
      <c r="T248" s="1239"/>
      <c r="U248" s="1239"/>
    </row>
    <row r="249" spans="2:21">
      <c r="B249" s="1239"/>
      <c r="C249" s="1239"/>
      <c r="D249" s="1239"/>
      <c r="E249" s="1239"/>
      <c r="F249" s="1239"/>
      <c r="G249" s="1239"/>
      <c r="H249" s="1239"/>
      <c r="I249" s="1239"/>
      <c r="J249" s="1239"/>
      <c r="K249" s="1239"/>
      <c r="L249" s="1239"/>
      <c r="M249" s="1239"/>
      <c r="N249" s="1239"/>
      <c r="O249" s="1239"/>
      <c r="P249" s="1239"/>
      <c r="Q249" s="1239"/>
      <c r="R249" s="1239"/>
      <c r="S249" s="1239"/>
      <c r="T249" s="1239"/>
      <c r="U249" s="1239"/>
    </row>
    <row r="250" spans="2:21">
      <c r="B250" s="1239"/>
      <c r="C250" s="1239"/>
      <c r="D250" s="1239"/>
      <c r="E250" s="1239"/>
      <c r="F250" s="1239"/>
      <c r="G250" s="1239"/>
      <c r="H250" s="1239"/>
      <c r="I250" s="1239"/>
      <c r="J250" s="1239"/>
      <c r="K250" s="1239"/>
      <c r="L250" s="1239"/>
      <c r="M250" s="1239"/>
      <c r="N250" s="1239"/>
      <c r="O250" s="1239"/>
      <c r="P250" s="1239"/>
      <c r="Q250" s="1239"/>
      <c r="R250" s="1239"/>
      <c r="S250" s="1239"/>
      <c r="T250" s="1239"/>
      <c r="U250" s="1239"/>
    </row>
    <row r="251" spans="2:21">
      <c r="B251" s="1239"/>
      <c r="C251" s="1239"/>
      <c r="D251" s="1239"/>
      <c r="E251" s="1239"/>
      <c r="F251" s="1239"/>
      <c r="G251" s="1239"/>
      <c r="H251" s="1239"/>
      <c r="I251" s="1239"/>
      <c r="J251" s="1239"/>
      <c r="K251" s="1239"/>
      <c r="L251" s="1239"/>
      <c r="M251" s="1239"/>
      <c r="N251" s="1239"/>
      <c r="O251" s="1239"/>
      <c r="P251" s="1239"/>
      <c r="Q251" s="1239"/>
      <c r="R251" s="1239"/>
      <c r="S251" s="1239"/>
      <c r="T251" s="1239"/>
      <c r="U251" s="1239"/>
    </row>
    <row r="252" spans="2:21">
      <c r="B252" s="1239"/>
      <c r="C252" s="1239"/>
      <c r="D252" s="1239"/>
      <c r="E252" s="1239"/>
      <c r="F252" s="1239"/>
      <c r="G252" s="1239"/>
      <c r="H252" s="1239"/>
      <c r="I252" s="1239"/>
      <c r="J252" s="1239"/>
      <c r="K252" s="1239"/>
      <c r="L252" s="1239"/>
      <c r="M252" s="1239"/>
      <c r="N252" s="1239"/>
      <c r="O252" s="1239"/>
      <c r="P252" s="1239"/>
      <c r="Q252" s="1239"/>
      <c r="R252" s="1239"/>
      <c r="S252" s="1239"/>
      <c r="T252" s="1239"/>
      <c r="U252" s="1239"/>
    </row>
    <row r="253" spans="2:21">
      <c r="B253" s="1239"/>
      <c r="C253" s="1239"/>
      <c r="D253" s="1239"/>
      <c r="E253" s="1239"/>
      <c r="F253" s="1239"/>
      <c r="G253" s="1239"/>
      <c r="H253" s="1239"/>
      <c r="I253" s="1239"/>
      <c r="J253" s="1239"/>
      <c r="K253" s="1239"/>
      <c r="L253" s="1239"/>
      <c r="M253" s="1239"/>
      <c r="N253" s="1239"/>
      <c r="O253" s="1239"/>
      <c r="P253" s="1239"/>
      <c r="Q253" s="1239"/>
      <c r="R253" s="1239"/>
      <c r="S253" s="1239"/>
      <c r="T253" s="1239"/>
      <c r="U253" s="1239"/>
    </row>
    <row r="254" spans="2:21">
      <c r="B254" s="1239"/>
      <c r="C254" s="1239"/>
      <c r="D254" s="1239"/>
      <c r="E254" s="1239"/>
      <c r="F254" s="1239"/>
      <c r="G254" s="1239"/>
      <c r="H254" s="1239"/>
      <c r="I254" s="1239"/>
      <c r="J254" s="1239"/>
      <c r="K254" s="1239"/>
      <c r="L254" s="1239"/>
      <c r="M254" s="1239"/>
      <c r="N254" s="1239"/>
      <c r="O254" s="1239"/>
      <c r="P254" s="1239"/>
      <c r="Q254" s="1239"/>
      <c r="R254" s="1239"/>
      <c r="S254" s="1239"/>
      <c r="T254" s="1239"/>
      <c r="U254" s="1239"/>
    </row>
    <row r="255" spans="2:21">
      <c r="B255" s="1239"/>
      <c r="C255" s="1239"/>
      <c r="D255" s="1239"/>
      <c r="E255" s="1239"/>
      <c r="F255" s="1239"/>
      <c r="G255" s="1239"/>
      <c r="H255" s="1239"/>
      <c r="I255" s="1239"/>
      <c r="J255" s="1239"/>
      <c r="K255" s="1239"/>
      <c r="L255" s="1239"/>
      <c r="M255" s="1239"/>
      <c r="N255" s="1239"/>
      <c r="O255" s="1239"/>
      <c r="P255" s="1239"/>
      <c r="Q255" s="1239"/>
      <c r="R255" s="1239"/>
      <c r="S255" s="1239"/>
      <c r="T255" s="1239"/>
      <c r="U255" s="1239"/>
    </row>
    <row r="256" spans="2:21">
      <c r="B256" s="1239"/>
      <c r="C256" s="1239"/>
      <c r="D256" s="1239"/>
      <c r="E256" s="1239"/>
      <c r="F256" s="1239"/>
      <c r="G256" s="1239"/>
      <c r="H256" s="1239"/>
      <c r="I256" s="1239"/>
      <c r="J256" s="1239"/>
      <c r="K256" s="1239"/>
      <c r="L256" s="1239"/>
      <c r="M256" s="1239"/>
      <c r="N256" s="1239"/>
      <c r="O256" s="1239"/>
      <c r="P256" s="1239"/>
      <c r="Q256" s="1239"/>
      <c r="R256" s="1239"/>
      <c r="S256" s="1239"/>
      <c r="T256" s="1239"/>
      <c r="U256" s="1239"/>
    </row>
    <row r="257" spans="2:21">
      <c r="B257" s="1239"/>
      <c r="C257" s="1239"/>
      <c r="D257" s="1239"/>
      <c r="E257" s="1239"/>
      <c r="F257" s="1239"/>
      <c r="G257" s="1239"/>
      <c r="H257" s="1239"/>
      <c r="I257" s="1239"/>
      <c r="J257" s="1239"/>
      <c r="K257" s="1239"/>
      <c r="L257" s="1239"/>
      <c r="M257" s="1239"/>
      <c r="N257" s="1239"/>
      <c r="O257" s="1239"/>
      <c r="P257" s="1239"/>
      <c r="Q257" s="1239"/>
      <c r="R257" s="1239"/>
      <c r="S257" s="1239"/>
      <c r="T257" s="1239"/>
      <c r="U257" s="1239"/>
    </row>
    <row r="258" spans="2:21">
      <c r="B258" s="1239"/>
      <c r="C258" s="1239"/>
      <c r="D258" s="1239"/>
      <c r="E258" s="1239"/>
      <c r="F258" s="1239"/>
      <c r="G258" s="1239"/>
      <c r="H258" s="1239"/>
      <c r="I258" s="1239"/>
      <c r="J258" s="1239"/>
      <c r="K258" s="1239"/>
      <c r="L258" s="1239"/>
      <c r="M258" s="1239"/>
      <c r="N258" s="1239"/>
      <c r="O258" s="1239"/>
      <c r="P258" s="1239"/>
      <c r="Q258" s="1239"/>
      <c r="R258" s="1239"/>
      <c r="S258" s="1239"/>
      <c r="T258" s="1239"/>
      <c r="U258" s="1239"/>
    </row>
    <row r="259" spans="2:21" hidden="1">
      <c r="B259" s="1239"/>
      <c r="C259" s="1239"/>
      <c r="D259" s="1239"/>
      <c r="E259" s="1239"/>
      <c r="F259" s="1239"/>
      <c r="G259" s="1239"/>
      <c r="H259" s="1239"/>
      <c r="I259" s="1239"/>
      <c r="J259" s="1239"/>
      <c r="K259" s="1239"/>
      <c r="L259" s="1239"/>
      <c r="M259" s="1239"/>
      <c r="N259" s="1239"/>
      <c r="O259" s="1239"/>
      <c r="P259" s="1239"/>
      <c r="Q259" s="1239"/>
      <c r="R259" s="1239"/>
      <c r="S259" s="1239"/>
      <c r="T259" s="1239"/>
      <c r="U259" s="1239"/>
    </row>
    <row r="260" spans="2:21" ht="14.65" hidden="1" thickBot="1"/>
    <row r="261" spans="2:21" hidden="1">
      <c r="B261" s="1307"/>
      <c r="C261" s="1289"/>
      <c r="D261" s="1289"/>
      <c r="E261" s="1289"/>
      <c r="F261" s="1289"/>
      <c r="G261" s="1289"/>
      <c r="H261" s="1289"/>
      <c r="I261" s="1289"/>
      <c r="J261" s="1289"/>
      <c r="K261" s="1289"/>
      <c r="L261" s="1289"/>
      <c r="M261" s="1289"/>
      <c r="N261" s="1289"/>
      <c r="O261" s="1289"/>
      <c r="P261" s="1289"/>
      <c r="Q261" s="1289"/>
      <c r="R261" s="1289"/>
      <c r="S261" s="1289"/>
      <c r="T261" s="1289"/>
      <c r="U261" s="1290"/>
    </row>
    <row r="262" spans="2:21" s="1197" customFormat="1" ht="18" hidden="1">
      <c r="B262" s="1322">
        <v>7</v>
      </c>
      <c r="C262" s="1323" t="s">
        <v>618</v>
      </c>
      <c r="D262" s="1283"/>
      <c r="E262" s="1283"/>
      <c r="F262" s="1283"/>
      <c r="G262" s="1283"/>
      <c r="H262" s="1283"/>
      <c r="I262" s="1283"/>
      <c r="J262" s="1283"/>
      <c r="K262" s="1283"/>
      <c r="L262" s="1283"/>
      <c r="M262" s="1283"/>
      <c r="N262" s="1283"/>
      <c r="O262" s="1283"/>
      <c r="P262" s="1283"/>
      <c r="Q262" s="1283"/>
      <c r="R262" s="1283"/>
      <c r="S262" s="1283"/>
      <c r="T262" s="1283"/>
      <c r="U262" s="1301"/>
    </row>
    <row r="263" spans="2:21" s="1197" customFormat="1" hidden="1">
      <c r="B263" s="1300"/>
      <c r="C263" s="1283" t="s">
        <v>619</v>
      </c>
      <c r="D263" s="1283"/>
      <c r="E263" s="1283"/>
      <c r="F263" s="1324"/>
      <c r="G263" s="1324"/>
      <c r="H263" s="1324"/>
      <c r="I263" s="1324"/>
      <c r="J263" s="1324"/>
      <c r="K263" s="1283"/>
      <c r="L263" s="1283"/>
      <c r="M263" s="1283"/>
      <c r="N263" s="1283"/>
      <c r="O263" s="1283"/>
      <c r="P263" s="1283"/>
      <c r="Q263" s="1283"/>
      <c r="R263" s="1283"/>
      <c r="S263" s="1283"/>
      <c r="T263" s="1283"/>
      <c r="U263" s="1301"/>
    </row>
    <row r="264" spans="2:21" hidden="1">
      <c r="B264" s="1291"/>
      <c r="C264" s="1239"/>
      <c r="D264" s="1239"/>
      <c r="E264" s="1239"/>
      <c r="F264" s="1308"/>
      <c r="G264" s="1309"/>
      <c r="H264" s="1309"/>
      <c r="I264" s="1309"/>
      <c r="J264" s="1309"/>
      <c r="K264" s="1239"/>
      <c r="L264" s="1239"/>
      <c r="M264" s="1239"/>
      <c r="N264" s="1239"/>
      <c r="O264" s="1239"/>
      <c r="P264" s="1239"/>
      <c r="Q264" s="1239"/>
      <c r="R264" s="1239"/>
      <c r="S264" s="1239"/>
      <c r="T264" s="1239"/>
      <c r="U264" s="1292"/>
    </row>
    <row r="265" spans="2:21" hidden="1">
      <c r="B265" s="1291"/>
      <c r="C265" s="1239" t="s">
        <v>449</v>
      </c>
      <c r="D265" s="1239"/>
      <c r="E265" s="1239"/>
      <c r="F265" s="1239"/>
      <c r="G265" s="1239"/>
      <c r="H265" s="1239"/>
      <c r="I265" s="1239"/>
      <c r="J265" s="1239"/>
      <c r="K265" s="1239"/>
      <c r="L265" s="1239"/>
      <c r="M265" s="1239"/>
      <c r="N265" s="1239"/>
      <c r="O265" s="1239"/>
      <c r="P265" s="1239"/>
      <c r="Q265" s="1239"/>
      <c r="R265" s="1239"/>
      <c r="S265" s="1239"/>
      <c r="T265" s="1239"/>
      <c r="U265" s="1292"/>
    </row>
    <row r="266" spans="2:21" hidden="1">
      <c r="B266" s="1291"/>
      <c r="C266" s="1127"/>
      <c r="D266" s="1123" t="s">
        <v>437</v>
      </c>
      <c r="E266" s="1123" t="s">
        <v>438</v>
      </c>
      <c r="F266" s="1123" t="s">
        <v>439</v>
      </c>
      <c r="G266" s="1123" t="s">
        <v>440</v>
      </c>
      <c r="H266" s="1123" t="s">
        <v>620</v>
      </c>
      <c r="I266" s="1123" t="s">
        <v>621</v>
      </c>
      <c r="J266" s="1123" t="s">
        <v>622</v>
      </c>
      <c r="K266" s="1123" t="s">
        <v>623</v>
      </c>
      <c r="L266" s="1123" t="s">
        <v>445</v>
      </c>
      <c r="M266" s="1123" t="s">
        <v>624</v>
      </c>
      <c r="N266" s="1123" t="s">
        <v>447</v>
      </c>
      <c r="O266" s="1123" t="s">
        <v>625</v>
      </c>
      <c r="P266" s="1123" t="s">
        <v>557</v>
      </c>
      <c r="Q266" s="1124" t="s">
        <v>186</v>
      </c>
      <c r="R266" s="1124" t="s">
        <v>187</v>
      </c>
      <c r="S266" s="1124" t="s">
        <v>188</v>
      </c>
      <c r="T266" s="1124" t="s">
        <v>189</v>
      </c>
      <c r="U266" s="1292"/>
    </row>
    <row r="267" spans="2:21" hidden="1">
      <c r="B267" s="1291"/>
      <c r="C267" s="1127" t="s">
        <v>626</v>
      </c>
      <c r="D267" s="1144">
        <v>1640</v>
      </c>
      <c r="E267" s="1144">
        <v>1640</v>
      </c>
      <c r="F267" s="1144">
        <v>1640</v>
      </c>
      <c r="G267" s="1144">
        <v>1640</v>
      </c>
      <c r="H267" s="1144">
        <v>1640</v>
      </c>
      <c r="I267" s="1144">
        <v>1640</v>
      </c>
      <c r="J267" s="1144">
        <v>1640</v>
      </c>
      <c r="K267" s="1144">
        <v>1640</v>
      </c>
      <c r="L267" s="1144">
        <v>1640</v>
      </c>
      <c r="M267" s="1144">
        <v>1640</v>
      </c>
      <c r="N267" s="1144">
        <v>1640</v>
      </c>
      <c r="O267" s="1144">
        <v>1640</v>
      </c>
      <c r="P267" s="1144">
        <f>O267</f>
        <v>1640</v>
      </c>
      <c r="Q267" s="1129">
        <f>AVERAGE(D267:O267)</f>
        <v>1640</v>
      </c>
      <c r="R267" s="1130">
        <f>Q267</f>
        <v>1640</v>
      </c>
      <c r="S267" s="1130">
        <f>R267</f>
        <v>1640</v>
      </c>
      <c r="T267" s="1130">
        <f>S267</f>
        <v>1640</v>
      </c>
      <c r="U267" s="1292"/>
    </row>
    <row r="268" spans="2:21" hidden="1">
      <c r="B268" s="1291"/>
      <c r="C268" s="1127" t="s">
        <v>627</v>
      </c>
      <c r="D268" s="1144">
        <v>1538.0978470022419</v>
      </c>
      <c r="E268" s="1144">
        <v>1538.0978470022419</v>
      </c>
      <c r="F268" s="1144">
        <v>1538.0978470022419</v>
      </c>
      <c r="G268" s="1144">
        <v>1538.0978470022419</v>
      </c>
      <c r="H268" s="1144">
        <v>1538.0978470022419</v>
      </c>
      <c r="I268" s="1144">
        <v>1538.0978470022419</v>
      </c>
      <c r="J268" s="1144">
        <v>1538.0978470022419</v>
      </c>
      <c r="K268" s="1144">
        <v>1538.0978470022419</v>
      </c>
      <c r="L268" s="1144">
        <v>1538.0978470022419</v>
      </c>
      <c r="M268" s="1144">
        <v>1538.0978470022419</v>
      </c>
      <c r="N268" s="1144">
        <v>1538.0978470022419</v>
      </c>
      <c r="O268" s="1144">
        <v>1538.0978470022419</v>
      </c>
      <c r="P268" s="1145">
        <f>O268</f>
        <v>1538.0978470022419</v>
      </c>
      <c r="Q268" s="1129">
        <f>F268</f>
        <v>1538.0978470022419</v>
      </c>
      <c r="R268" s="1130">
        <f>I268</f>
        <v>1538.0978470022419</v>
      </c>
      <c r="S268" s="1130">
        <f>L268</f>
        <v>1538.0978470022419</v>
      </c>
      <c r="T268" s="1130">
        <f>M268</f>
        <v>1538.0978470022419</v>
      </c>
      <c r="U268" s="1292"/>
    </row>
    <row r="269" spans="2:21" hidden="1">
      <c r="B269" s="1291"/>
      <c r="C269" s="1131" t="s">
        <v>568</v>
      </c>
      <c r="D269" s="1146">
        <f>D268-D267</f>
        <v>-101.90215299775809</v>
      </c>
      <c r="E269" s="1146">
        <f t="shared" ref="E269:T269" si="48">E268-E267</f>
        <v>-101.90215299775809</v>
      </c>
      <c r="F269" s="1146">
        <f t="shared" si="48"/>
        <v>-101.90215299775809</v>
      </c>
      <c r="G269" s="1146">
        <f t="shared" si="48"/>
        <v>-101.90215299775809</v>
      </c>
      <c r="H269" s="1146">
        <f t="shared" si="48"/>
        <v>-101.90215299775809</v>
      </c>
      <c r="I269" s="1146">
        <f t="shared" si="48"/>
        <v>-101.90215299775809</v>
      </c>
      <c r="J269" s="1146">
        <f t="shared" si="48"/>
        <v>-101.90215299775809</v>
      </c>
      <c r="K269" s="1146">
        <f t="shared" si="48"/>
        <v>-101.90215299775809</v>
      </c>
      <c r="L269" s="1146">
        <f t="shared" si="48"/>
        <v>-101.90215299775809</v>
      </c>
      <c r="M269" s="1146">
        <f t="shared" si="48"/>
        <v>-101.90215299775809</v>
      </c>
      <c r="N269" s="1147">
        <f t="shared" si="48"/>
        <v>-101.90215299775809</v>
      </c>
      <c r="O269" s="1147">
        <f t="shared" si="48"/>
        <v>-101.90215299775809</v>
      </c>
      <c r="P269" s="1147">
        <f t="shared" si="48"/>
        <v>-101.90215299775809</v>
      </c>
      <c r="Q269" s="1132">
        <f t="shared" si="48"/>
        <v>-101.90215299775809</v>
      </c>
      <c r="R269" s="1132">
        <f t="shared" si="48"/>
        <v>-101.90215299775809</v>
      </c>
      <c r="S269" s="1132">
        <f t="shared" si="48"/>
        <v>-101.90215299775809</v>
      </c>
      <c r="T269" s="1132">
        <f t="shared" si="48"/>
        <v>-101.90215299775809</v>
      </c>
      <c r="U269" s="1292"/>
    </row>
    <row r="270" spans="2:21" ht="15.75" hidden="1">
      <c r="B270" s="1291"/>
      <c r="C270" s="1127" t="s">
        <v>628</v>
      </c>
      <c r="D270" s="1148">
        <v>385968271.32811052</v>
      </c>
      <c r="E270" s="1148">
        <v>385648066.8584007</v>
      </c>
      <c r="F270" s="1149">
        <v>412343234.13731354</v>
      </c>
      <c r="G270" s="1149">
        <v>393355492.36454636</v>
      </c>
      <c r="H270" s="1149">
        <v>409042157.7060495</v>
      </c>
      <c r="I270" s="1149">
        <v>397428187.35342705</v>
      </c>
      <c r="J270" s="1149">
        <v>404955491.37588543</v>
      </c>
      <c r="K270" s="1149">
        <v>445488201.74276185</v>
      </c>
      <c r="L270" s="1149">
        <v>443449853.26121122</v>
      </c>
      <c r="M270" s="1150">
        <v>452116839.15270948</v>
      </c>
      <c r="N270" s="1149">
        <v>441003131.9407438</v>
      </c>
      <c r="O270" s="1149">
        <v>445114775.32415634</v>
      </c>
      <c r="P270" s="1151">
        <f>SUM(D270:O270)</f>
        <v>5015913702.5453167</v>
      </c>
      <c r="Q270" s="1134">
        <f>SUM(D270:F270)</f>
        <v>1183959572.3238249</v>
      </c>
      <c r="R270" s="1134">
        <f>SUM(G270:I270)</f>
        <v>1199825837.4240229</v>
      </c>
      <c r="S270" s="1134">
        <f>SUM(J270:L270)</f>
        <v>1293893546.3798585</v>
      </c>
      <c r="T270" s="1134">
        <f>SUM(M270:O270)</f>
        <v>1338234746.4176097</v>
      </c>
      <c r="U270" s="1292"/>
    </row>
    <row r="271" spans="2:21" hidden="1">
      <c r="B271" s="1291"/>
      <c r="C271" s="1127" t="s">
        <v>629</v>
      </c>
      <c r="D271" s="1151">
        <f>D269*D270</f>
        <v>-39330997837.157326</v>
      </c>
      <c r="E271" s="1151">
        <f>E269*E270</f>
        <v>-39298368312.294388</v>
      </c>
      <c r="F271" s="1151">
        <f t="shared" ref="F271:O271" si="49">F269*F270</f>
        <v>-42018663332.650909</v>
      </c>
      <c r="G271" s="1151">
        <f t="shared" si="49"/>
        <v>-40083771565.440468</v>
      </c>
      <c r="H271" s="1151">
        <f t="shared" si="49"/>
        <v>-41682276537.094948</v>
      </c>
      <c r="I271" s="1151">
        <f t="shared" si="49"/>
        <v>-40498787953.310593</v>
      </c>
      <c r="J271" s="1151">
        <f t="shared" si="49"/>
        <v>-41265836439.467789</v>
      </c>
      <c r="K271" s="1151">
        <f t="shared" si="49"/>
        <v>-45396206892.687042</v>
      </c>
      <c r="L271" s="1151">
        <f t="shared" si="49"/>
        <v>-45188494793.857323</v>
      </c>
      <c r="M271" s="1151">
        <f t="shared" si="49"/>
        <v>-46071679316.202187</v>
      </c>
      <c r="N271" s="1151">
        <f t="shared" si="49"/>
        <v>-44939168623.516174</v>
      </c>
      <c r="O271" s="1151">
        <f t="shared" si="49"/>
        <v>-45358153936.644897</v>
      </c>
      <c r="P271" s="1151">
        <f>SUM(D271:O271)</f>
        <v>-511132405540.32397</v>
      </c>
      <c r="Q271" s="1133">
        <f>Q269*Q270</f>
        <v>-120648029482.10265</v>
      </c>
      <c r="R271" s="1133">
        <f>R269*R270</f>
        <v>-122264836055.84601</v>
      </c>
      <c r="S271" s="1133">
        <f>S269*S270</f>
        <v>-131850538126.01215</v>
      </c>
      <c r="T271" s="1133">
        <f>T269*T270</f>
        <v>-136369001876.36327</v>
      </c>
      <c r="U271" s="1292"/>
    </row>
    <row r="272" spans="2:21" hidden="1">
      <c r="B272" s="1291"/>
      <c r="C272" s="1127" t="s">
        <v>630</v>
      </c>
      <c r="D272" s="1151">
        <f>D271</f>
        <v>-39330997837.157326</v>
      </c>
      <c r="E272" s="1151">
        <f>D272+E271</f>
        <v>-78629366149.451721</v>
      </c>
      <c r="F272" s="1151">
        <f t="shared" ref="F272:O272" si="50">E272+F271</f>
        <v>-120648029482.10263</v>
      </c>
      <c r="G272" s="1151">
        <f t="shared" si="50"/>
        <v>-160731801047.54309</v>
      </c>
      <c r="H272" s="1151">
        <f t="shared" si="50"/>
        <v>-202414077584.63803</v>
      </c>
      <c r="I272" s="1151">
        <f t="shared" si="50"/>
        <v>-242912865537.94861</v>
      </c>
      <c r="J272" s="1151">
        <f t="shared" si="50"/>
        <v>-284178701977.41638</v>
      </c>
      <c r="K272" s="1151">
        <f t="shared" si="50"/>
        <v>-329574908870.10339</v>
      </c>
      <c r="L272" s="1151">
        <f t="shared" si="50"/>
        <v>-374763403663.96069</v>
      </c>
      <c r="M272" s="1151">
        <f t="shared" si="50"/>
        <v>-420835082980.1629</v>
      </c>
      <c r="N272" s="1151">
        <f t="shared" si="50"/>
        <v>-465774251603.67908</v>
      </c>
      <c r="O272" s="1151">
        <f t="shared" si="50"/>
        <v>-511132405540.32397</v>
      </c>
      <c r="P272" s="1151">
        <f>O272</f>
        <v>-511132405540.32397</v>
      </c>
      <c r="Q272" s="1133">
        <f>F272</f>
        <v>-120648029482.10263</v>
      </c>
      <c r="R272" s="1133">
        <f>I272</f>
        <v>-242912865537.94861</v>
      </c>
      <c r="S272" s="1133">
        <f>L272</f>
        <v>-374763403663.96069</v>
      </c>
      <c r="T272" s="1133">
        <f>O272</f>
        <v>-511132405540.32397</v>
      </c>
      <c r="U272" s="1292"/>
    </row>
    <row r="273" spans="2:21" hidden="1">
      <c r="B273" s="1310"/>
      <c r="C273" s="1311"/>
      <c r="D273" s="1312"/>
      <c r="E273" s="1312"/>
      <c r="F273" s="1312"/>
      <c r="G273" s="1312"/>
      <c r="H273" s="1312"/>
      <c r="I273" s="1312"/>
      <c r="J273" s="1312"/>
      <c r="K273" s="1312"/>
      <c r="L273" s="1312"/>
      <c r="M273" s="1312"/>
      <c r="N273" s="1312"/>
      <c r="O273" s="1312"/>
      <c r="P273" s="1312"/>
      <c r="Q273" s="1312">
        <f>T272*-1</f>
        <v>511132405540.32397</v>
      </c>
      <c r="R273" s="1312">
        <f>$Q$273-(Q272*-1)</f>
        <v>390484376058.22131</v>
      </c>
      <c r="S273" s="1312">
        <f>$Q$273-(R272*-1)</f>
        <v>268219540002.37537</v>
      </c>
      <c r="T273" s="1312">
        <f>$Q$273-(S272*-1)</f>
        <v>136369001876.36328</v>
      </c>
      <c r="U273" s="1313"/>
    </row>
    <row r="274" spans="2:21" hidden="1">
      <c r="B274" s="1291"/>
      <c r="C274" s="1239" t="s">
        <v>631</v>
      </c>
      <c r="D274" s="1314"/>
      <c r="E274" s="1239"/>
      <c r="F274" s="1239"/>
      <c r="G274" s="1239"/>
      <c r="H274" s="1239"/>
      <c r="I274" s="1239"/>
      <c r="J274" s="1315"/>
      <c r="K274" s="1239"/>
      <c r="L274" s="1239"/>
      <c r="M274" s="1239"/>
      <c r="N274" s="1239"/>
      <c r="O274" s="1316"/>
      <c r="P274" s="1135"/>
      <c r="Q274" s="1239"/>
      <c r="R274" s="1239"/>
      <c r="S274" s="1239"/>
      <c r="T274" s="1239"/>
      <c r="U274" s="1292"/>
    </row>
    <row r="275" spans="2:21" ht="15.75" hidden="1">
      <c r="B275" s="1291"/>
      <c r="C275" s="1239"/>
      <c r="D275" s="1239"/>
      <c r="E275" s="1136"/>
      <c r="F275" s="1239"/>
      <c r="G275" s="1239"/>
      <c r="H275" s="1239"/>
      <c r="I275" s="1239"/>
      <c r="J275" s="1239"/>
      <c r="K275" s="1239"/>
      <c r="L275" s="1239"/>
      <c r="M275" s="1239"/>
      <c r="N275" s="1239"/>
      <c r="O275" s="1239"/>
      <c r="P275" s="1239"/>
      <c r="Q275" s="1239"/>
      <c r="R275" s="1239"/>
      <c r="S275" s="1239"/>
      <c r="T275" s="1239"/>
      <c r="U275" s="1292"/>
    </row>
    <row r="276" spans="2:21" hidden="1">
      <c r="B276" s="1291"/>
      <c r="C276" s="1127"/>
      <c r="D276" s="1137" t="s">
        <v>437</v>
      </c>
      <c r="E276" s="1137" t="s">
        <v>438</v>
      </c>
      <c r="F276" s="1137" t="s">
        <v>439</v>
      </c>
      <c r="G276" s="1137" t="s">
        <v>440</v>
      </c>
      <c r="H276" s="1137" t="s">
        <v>620</v>
      </c>
      <c r="I276" s="1137" t="s">
        <v>621</v>
      </c>
      <c r="J276" s="1137" t="s">
        <v>622</v>
      </c>
      <c r="K276" s="1137" t="s">
        <v>623</v>
      </c>
      <c r="L276" s="1137" t="s">
        <v>445</v>
      </c>
      <c r="M276" s="1137" t="s">
        <v>624</v>
      </c>
      <c r="N276" s="1137" t="s">
        <v>447</v>
      </c>
      <c r="O276" s="1137" t="s">
        <v>625</v>
      </c>
      <c r="P276" s="1317"/>
      <c r="Q276" s="1138" t="s">
        <v>632</v>
      </c>
      <c r="R276" s="1123">
        <v>48</v>
      </c>
      <c r="S276" s="1242"/>
      <c r="T276" s="1242"/>
      <c r="U276" s="1292"/>
    </row>
    <row r="277" spans="2:21" hidden="1">
      <c r="B277" s="1291"/>
      <c r="C277" s="1127" t="s">
        <v>633</v>
      </c>
      <c r="D277" s="1139">
        <v>1438.0061542747476</v>
      </c>
      <c r="E277" s="1139">
        <v>1441.1345271546854</v>
      </c>
      <c r="F277" s="1139">
        <v>1440.7417319950739</v>
      </c>
      <c r="G277" s="1139">
        <v>1440.6786991012057</v>
      </c>
      <c r="H277" s="1139">
        <v>1444.5377162290574</v>
      </c>
      <c r="I277" s="1139">
        <v>1442.5573814695213</v>
      </c>
      <c r="J277" s="1139">
        <v>1439.6176515299721</v>
      </c>
      <c r="K277" s="1139">
        <v>1436.6432334242436</v>
      </c>
      <c r="L277" s="1139">
        <v>1438.8618794782687</v>
      </c>
      <c r="M277" s="1139">
        <v>1438.9659829253628</v>
      </c>
      <c r="N277" s="1139">
        <v>1438.4395060413985</v>
      </c>
      <c r="O277" s="1139">
        <v>1438.1000701293237</v>
      </c>
      <c r="P277" s="1242"/>
      <c r="Q277" s="1140" t="s">
        <v>634</v>
      </c>
      <c r="R277" s="1123">
        <v>35</v>
      </c>
      <c r="S277" s="1242"/>
      <c r="T277" s="1242"/>
      <c r="U277" s="1292"/>
    </row>
    <row r="278" spans="2:21" hidden="1">
      <c r="B278" s="1291"/>
      <c r="C278" s="1127" t="s">
        <v>635</v>
      </c>
      <c r="D278" s="1139">
        <v>1428.0009006710388</v>
      </c>
      <c r="E278" s="1139">
        <v>1458.5227102448468</v>
      </c>
      <c r="F278" s="1139">
        <v>1414.7229933691187</v>
      </c>
      <c r="G278" s="1139">
        <v>1418.9703407249867</v>
      </c>
      <c r="H278" s="1139">
        <v>1411.5242708397739</v>
      </c>
      <c r="I278" s="1139">
        <v>1419.6697302498342</v>
      </c>
      <c r="J278" s="1139">
        <v>1411.5924997816151</v>
      </c>
      <c r="K278" s="1139">
        <v>1413.3322406266439</v>
      </c>
      <c r="L278" s="1139">
        <v>1427.0128090089524</v>
      </c>
      <c r="M278" s="1139">
        <v>1412.4539643855765</v>
      </c>
      <c r="N278" s="1139">
        <v>1422.2936105813139</v>
      </c>
      <c r="O278" s="1139">
        <v>1416.5357322282682</v>
      </c>
      <c r="P278" s="1242"/>
      <c r="Q278" s="1140" t="s">
        <v>492</v>
      </c>
      <c r="R278" s="1141">
        <f>R277/R276</f>
        <v>0.72916666666666663</v>
      </c>
      <c r="S278" s="1242"/>
      <c r="T278" s="1242"/>
      <c r="U278" s="1292"/>
    </row>
    <row r="279" spans="2:21" hidden="1">
      <c r="B279" s="1291"/>
      <c r="C279" s="1127" t="s">
        <v>568</v>
      </c>
      <c r="D279" s="1142">
        <f t="shared" ref="D279:O279" si="51">D278-D277</f>
        <v>-10.005253603708752</v>
      </c>
      <c r="E279" s="1142">
        <f t="shared" si="51"/>
        <v>17.388183090161419</v>
      </c>
      <c r="F279" s="1142">
        <f t="shared" si="51"/>
        <v>-26.018738625955166</v>
      </c>
      <c r="G279" s="1142">
        <f t="shared" si="51"/>
        <v>-21.708358376218939</v>
      </c>
      <c r="H279" s="1142">
        <f t="shared" si="51"/>
        <v>-33.013445389283561</v>
      </c>
      <c r="I279" s="1142">
        <f t="shared" si="51"/>
        <v>-22.887651219687086</v>
      </c>
      <c r="J279" s="1142">
        <f t="shared" si="51"/>
        <v>-28.025151748357075</v>
      </c>
      <c r="K279" s="1142">
        <f t="shared" si="51"/>
        <v>-23.310992797599738</v>
      </c>
      <c r="L279" s="1142">
        <f t="shared" si="51"/>
        <v>-11.849070469316302</v>
      </c>
      <c r="M279" s="1142">
        <f t="shared" si="51"/>
        <v>-26.512018539786368</v>
      </c>
      <c r="N279" s="1142">
        <f t="shared" si="51"/>
        <v>-16.145895460084603</v>
      </c>
      <c r="O279" s="1142">
        <f t="shared" si="51"/>
        <v>-21.564337901055524</v>
      </c>
      <c r="P279" s="1242"/>
      <c r="Q279" s="1242"/>
      <c r="R279" s="1242"/>
      <c r="S279" s="1242"/>
      <c r="T279" s="1242"/>
      <c r="U279" s="1292"/>
    </row>
    <row r="280" spans="2:21" hidden="1">
      <c r="B280" s="1291"/>
      <c r="C280" s="1127" t="s">
        <v>636</v>
      </c>
      <c r="D280" s="1139">
        <v>1462.0006076300738</v>
      </c>
      <c r="E280" s="1139">
        <v>1461.1703292082898</v>
      </c>
      <c r="F280" s="1139">
        <v>1442.7245474482909</v>
      </c>
      <c r="G280" s="1139">
        <v>1450.5626730805093</v>
      </c>
      <c r="H280" s="1139">
        <v>1436.4302890911949</v>
      </c>
      <c r="I280" s="1139">
        <v>1436.1595680219953</v>
      </c>
      <c r="J280" s="1139">
        <v>1430.3330972230049</v>
      </c>
      <c r="K280" s="1139">
        <v>1445.9417112715334</v>
      </c>
      <c r="L280" s="1139">
        <v>1445.6862823950448</v>
      </c>
      <c r="M280" s="1139">
        <v>1433.9793750870576</v>
      </c>
      <c r="N280" s="1139">
        <v>1437.1509376934944</v>
      </c>
      <c r="O280" s="1139">
        <v>1451.3527194853618</v>
      </c>
      <c r="P280" s="1242"/>
      <c r="Q280" s="1242"/>
      <c r="R280" s="1242"/>
      <c r="S280" s="1242"/>
      <c r="T280" s="1242"/>
      <c r="U280" s="1292"/>
    </row>
    <row r="281" spans="2:21" hidden="1">
      <c r="B281" s="1291"/>
      <c r="C281" s="1127" t="s">
        <v>637</v>
      </c>
      <c r="D281" s="1139">
        <v>1432.632316346685</v>
      </c>
      <c r="E281" s="1139">
        <v>1451.0914173090491</v>
      </c>
      <c r="F281" s="1139">
        <v>1424.6213655407962</v>
      </c>
      <c r="G281" s="1139">
        <v>1424.0204276271138</v>
      </c>
      <c r="H281" s="1139">
        <v>1406.5816717998243</v>
      </c>
      <c r="I281" s="1139">
        <v>1413.3735801108039</v>
      </c>
      <c r="J281" s="1139">
        <v>1411.3018183469374</v>
      </c>
      <c r="K281" s="1139">
        <v>1417.0600418966849</v>
      </c>
      <c r="L281" s="1139">
        <v>1425.5552679723787</v>
      </c>
      <c r="M281" s="1139">
        <v>1413.6251057933841</v>
      </c>
      <c r="N281" s="1139">
        <v>1424.7259884219786</v>
      </c>
      <c r="O281" s="1139">
        <v>1427.4949171682802</v>
      </c>
      <c r="P281" s="1242"/>
      <c r="Q281" s="1242"/>
      <c r="R281" s="1242"/>
      <c r="S281" s="1242"/>
      <c r="T281" s="1242"/>
      <c r="U281" s="1292"/>
    </row>
    <row r="282" spans="2:21" hidden="1">
      <c r="B282" s="1291"/>
      <c r="C282" s="1127" t="s">
        <v>568</v>
      </c>
      <c r="D282" s="1142">
        <f t="shared" ref="D282:O282" si="52">D281-D280</f>
        <v>-29.368291283388771</v>
      </c>
      <c r="E282" s="1142">
        <f t="shared" si="52"/>
        <v>-10.078911899240666</v>
      </c>
      <c r="F282" s="1142">
        <f t="shared" si="52"/>
        <v>-18.103181907494672</v>
      </c>
      <c r="G282" s="1142">
        <f t="shared" si="52"/>
        <v>-26.542245453395481</v>
      </c>
      <c r="H282" s="1142">
        <f t="shared" si="52"/>
        <v>-29.848617291370601</v>
      </c>
      <c r="I282" s="1142">
        <f t="shared" si="52"/>
        <v>-22.785987911191341</v>
      </c>
      <c r="J282" s="1142">
        <f t="shared" si="52"/>
        <v>-19.031278876067518</v>
      </c>
      <c r="K282" s="1142">
        <f t="shared" si="52"/>
        <v>-28.88166937484857</v>
      </c>
      <c r="L282" s="1142">
        <f t="shared" si="52"/>
        <v>-20.131014422666112</v>
      </c>
      <c r="M282" s="1142">
        <f t="shared" si="52"/>
        <v>-20.354269293673497</v>
      </c>
      <c r="N282" s="1142">
        <f t="shared" si="52"/>
        <v>-12.424949271515743</v>
      </c>
      <c r="O282" s="1142">
        <f t="shared" si="52"/>
        <v>-23.857802317081678</v>
      </c>
      <c r="P282" s="1242"/>
      <c r="Q282" s="1242"/>
      <c r="R282" s="1242"/>
      <c r="S282" s="1242"/>
      <c r="T282" s="1242"/>
      <c r="U282" s="1292"/>
    </row>
    <row r="283" spans="2:21" hidden="1">
      <c r="B283" s="1291"/>
      <c r="C283" s="1127" t="s">
        <v>638</v>
      </c>
      <c r="D283" s="1139">
        <v>1425.4750938718003</v>
      </c>
      <c r="E283" s="1139">
        <v>1478.7818744892056</v>
      </c>
      <c r="F283" s="1139">
        <v>1436.4757414896997</v>
      </c>
      <c r="G283" s="1139">
        <v>1399.4802894604588</v>
      </c>
      <c r="H283" s="1139">
        <v>1413.4949605752822</v>
      </c>
      <c r="I283" s="1139">
        <v>1433.1146408301772</v>
      </c>
      <c r="J283" s="1139">
        <v>1387.7319076293363</v>
      </c>
      <c r="K283" s="1139">
        <v>1420.4305597369751</v>
      </c>
      <c r="L283" s="1139">
        <v>1442.3572398070414</v>
      </c>
      <c r="M283" s="1139">
        <v>1427.4063630679775</v>
      </c>
      <c r="N283" s="1139">
        <v>1459.6710028701623</v>
      </c>
      <c r="O283" s="1139">
        <v>1455.7141307000431</v>
      </c>
      <c r="P283" s="1242"/>
      <c r="Q283" s="1242"/>
      <c r="R283" s="1242"/>
      <c r="S283" s="1242"/>
      <c r="T283" s="1242"/>
      <c r="U283" s="1292"/>
    </row>
    <row r="284" spans="2:21" hidden="1">
      <c r="B284" s="1291"/>
      <c r="C284" s="1127" t="s">
        <v>639</v>
      </c>
      <c r="D284" s="1139">
        <v>1427.8252939113415</v>
      </c>
      <c r="E284" s="1139">
        <v>1442.2715637128661</v>
      </c>
      <c r="F284" s="1139">
        <v>1412.4795200464378</v>
      </c>
      <c r="G284" s="1139">
        <v>1427.2934512337551</v>
      </c>
      <c r="H284" s="1139">
        <v>1413.1128314136247</v>
      </c>
      <c r="I284" s="1139">
        <v>1422.141935269585</v>
      </c>
      <c r="J284" s="1139">
        <v>1491.1390860716633</v>
      </c>
      <c r="K284" s="1139">
        <v>1520.6399023515598</v>
      </c>
      <c r="L284" s="1139">
        <v>1475.0176177161047</v>
      </c>
      <c r="M284" s="1139">
        <v>1492.4706267775734</v>
      </c>
      <c r="N284" s="1139">
        <v>1506.5662482446862</v>
      </c>
      <c r="O284" s="1139">
        <v>1500.913151493972</v>
      </c>
      <c r="P284" s="1242"/>
      <c r="Q284" s="1242"/>
      <c r="R284" s="1242"/>
      <c r="S284" s="1242"/>
      <c r="T284" s="1242"/>
      <c r="U284" s="1292"/>
    </row>
    <row r="285" spans="2:21" hidden="1">
      <c r="B285" s="1291"/>
      <c r="C285" s="1131" t="s">
        <v>568</v>
      </c>
      <c r="D285" s="1143">
        <f t="shared" ref="D285:O285" si="53">D284-D283</f>
        <v>2.3502000395412779</v>
      </c>
      <c r="E285" s="1143">
        <f t="shared" si="53"/>
        <v>-36.510310776339566</v>
      </c>
      <c r="F285" s="1143">
        <f t="shared" si="53"/>
        <v>-23.996221443261902</v>
      </c>
      <c r="G285" s="1143">
        <f t="shared" si="53"/>
        <v>27.813161773296315</v>
      </c>
      <c r="H285" s="1143">
        <f t="shared" si="53"/>
        <v>-0.38212916165753086</v>
      </c>
      <c r="I285" s="1143">
        <f t="shared" si="53"/>
        <v>-10.972705560592203</v>
      </c>
      <c r="J285" s="1143">
        <f t="shared" si="53"/>
        <v>103.40717844232699</v>
      </c>
      <c r="K285" s="1143">
        <f t="shared" si="53"/>
        <v>100.20934261458478</v>
      </c>
      <c r="L285" s="1143">
        <f t="shared" si="53"/>
        <v>32.6603779090633</v>
      </c>
      <c r="M285" s="1143">
        <f t="shared" si="53"/>
        <v>65.064263709595934</v>
      </c>
      <c r="N285" s="1143">
        <f t="shared" si="53"/>
        <v>46.895245374523938</v>
      </c>
      <c r="O285" s="1143">
        <f t="shared" si="53"/>
        <v>45.199020793928867</v>
      </c>
      <c r="P285" s="1242"/>
      <c r="Q285" s="1242"/>
      <c r="R285" s="1242"/>
      <c r="S285" s="1242"/>
      <c r="T285" s="1242"/>
      <c r="U285" s="1292"/>
    </row>
    <row r="286" spans="2:21" hidden="1">
      <c r="B286" s="1291"/>
      <c r="C286" s="1127" t="s">
        <v>640</v>
      </c>
      <c r="D286" s="1142">
        <v>1547.255131719126</v>
      </c>
      <c r="E286" s="1142">
        <v>1583.6400192708027</v>
      </c>
      <c r="F286" s="1142">
        <v>1540.9053262436248</v>
      </c>
      <c r="G286" s="1142">
        <v>1553.7446897806562</v>
      </c>
      <c r="H286" s="1142">
        <v>1547.6136414592629</v>
      </c>
      <c r="I286" s="1142">
        <v>1554.6304884243882</v>
      </c>
      <c r="J286" s="1142">
        <v>1540.4549248100577</v>
      </c>
      <c r="K286" s="1142">
        <v>1546.4290811875112</v>
      </c>
      <c r="L286" s="1142">
        <v>1559.6900966437681</v>
      </c>
      <c r="M286" s="1142">
        <v>1547.8681092371355</v>
      </c>
      <c r="N286" s="1142">
        <v>1552.3275145853352</v>
      </c>
      <c r="O286" s="1142">
        <v>1559.9247510055247</v>
      </c>
      <c r="P286" s="1242"/>
      <c r="Q286" s="1242"/>
      <c r="R286" s="1242"/>
      <c r="S286" s="1242"/>
      <c r="T286" s="1242"/>
      <c r="U286" s="1292"/>
    </row>
    <row r="287" spans="2:21" hidden="1">
      <c r="B287" s="1291"/>
      <c r="C287" s="1127" t="s">
        <v>641</v>
      </c>
      <c r="D287" s="1142">
        <v>1521.6223937223544</v>
      </c>
      <c r="E287" s="1142">
        <v>1519.6836305964255</v>
      </c>
      <c r="F287" s="1142">
        <v>1498.6478485985015</v>
      </c>
      <c r="G287" s="1142">
        <v>1507.1648765711598</v>
      </c>
      <c r="H287" s="1142">
        <v>1507.4862627520699</v>
      </c>
      <c r="I287" s="1142">
        <v>1540.8573498174717</v>
      </c>
      <c r="J287" s="1142">
        <v>1558.6012328596335</v>
      </c>
      <c r="K287" s="1186">
        <v>1551.775407284184</v>
      </c>
      <c r="L287" s="1186">
        <v>1555.3959512803888</v>
      </c>
      <c r="M287" s="1186">
        <v>1559.1480487622305</v>
      </c>
      <c r="N287" s="1186">
        <v>1559.4101912279607</v>
      </c>
      <c r="O287" s="1186">
        <v>1556.4513193797266</v>
      </c>
      <c r="P287" s="1242"/>
      <c r="Q287" s="1318"/>
      <c r="R287" s="1242" t="s">
        <v>504</v>
      </c>
      <c r="S287" s="1242"/>
      <c r="T287" s="1242"/>
      <c r="U287" s="1292"/>
    </row>
    <row r="288" spans="2:21" hidden="1">
      <c r="B288" s="1291"/>
      <c r="C288" s="1131" t="s">
        <v>568</v>
      </c>
      <c r="D288" s="1142">
        <f>D287-D286</f>
        <v>-25.632737996771539</v>
      </c>
      <c r="E288" s="1142">
        <f t="shared" ref="E288:J288" si="54">E287-E286</f>
        <v>-63.956388674377195</v>
      </c>
      <c r="F288" s="1142">
        <f t="shared" si="54"/>
        <v>-42.257477645123345</v>
      </c>
      <c r="G288" s="1142">
        <f t="shared" si="54"/>
        <v>-46.579813209496479</v>
      </c>
      <c r="H288" s="1142">
        <f t="shared" si="54"/>
        <v>-40.127378707192975</v>
      </c>
      <c r="I288" s="1142">
        <f t="shared" si="54"/>
        <v>-13.773138606916518</v>
      </c>
      <c r="J288" s="1142">
        <f t="shared" si="54"/>
        <v>18.146308049575737</v>
      </c>
      <c r="K288" s="1142">
        <f t="shared" ref="K288" si="55">K287-K286</f>
        <v>5.346326096672783</v>
      </c>
      <c r="L288" s="1142">
        <f t="shared" ref="L288" si="56">L287-L286</f>
        <v>-4.2941453633793571</v>
      </c>
      <c r="M288" s="1142">
        <f t="shared" ref="M288" si="57">M287-M286</f>
        <v>11.27993952509496</v>
      </c>
      <c r="N288" s="1142">
        <f t="shared" ref="N288" si="58">N287-N286</f>
        <v>7.082676642625529</v>
      </c>
      <c r="O288" s="1142">
        <f t="shared" ref="O288" si="59">O287-O286</f>
        <v>-3.4734316257981845</v>
      </c>
      <c r="P288" s="1242"/>
      <c r="Q288" s="1242"/>
      <c r="R288" s="1242"/>
      <c r="S288" s="1242"/>
      <c r="T288" s="1242"/>
      <c r="U288" s="1292"/>
    </row>
    <row r="289" spans="2:21" ht="14.65" hidden="1" thickBot="1">
      <c r="B289" s="1293"/>
      <c r="C289" s="1319"/>
      <c r="D289" s="1320"/>
      <c r="E289" s="1320"/>
      <c r="F289" s="1320"/>
      <c r="G289" s="1320"/>
      <c r="H289" s="1320"/>
      <c r="I289" s="1320"/>
      <c r="J289" s="1320"/>
      <c r="K289" s="1320"/>
      <c r="L289" s="1320"/>
      <c r="M289" s="1320"/>
      <c r="N289" s="1320"/>
      <c r="O289" s="1320"/>
      <c r="P289" s="1321"/>
      <c r="Q289" s="1321"/>
      <c r="R289" s="1321"/>
      <c r="S289" s="1321"/>
      <c r="T289" s="1321"/>
      <c r="U289" s="1294"/>
    </row>
    <row r="290" spans="2:21" hidden="1"/>
    <row r="291" spans="2:21" hidden="1"/>
  </sheetData>
  <mergeCells count="6">
    <mergeCell ref="B2:L6"/>
    <mergeCell ref="D11:E11"/>
    <mergeCell ref="D44:E44"/>
    <mergeCell ref="C93:T93"/>
    <mergeCell ref="D99:E99"/>
    <mergeCell ref="D116:E116"/>
  </mergeCells>
  <phoneticPr fontId="315" type="noConversion"/>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57BD-7C32-4FCF-8C1F-115E7CDFE10C}">
  <sheetPr>
    <tabColor rgb="FF002060"/>
  </sheetPr>
  <dimension ref="A1:AI1723"/>
  <sheetViews>
    <sheetView showGridLines="0" topLeftCell="A424" zoomScale="70" zoomScaleNormal="70" workbookViewId="0">
      <selection activeCell="H22" sqref="H22"/>
    </sheetView>
  </sheetViews>
  <sheetFormatPr defaultColWidth="14.3984375" defaultRowHeight="15" customHeight="1"/>
  <cols>
    <col min="1" max="1" width="5.86328125" style="373" customWidth="1"/>
    <col min="2" max="2" width="3.59765625" style="373" customWidth="1"/>
    <col min="3" max="3" width="5.3984375" style="373" customWidth="1"/>
    <col min="4" max="4" width="13.3984375" style="373" customWidth="1"/>
    <col min="5" max="5" width="23.3984375" style="373" customWidth="1"/>
    <col min="6" max="6" width="19.59765625" style="373" customWidth="1"/>
    <col min="7" max="7" width="21" style="373" customWidth="1"/>
    <col min="8" max="8" width="22" style="373" customWidth="1"/>
    <col min="9" max="9" width="21.86328125" style="373" customWidth="1"/>
    <col min="10" max="10" width="19.3984375" style="373" customWidth="1"/>
    <col min="11" max="11" width="21.3984375" style="373" customWidth="1"/>
    <col min="12" max="12" width="20.3984375" style="373" customWidth="1"/>
    <col min="13" max="13" width="20.86328125" style="373" customWidth="1"/>
    <col min="14" max="14" width="16.1328125" style="373" customWidth="1"/>
    <col min="15" max="15" width="21.59765625" style="373" customWidth="1"/>
    <col min="16" max="16" width="18.59765625" style="373" customWidth="1"/>
    <col min="17" max="17" width="17.1328125" style="373" customWidth="1"/>
    <col min="18" max="18" width="19.3984375" style="373" customWidth="1"/>
    <col min="19" max="19" width="17" style="373" customWidth="1"/>
    <col min="20" max="22" width="17.86328125" style="373" customWidth="1"/>
    <col min="23" max="23" width="15.1328125" style="373" customWidth="1"/>
    <col min="24" max="24" width="10.59765625" style="373" customWidth="1"/>
    <col min="25" max="25" width="19.86328125" style="373" customWidth="1"/>
    <col min="26" max="26" width="17.3984375" style="373" customWidth="1"/>
    <col min="27" max="27" width="10.59765625" style="373" customWidth="1"/>
    <col min="28" max="28" width="22.3984375" style="373" customWidth="1"/>
    <col min="29" max="29" width="14.3984375" style="373"/>
    <col min="30" max="30" width="14.59765625" style="373" customWidth="1"/>
    <col min="31" max="31" width="14.3984375" style="373"/>
    <col min="32" max="33" width="18.1328125" style="373" customWidth="1"/>
    <col min="34" max="16384" width="14.3984375" style="373"/>
  </cols>
  <sheetData>
    <row r="1" spans="1:12" ht="15" customHeight="1">
      <c r="B1" s="1479" t="s">
        <v>411</v>
      </c>
      <c r="C1" s="1480"/>
      <c r="D1" s="1480"/>
      <c r="E1" s="1480"/>
      <c r="F1" s="1480"/>
      <c r="G1" s="1480"/>
      <c r="H1" s="1480"/>
      <c r="I1" s="1480"/>
      <c r="J1" s="1480"/>
      <c r="K1" s="1480"/>
      <c r="L1" s="1480"/>
    </row>
    <row r="2" spans="1:12" ht="15" customHeight="1">
      <c r="B2" s="1480"/>
      <c r="C2" s="1480"/>
      <c r="D2" s="1480"/>
      <c r="E2" s="1480"/>
      <c r="F2" s="1480"/>
      <c r="G2" s="1480"/>
      <c r="H2" s="1480"/>
      <c r="I2" s="1480"/>
      <c r="J2" s="1480"/>
      <c r="K2" s="1480"/>
      <c r="L2" s="1480"/>
    </row>
    <row r="3" spans="1:12" ht="15" customHeight="1">
      <c r="B3" s="1480"/>
      <c r="C3" s="1480"/>
      <c r="D3" s="1480"/>
      <c r="E3" s="1480"/>
      <c r="F3" s="1480"/>
      <c r="G3" s="1480"/>
      <c r="H3" s="1480"/>
      <c r="I3" s="1480"/>
      <c r="J3" s="1480"/>
      <c r="K3" s="1480"/>
      <c r="L3" s="1480"/>
    </row>
    <row r="4" spans="1:12" ht="15" customHeight="1">
      <c r="B4" s="1480"/>
      <c r="C4" s="1480"/>
      <c r="D4" s="1480"/>
      <c r="E4" s="1480"/>
      <c r="F4" s="1480"/>
      <c r="G4" s="1480"/>
      <c r="H4" s="1480"/>
      <c r="I4" s="1480"/>
      <c r="J4" s="1480"/>
      <c r="K4" s="1480"/>
      <c r="L4" s="1480"/>
    </row>
    <row r="5" spans="1:12" ht="15" customHeight="1">
      <c r="B5" s="1480"/>
      <c r="C5" s="1480"/>
      <c r="D5" s="1480"/>
      <c r="E5" s="1480"/>
      <c r="F5" s="1480"/>
      <c r="G5" s="1480"/>
      <c r="H5" s="1480"/>
      <c r="I5" s="1480"/>
      <c r="J5" s="1480"/>
      <c r="K5" s="1480"/>
      <c r="L5" s="1480"/>
    </row>
    <row r="6" spans="1:12" ht="26.25" customHeight="1">
      <c r="A6" s="374" t="s">
        <v>642</v>
      </c>
    </row>
    <row r="7" spans="1:12" s="375" customFormat="1" ht="24" customHeight="1">
      <c r="A7" s="374" t="s">
        <v>643</v>
      </c>
    </row>
    <row r="8" spans="1:12" ht="47.25" customHeight="1">
      <c r="C8" s="1505" t="s">
        <v>644</v>
      </c>
      <c r="D8" s="1669"/>
      <c r="E8" s="1669"/>
      <c r="F8" s="1669"/>
      <c r="G8" s="1669"/>
      <c r="H8" s="1669"/>
      <c r="I8" s="1669"/>
      <c r="J8" s="1669"/>
      <c r="K8" s="1669"/>
      <c r="L8" s="1669"/>
    </row>
    <row r="9" spans="1:12" ht="13.5" customHeight="1">
      <c r="C9" s="376" t="s">
        <v>645</v>
      </c>
    </row>
    <row r="10" spans="1:12" ht="26.25" customHeight="1">
      <c r="C10" s="1679" t="s">
        <v>646</v>
      </c>
      <c r="D10" s="1680"/>
      <c r="E10" s="1678"/>
      <c r="F10" s="377" t="s">
        <v>647</v>
      </c>
    </row>
    <row r="11" spans="1:12" ht="30" customHeight="1">
      <c r="C11" s="1681" t="s">
        <v>648</v>
      </c>
      <c r="D11" s="1680"/>
      <c r="E11" s="1678"/>
      <c r="F11" s="378" t="s">
        <v>649</v>
      </c>
    </row>
    <row r="12" spans="1:12" ht="30" customHeight="1">
      <c r="C12" s="1681" t="s">
        <v>650</v>
      </c>
      <c r="D12" s="1680"/>
      <c r="E12" s="1678"/>
      <c r="F12" s="379">
        <v>0.11</v>
      </c>
    </row>
    <row r="13" spans="1:12" ht="30" customHeight="1">
      <c r="C13" s="1681" t="s">
        <v>651</v>
      </c>
      <c r="D13" s="1680"/>
      <c r="E13" s="1678"/>
      <c r="F13" s="380" t="s">
        <v>652</v>
      </c>
    </row>
    <row r="14" spans="1:12" ht="43.5" customHeight="1">
      <c r="D14" s="1505" t="s">
        <v>653</v>
      </c>
      <c r="E14" s="1669"/>
      <c r="F14" s="1669"/>
      <c r="G14" s="1669"/>
      <c r="H14" s="1669"/>
      <c r="I14" s="1669"/>
      <c r="J14" s="1669"/>
      <c r="K14" s="1669"/>
      <c r="L14" s="1669"/>
    </row>
    <row r="15" spans="1:12" ht="12" customHeight="1">
      <c r="D15" s="176"/>
    </row>
    <row r="16" spans="1:12" ht="28.5" customHeight="1">
      <c r="D16" s="1505" t="s">
        <v>654</v>
      </c>
      <c r="E16" s="1669"/>
      <c r="F16" s="1669"/>
      <c r="G16" s="1669"/>
      <c r="H16" s="1669"/>
      <c r="I16" s="1669"/>
      <c r="J16" s="1669"/>
      <c r="K16" s="1669"/>
      <c r="L16" s="1669"/>
    </row>
    <row r="17" spans="1:12" ht="13.5" customHeight="1">
      <c r="D17" s="376" t="s">
        <v>655</v>
      </c>
    </row>
    <row r="18" spans="1:12" ht="85.5" customHeight="1">
      <c r="D18" s="381" t="s">
        <v>496</v>
      </c>
      <c r="E18" s="381" t="s">
        <v>656</v>
      </c>
      <c r="F18" s="381" t="s">
        <v>657</v>
      </c>
      <c r="G18" s="381" t="s">
        <v>658</v>
      </c>
      <c r="H18" s="381" t="s">
        <v>659</v>
      </c>
      <c r="I18" s="381" t="s">
        <v>660</v>
      </c>
    </row>
    <row r="19" spans="1:12" ht="27" customHeight="1">
      <c r="D19" s="382">
        <v>2022</v>
      </c>
      <c r="E19" s="383">
        <v>14350</v>
      </c>
      <c r="F19" s="384" t="s">
        <v>661</v>
      </c>
      <c r="G19" s="384" t="s">
        <v>662</v>
      </c>
      <c r="H19" s="1671"/>
      <c r="I19" s="1672"/>
    </row>
    <row r="20" spans="1:12" ht="27" customHeight="1">
      <c r="D20" s="382">
        <v>2021</v>
      </c>
      <c r="E20" s="383">
        <v>14600</v>
      </c>
      <c r="F20" s="384" t="s">
        <v>663</v>
      </c>
      <c r="G20" s="384" t="s">
        <v>664</v>
      </c>
      <c r="H20" s="1673"/>
      <c r="I20" s="1674"/>
    </row>
    <row r="21" spans="1:12" ht="27" customHeight="1">
      <c r="D21" s="382">
        <v>2020</v>
      </c>
      <c r="E21" s="383">
        <v>14400</v>
      </c>
      <c r="F21" s="384" t="s">
        <v>665</v>
      </c>
      <c r="G21" s="384" t="s">
        <v>666</v>
      </c>
      <c r="H21" s="1675"/>
      <c r="I21" s="1676"/>
    </row>
    <row r="22" spans="1:12" ht="27" customHeight="1">
      <c r="D22" s="1677" t="s">
        <v>557</v>
      </c>
      <c r="E22" s="1678"/>
      <c r="F22" s="385" t="s">
        <v>667</v>
      </c>
      <c r="G22" s="385" t="s">
        <v>668</v>
      </c>
      <c r="H22" s="386" t="s">
        <v>669</v>
      </c>
      <c r="I22" s="387" t="s">
        <v>670</v>
      </c>
    </row>
    <row r="23" spans="1:12" ht="13.5" customHeight="1">
      <c r="D23" s="376" t="s">
        <v>671</v>
      </c>
    </row>
    <row r="24" spans="1:12" ht="13.5" customHeight="1">
      <c r="D24" s="69" t="s">
        <v>672</v>
      </c>
    </row>
    <row r="25" spans="1:12" ht="13.5" customHeight="1"/>
    <row r="26" spans="1:12" ht="32.25" customHeight="1">
      <c r="D26" s="1505" t="s">
        <v>673</v>
      </c>
      <c r="E26" s="1669"/>
      <c r="F26" s="1669"/>
      <c r="G26" s="1669"/>
      <c r="H26" s="1669"/>
      <c r="I26" s="1669"/>
      <c r="J26" s="1669"/>
      <c r="K26" s="1669"/>
      <c r="L26" s="1669"/>
    </row>
    <row r="27" spans="1:12" ht="14.25" customHeight="1">
      <c r="D27" s="176"/>
    </row>
    <row r="28" spans="1:12" s="388" customFormat="1" ht="32.25" customHeight="1">
      <c r="A28" s="375" t="s">
        <v>674</v>
      </c>
    </row>
    <row r="29" spans="1:12" ht="37.5" customHeight="1">
      <c r="D29" s="1505" t="s">
        <v>675</v>
      </c>
      <c r="E29" s="1669"/>
      <c r="F29" s="1669"/>
      <c r="G29" s="1669"/>
      <c r="H29" s="1669"/>
      <c r="I29" s="1669"/>
      <c r="J29" s="1669"/>
      <c r="K29" s="1669"/>
      <c r="L29" s="1669"/>
    </row>
    <row r="30" spans="1:12" ht="22.5" customHeight="1">
      <c r="D30" s="373" t="s">
        <v>676</v>
      </c>
    </row>
    <row r="31" spans="1:12" ht="22.5" customHeight="1">
      <c r="D31" s="376" t="s">
        <v>677</v>
      </c>
    </row>
    <row r="32" spans="1:12" ht="69" customHeight="1">
      <c r="D32" s="1682" t="s">
        <v>570</v>
      </c>
      <c r="E32" s="1684" t="s">
        <v>678</v>
      </c>
      <c r="F32" s="1680"/>
      <c r="G32" s="1678"/>
      <c r="H32" s="1682" t="s">
        <v>679</v>
      </c>
    </row>
    <row r="33" spans="2:34" ht="13.5" customHeight="1">
      <c r="D33" s="1683"/>
      <c r="E33" s="389" t="s">
        <v>680</v>
      </c>
      <c r="F33" s="389" t="s">
        <v>681</v>
      </c>
      <c r="G33" s="389" t="s">
        <v>682</v>
      </c>
      <c r="H33" s="1683"/>
    </row>
    <row r="34" spans="2:34" ht="13.5" customHeight="1">
      <c r="D34" s="390">
        <v>2022</v>
      </c>
      <c r="E34" s="390">
        <v>10</v>
      </c>
      <c r="F34" s="390">
        <v>20</v>
      </c>
      <c r="G34" s="390">
        <v>15</v>
      </c>
      <c r="H34" s="391">
        <v>0.22220000000000001</v>
      </c>
      <c r="I34" s="392"/>
    </row>
    <row r="35" spans="2:34" ht="13.5" customHeight="1">
      <c r="D35" s="390">
        <v>2021</v>
      </c>
      <c r="E35" s="390">
        <v>15</v>
      </c>
      <c r="F35" s="390">
        <v>24</v>
      </c>
      <c r="G35" s="390">
        <v>17</v>
      </c>
      <c r="H35" s="391">
        <v>0.26779999999999998</v>
      </c>
    </row>
    <row r="36" spans="2:34" ht="13.5" customHeight="1">
      <c r="D36" s="390">
        <v>2020</v>
      </c>
      <c r="E36" s="390">
        <v>9</v>
      </c>
      <c r="F36" s="390">
        <v>30</v>
      </c>
      <c r="G36" s="390">
        <v>20</v>
      </c>
      <c r="H36" s="391">
        <v>0.1525</v>
      </c>
    </row>
    <row r="37" spans="2:34" ht="13.5" customHeight="1">
      <c r="D37" s="390"/>
      <c r="E37" s="390"/>
      <c r="F37" s="390"/>
      <c r="G37" s="393" t="s">
        <v>683</v>
      </c>
      <c r="H37" s="394">
        <v>0.2142</v>
      </c>
      <c r="I37" s="395"/>
    </row>
    <row r="38" spans="2:34" ht="47.25" customHeight="1">
      <c r="D38" s="1505" t="s">
        <v>684</v>
      </c>
      <c r="E38" s="1669"/>
      <c r="F38" s="1669"/>
      <c r="G38" s="1669"/>
      <c r="H38" s="1669"/>
      <c r="I38" s="1669"/>
      <c r="J38" s="1669"/>
      <c r="K38" s="1669"/>
      <c r="L38" s="1669"/>
    </row>
    <row r="39" spans="2:34" s="396" customFormat="1" ht="47.25" customHeight="1">
      <c r="D39" s="397"/>
    </row>
    <row r="41" spans="2:34" ht="15" customHeight="1">
      <c r="B41" s="398"/>
      <c r="C41" s="399" t="s">
        <v>685</v>
      </c>
      <c r="D41" s="400"/>
      <c r="E41" s="400"/>
      <c r="F41" s="400"/>
      <c r="G41" s="400"/>
      <c r="H41" s="400"/>
      <c r="I41" s="400"/>
      <c r="J41" s="400"/>
      <c r="K41" s="400"/>
      <c r="L41" s="400"/>
      <c r="M41" s="400"/>
      <c r="N41" s="400"/>
      <c r="O41" s="400"/>
      <c r="P41" s="400"/>
      <c r="Q41" s="400"/>
      <c r="R41" s="400"/>
      <c r="S41" s="400"/>
      <c r="T41" s="400"/>
      <c r="U41" s="400"/>
      <c r="V41" s="400"/>
      <c r="W41" s="400"/>
      <c r="X41" s="400"/>
      <c r="Y41" s="400"/>
      <c r="Z41" s="400"/>
      <c r="AA41" s="400"/>
      <c r="AB41" s="400"/>
      <c r="AC41" s="400"/>
      <c r="AD41" s="400"/>
      <c r="AE41" s="400"/>
      <c r="AF41" s="400"/>
      <c r="AG41" s="400"/>
      <c r="AH41" s="401"/>
    </row>
    <row r="42" spans="2:34" ht="15" customHeight="1">
      <c r="B42" s="402"/>
      <c r="N42" s="403" t="s">
        <v>686</v>
      </c>
      <c r="U42" s="403" t="s">
        <v>687</v>
      </c>
      <c r="AB42" s="403" t="s">
        <v>688</v>
      </c>
      <c r="AC42" s="2"/>
      <c r="AD42" s="2"/>
      <c r="AE42" s="2"/>
      <c r="AF42" s="2"/>
      <c r="AG42" s="2"/>
      <c r="AH42" s="404"/>
    </row>
    <row r="43" spans="2:34" s="131" customFormat="1" ht="15" customHeight="1">
      <c r="B43" s="405"/>
      <c r="C43" s="406" t="s">
        <v>689</v>
      </c>
      <c r="D43" s="407"/>
      <c r="E43" s="408"/>
      <c r="F43" s="408"/>
      <c r="G43" s="408"/>
      <c r="H43" s="408"/>
      <c r="I43" s="408"/>
      <c r="N43" s="1667" t="s">
        <v>570</v>
      </c>
      <c r="O43" s="1667" t="s">
        <v>690</v>
      </c>
      <c r="P43" s="1667" t="s">
        <v>691</v>
      </c>
      <c r="Q43" s="1667" t="s">
        <v>692</v>
      </c>
      <c r="R43" s="1667" t="s">
        <v>693</v>
      </c>
      <c r="S43" s="1667" t="s">
        <v>694</v>
      </c>
      <c r="U43" s="1666" t="s">
        <v>570</v>
      </c>
      <c r="V43" s="1666" t="s">
        <v>695</v>
      </c>
      <c r="W43" s="1665" t="s">
        <v>691</v>
      </c>
      <c r="X43" s="1666" t="s">
        <v>692</v>
      </c>
      <c r="Y43" s="1666" t="s">
        <v>693</v>
      </c>
      <c r="Z43" s="1666" t="s">
        <v>694</v>
      </c>
      <c r="AB43" s="1653" t="s">
        <v>570</v>
      </c>
      <c r="AC43" s="1653" t="s">
        <v>695</v>
      </c>
      <c r="AD43" s="1652" t="s">
        <v>691</v>
      </c>
      <c r="AE43" s="1653" t="s">
        <v>692</v>
      </c>
      <c r="AF43" s="1654" t="s">
        <v>693</v>
      </c>
      <c r="AG43" s="1654" t="s">
        <v>694</v>
      </c>
      <c r="AH43" s="413"/>
    </row>
    <row r="44" spans="2:34" s="131" customFormat="1" ht="15" customHeight="1">
      <c r="B44" s="414"/>
      <c r="C44" s="407"/>
      <c r="D44" s="407"/>
      <c r="E44" s="408"/>
      <c r="F44" s="408"/>
      <c r="G44" s="408"/>
      <c r="H44" s="408"/>
      <c r="I44" s="408"/>
      <c r="N44" s="1670"/>
      <c r="O44" s="1668"/>
      <c r="P44" s="1668"/>
      <c r="Q44" s="1668"/>
      <c r="R44" s="1668"/>
      <c r="S44" s="1668"/>
      <c r="U44" s="1666"/>
      <c r="V44" s="1666"/>
      <c r="W44" s="1665"/>
      <c r="X44" s="1666"/>
      <c r="Y44" s="1666"/>
      <c r="Z44" s="1666"/>
      <c r="AB44" s="1653"/>
      <c r="AC44" s="1653"/>
      <c r="AD44" s="1652"/>
      <c r="AE44" s="1653"/>
      <c r="AF44" s="1655"/>
      <c r="AG44" s="1655"/>
      <c r="AH44" s="413"/>
    </row>
    <row r="45" spans="2:34" s="131" customFormat="1" ht="30.75" customHeight="1">
      <c r="B45" s="414"/>
      <c r="D45" s="1656"/>
      <c r="E45" s="1656"/>
      <c r="F45" s="1656"/>
      <c r="G45" s="1656"/>
      <c r="H45" s="1656"/>
      <c r="I45" s="1656"/>
      <c r="N45" s="1668"/>
      <c r="O45" s="415" t="s">
        <v>696</v>
      </c>
      <c r="P45" s="415" t="s">
        <v>696</v>
      </c>
      <c r="Q45" s="415" t="s">
        <v>696</v>
      </c>
      <c r="R45" s="415" t="s">
        <v>697</v>
      </c>
      <c r="S45" s="415" t="s">
        <v>696</v>
      </c>
      <c r="U45" s="1666"/>
      <c r="V45" s="409" t="s">
        <v>696</v>
      </c>
      <c r="W45" s="410" t="s">
        <v>696</v>
      </c>
      <c r="X45" s="409" t="s">
        <v>696</v>
      </c>
      <c r="Y45" s="409" t="s">
        <v>697</v>
      </c>
      <c r="Z45" s="409" t="s">
        <v>696</v>
      </c>
      <c r="AB45" s="1653"/>
      <c r="AC45" s="411" t="s">
        <v>696</v>
      </c>
      <c r="AD45" s="412" t="s">
        <v>696</v>
      </c>
      <c r="AE45" s="411" t="s">
        <v>696</v>
      </c>
      <c r="AF45" s="411" t="s">
        <v>697</v>
      </c>
      <c r="AG45" s="411" t="s">
        <v>696</v>
      </c>
      <c r="AH45" s="413"/>
    </row>
    <row r="46" spans="2:34" s="131" customFormat="1" ht="15" customHeight="1">
      <c r="B46" s="405"/>
      <c r="N46" s="416">
        <v>44227</v>
      </c>
      <c r="O46" s="417">
        <v>14992</v>
      </c>
      <c r="P46" s="417">
        <v>14800</v>
      </c>
      <c r="Q46" s="417">
        <v>192</v>
      </c>
      <c r="R46" s="417">
        <v>19525567.808372501</v>
      </c>
      <c r="S46" s="417">
        <v>3748909019</v>
      </c>
      <c r="U46" s="416">
        <v>44227</v>
      </c>
      <c r="V46" s="418">
        <v>14084</v>
      </c>
      <c r="W46" s="419">
        <v>14600</v>
      </c>
      <c r="X46" s="420">
        <v>-516</v>
      </c>
      <c r="Y46" s="421">
        <v>17388505.800000001</v>
      </c>
      <c r="Z46" s="422">
        <v>-8972468992.7999992</v>
      </c>
      <c r="AB46" s="423">
        <v>44592</v>
      </c>
      <c r="AC46" s="424">
        <v>14381.004999999999</v>
      </c>
      <c r="AD46" s="425">
        <v>14350</v>
      </c>
      <c r="AE46" s="424">
        <v>31.0049999999992</v>
      </c>
      <c r="AF46" s="426">
        <v>17868686.510000002</v>
      </c>
      <c r="AG46" s="427">
        <v>554018625</v>
      </c>
      <c r="AH46" s="413"/>
    </row>
    <row r="47" spans="2:34" s="131" customFormat="1" ht="15" customHeight="1">
      <c r="B47" s="405"/>
      <c r="D47" s="131" t="s">
        <v>698</v>
      </c>
      <c r="N47" s="416">
        <v>44255</v>
      </c>
      <c r="O47" s="417">
        <v>15240</v>
      </c>
      <c r="P47" s="417">
        <v>14800</v>
      </c>
      <c r="Q47" s="417">
        <v>440</v>
      </c>
      <c r="R47" s="417">
        <v>17724851.190000001</v>
      </c>
      <c r="S47" s="417">
        <v>7798934524</v>
      </c>
      <c r="U47" s="416">
        <v>44255</v>
      </c>
      <c r="V47" s="428">
        <v>14229.004999999999</v>
      </c>
      <c r="W47" s="419">
        <v>14600</v>
      </c>
      <c r="X47" s="420">
        <v>-370.99499999999898</v>
      </c>
      <c r="Y47" s="421">
        <v>16499128.880000001</v>
      </c>
      <c r="Z47" s="422">
        <v>-6121094318.8355799</v>
      </c>
      <c r="AB47" s="423">
        <v>44620</v>
      </c>
      <c r="AC47" s="424">
        <v>14371.004999999999</v>
      </c>
      <c r="AD47" s="429">
        <v>14350</v>
      </c>
      <c r="AE47" s="424">
        <v>21.0049999999992</v>
      </c>
      <c r="AF47" s="426">
        <v>16568100.619999999</v>
      </c>
      <c r="AG47" s="427">
        <v>348012954</v>
      </c>
      <c r="AH47" s="413"/>
    </row>
    <row r="48" spans="2:34" s="131" customFormat="1" ht="15" customHeight="1">
      <c r="B48" s="405"/>
      <c r="D48" s="430" t="s">
        <v>81</v>
      </c>
      <c r="E48" s="430" t="s">
        <v>496</v>
      </c>
      <c r="F48" s="430" t="s">
        <v>691</v>
      </c>
      <c r="G48" s="430" t="s">
        <v>699</v>
      </c>
      <c r="H48" s="430" t="s">
        <v>500</v>
      </c>
      <c r="I48" s="430" t="s">
        <v>500</v>
      </c>
      <c r="N48" s="416">
        <v>44286</v>
      </c>
      <c r="O48" s="417">
        <v>14977</v>
      </c>
      <c r="P48" s="417">
        <v>14800</v>
      </c>
      <c r="Q48" s="417">
        <v>177</v>
      </c>
      <c r="R48" s="417">
        <v>21050203.219999999</v>
      </c>
      <c r="S48" s="417">
        <v>3725885970</v>
      </c>
      <c r="U48" s="416">
        <v>44286</v>
      </c>
      <c r="V48" s="428">
        <v>14572</v>
      </c>
      <c r="W48" s="419">
        <v>14600</v>
      </c>
      <c r="X48" s="420">
        <v>-28</v>
      </c>
      <c r="Y48" s="421">
        <v>17924851.859999999</v>
      </c>
      <c r="Z48" s="422">
        <v>-501895852.07999998</v>
      </c>
      <c r="AB48" s="423">
        <v>44651</v>
      </c>
      <c r="AC48" s="429">
        <v>14349.004999999999</v>
      </c>
      <c r="AD48" s="429">
        <v>14350</v>
      </c>
      <c r="AE48" s="424">
        <v>-0.99499999999898103</v>
      </c>
      <c r="AF48" s="426">
        <v>19759462.27</v>
      </c>
      <c r="AG48" s="427">
        <v>-19660665</v>
      </c>
      <c r="AH48" s="413"/>
    </row>
    <row r="49" spans="2:34" s="131" customFormat="1" ht="15" customHeight="1">
      <c r="B49" s="405"/>
      <c r="D49" s="431">
        <v>1</v>
      </c>
      <c r="E49" s="431">
        <v>2021</v>
      </c>
      <c r="F49" s="432">
        <v>14600</v>
      </c>
      <c r="G49" s="433">
        <f>V59</f>
        <v>14344.918333333335</v>
      </c>
      <c r="H49" s="434">
        <f>F49-G49</f>
        <v>255.08166666666511</v>
      </c>
      <c r="I49" s="435">
        <f>H49/F49</f>
        <v>1.7471347031963364E-2</v>
      </c>
      <c r="N49" s="416">
        <v>44316</v>
      </c>
      <c r="O49" s="417">
        <v>14661</v>
      </c>
      <c r="P49" s="417">
        <v>14800</v>
      </c>
      <c r="Q49" s="417">
        <v>-139</v>
      </c>
      <c r="R49" s="417">
        <v>20187050.699999999</v>
      </c>
      <c r="S49" s="417">
        <v>-2806000047</v>
      </c>
      <c r="U49" s="416">
        <v>44316</v>
      </c>
      <c r="V49" s="428">
        <v>14468</v>
      </c>
      <c r="W49" s="419">
        <v>14600</v>
      </c>
      <c r="X49" s="420">
        <v>-132</v>
      </c>
      <c r="Y49" s="421">
        <v>18024797.210000001</v>
      </c>
      <c r="Z49" s="422">
        <v>-2379273231.7199998</v>
      </c>
      <c r="AB49" s="423">
        <v>44681</v>
      </c>
      <c r="AC49" s="429">
        <v>14418</v>
      </c>
      <c r="AD49" s="429">
        <v>14350</v>
      </c>
      <c r="AE49" s="424">
        <v>68</v>
      </c>
      <c r="AF49" s="436">
        <v>19366428.030000001</v>
      </c>
      <c r="AG49" s="427">
        <v>1316917106</v>
      </c>
      <c r="AH49" s="413"/>
    </row>
    <row r="50" spans="2:34" s="131" customFormat="1" ht="15" customHeight="1">
      <c r="B50" s="405"/>
      <c r="D50" s="431">
        <v>2</v>
      </c>
      <c r="E50" s="431">
        <v>2022</v>
      </c>
      <c r="F50" s="432">
        <v>14350</v>
      </c>
      <c r="G50" s="433">
        <f>AC59</f>
        <v>14905.168333333335</v>
      </c>
      <c r="H50" s="434">
        <f>F50-G50</f>
        <v>-555.16833333333489</v>
      </c>
      <c r="I50" s="435">
        <f t="shared" ref="I50:I51" si="0">H50/F50</f>
        <v>-3.8687688734030307E-2</v>
      </c>
      <c r="N50" s="416">
        <v>44347</v>
      </c>
      <c r="O50" s="417">
        <v>15003</v>
      </c>
      <c r="P50" s="417">
        <v>14800</v>
      </c>
      <c r="Q50" s="417">
        <v>203</v>
      </c>
      <c r="R50" s="417">
        <v>21099401.43</v>
      </c>
      <c r="S50" s="417">
        <v>4283178488</v>
      </c>
      <c r="U50" s="416">
        <v>44347</v>
      </c>
      <c r="V50" s="428">
        <v>14310</v>
      </c>
      <c r="W50" s="419">
        <v>14600</v>
      </c>
      <c r="X50" s="420">
        <v>-290</v>
      </c>
      <c r="Y50" s="421">
        <v>19280498.620000001</v>
      </c>
      <c r="Z50" s="422">
        <v>-5591344599.8000002</v>
      </c>
      <c r="AB50" s="423">
        <v>44712</v>
      </c>
      <c r="AC50" s="429">
        <v>14544</v>
      </c>
      <c r="AD50" s="429">
        <v>14350</v>
      </c>
      <c r="AE50" s="424">
        <v>194</v>
      </c>
      <c r="AF50" s="436">
        <v>20777293.34</v>
      </c>
      <c r="AG50" s="427">
        <v>4030794908</v>
      </c>
      <c r="AH50" s="413"/>
    </row>
    <row r="51" spans="2:34" s="131" customFormat="1" ht="15" customHeight="1">
      <c r="B51" s="405"/>
      <c r="D51" s="437">
        <v>3</v>
      </c>
      <c r="E51" s="437">
        <v>2023</v>
      </c>
      <c r="F51" s="432">
        <v>14800</v>
      </c>
      <c r="G51" s="438">
        <f>O59</f>
        <v>15209.083333333334</v>
      </c>
      <c r="H51" s="434">
        <f>F51-G51</f>
        <v>-409.08333333333394</v>
      </c>
      <c r="I51" s="435">
        <f t="shared" si="0"/>
        <v>-2.7640765765765806E-2</v>
      </c>
      <c r="N51" s="416">
        <v>44377</v>
      </c>
      <c r="O51" s="417">
        <v>15000</v>
      </c>
      <c r="P51" s="417">
        <v>14800</v>
      </c>
      <c r="Q51" s="417">
        <v>200</v>
      </c>
      <c r="R51" s="417">
        <v>21143139.859999999</v>
      </c>
      <c r="S51" s="417">
        <v>4228627974</v>
      </c>
      <c r="U51" s="416">
        <v>44377</v>
      </c>
      <c r="V51" s="420">
        <v>14496</v>
      </c>
      <c r="W51" s="419">
        <v>14600</v>
      </c>
      <c r="X51" s="420">
        <v>-104</v>
      </c>
      <c r="Y51" s="421">
        <v>18796499.050000001</v>
      </c>
      <c r="Z51" s="422">
        <v>-1954835901.2</v>
      </c>
      <c r="AB51" s="423">
        <v>44742</v>
      </c>
      <c r="AC51" s="429">
        <v>14848</v>
      </c>
      <c r="AD51" s="429">
        <v>14350</v>
      </c>
      <c r="AE51" s="424">
        <v>498</v>
      </c>
      <c r="AF51" s="436">
        <v>19431106.059999999</v>
      </c>
      <c r="AG51" s="427">
        <v>9676690818</v>
      </c>
      <c r="AH51" s="413"/>
    </row>
    <row r="52" spans="2:34" s="131" customFormat="1" ht="15" customHeight="1">
      <c r="B52" s="405"/>
      <c r="D52" s="439"/>
      <c r="E52" s="440" t="s">
        <v>700</v>
      </c>
      <c r="F52" s="440"/>
      <c r="G52" s="440"/>
      <c r="H52" s="441"/>
      <c r="I52" s="442">
        <f>AVERAGE(I49:I51)</f>
        <v>-1.6285702489277583E-2</v>
      </c>
      <c r="N52" s="416">
        <v>44408</v>
      </c>
      <c r="O52" s="417">
        <v>15092</v>
      </c>
      <c r="P52" s="417">
        <v>14800</v>
      </c>
      <c r="Q52" s="417">
        <v>292</v>
      </c>
      <c r="R52" s="417">
        <v>21624724.030000001</v>
      </c>
      <c r="S52" s="417">
        <v>6314419417</v>
      </c>
      <c r="U52" s="416">
        <v>44408</v>
      </c>
      <c r="V52" s="420">
        <v>14491</v>
      </c>
      <c r="W52" s="419">
        <v>14600</v>
      </c>
      <c r="X52" s="420">
        <v>-109</v>
      </c>
      <c r="Y52" s="421">
        <v>19328692.329999998</v>
      </c>
      <c r="Z52" s="422">
        <v>-2106827463.97</v>
      </c>
      <c r="AB52" s="423">
        <v>44773</v>
      </c>
      <c r="AC52" s="429">
        <v>14958</v>
      </c>
      <c r="AD52" s="429">
        <v>14350</v>
      </c>
      <c r="AE52" s="424">
        <v>608</v>
      </c>
      <c r="AF52" s="436">
        <v>20636274.77</v>
      </c>
      <c r="AG52" s="427">
        <v>12546855060</v>
      </c>
      <c r="AH52" s="413"/>
    </row>
    <row r="53" spans="2:34" s="131" customFormat="1" ht="15" customHeight="1">
      <c r="B53" s="405"/>
      <c r="N53" s="416">
        <v>44439</v>
      </c>
      <c r="O53" s="417">
        <v>15237</v>
      </c>
      <c r="P53" s="417">
        <v>14800</v>
      </c>
      <c r="Q53" s="417">
        <v>437</v>
      </c>
      <c r="R53" s="417">
        <v>21561065.600000001</v>
      </c>
      <c r="S53" s="417">
        <v>9422185667</v>
      </c>
      <c r="U53" s="416">
        <v>44439</v>
      </c>
      <c r="V53" s="420">
        <v>14374</v>
      </c>
      <c r="W53" s="419">
        <v>14600</v>
      </c>
      <c r="X53" s="420">
        <v>-226</v>
      </c>
      <c r="Y53" s="421">
        <v>19182701.170000002</v>
      </c>
      <c r="Z53" s="422">
        <v>-4335290464.4200001</v>
      </c>
      <c r="AB53" s="423">
        <v>44804</v>
      </c>
      <c r="AC53" s="429">
        <v>14875.004999999999</v>
      </c>
      <c r="AD53" s="429">
        <v>14350</v>
      </c>
      <c r="AE53" s="424">
        <v>525.00499999999897</v>
      </c>
      <c r="AF53" s="436">
        <v>20680306.34</v>
      </c>
      <c r="AG53" s="427">
        <v>10857264230</v>
      </c>
      <c r="AH53" s="413"/>
    </row>
    <row r="54" spans="2:34" s="131" customFormat="1" ht="15" customHeight="1">
      <c r="B54" s="405"/>
      <c r="D54" s="2" t="s">
        <v>701</v>
      </c>
      <c r="E54" s="2"/>
      <c r="F54" s="2"/>
      <c r="G54" s="2"/>
      <c r="H54" s="2"/>
      <c r="I54" s="2"/>
      <c r="J54" s="2"/>
      <c r="K54" s="2"/>
      <c r="N54" s="416">
        <v>44469</v>
      </c>
      <c r="O54" s="417">
        <v>15487</v>
      </c>
      <c r="P54" s="417">
        <v>14800</v>
      </c>
      <c r="Q54" s="417">
        <v>687</v>
      </c>
      <c r="R54" s="417">
        <v>20769867.41</v>
      </c>
      <c r="S54" s="417">
        <v>14268898911</v>
      </c>
      <c r="U54" s="416">
        <v>44469</v>
      </c>
      <c r="V54" s="420">
        <v>14307.004999999999</v>
      </c>
      <c r="W54" s="419">
        <v>14600</v>
      </c>
      <c r="X54" s="420">
        <v>-292.99500000000103</v>
      </c>
      <c r="Y54" s="421">
        <v>18196223.969999999</v>
      </c>
      <c r="Z54" s="422">
        <v>-5331402642.0901604</v>
      </c>
      <c r="AB54" s="423">
        <v>44834</v>
      </c>
      <c r="AC54" s="429">
        <v>15247</v>
      </c>
      <c r="AD54" s="429">
        <v>14350</v>
      </c>
      <c r="AE54" s="424">
        <v>897</v>
      </c>
      <c r="AF54" s="436">
        <v>19107706.870000001</v>
      </c>
      <c r="AG54" s="427">
        <v>17139613062</v>
      </c>
      <c r="AH54" s="413"/>
    </row>
    <row r="55" spans="2:34" s="131" customFormat="1" ht="15" customHeight="1">
      <c r="B55" s="405"/>
      <c r="D55" s="430" t="s">
        <v>81</v>
      </c>
      <c r="E55" s="430" t="s">
        <v>496</v>
      </c>
      <c r="F55" s="430" t="s">
        <v>691</v>
      </c>
      <c r="G55" s="443" t="s">
        <v>702</v>
      </c>
      <c r="H55" s="430" t="s">
        <v>703</v>
      </c>
      <c r="I55" s="430" t="s">
        <v>202</v>
      </c>
      <c r="J55" s="444" t="s">
        <v>704</v>
      </c>
      <c r="K55" s="444" t="s">
        <v>705</v>
      </c>
      <c r="N55" s="416">
        <v>44500</v>
      </c>
      <c r="O55" s="417">
        <v>15897</v>
      </c>
      <c r="P55" s="417">
        <v>14800</v>
      </c>
      <c r="Q55" s="417">
        <v>1097</v>
      </c>
      <c r="R55" s="417">
        <v>21572648.48</v>
      </c>
      <c r="S55" s="417">
        <v>23665195383</v>
      </c>
      <c r="U55" s="416">
        <v>44500</v>
      </c>
      <c r="V55" s="420">
        <v>14199.004999999999</v>
      </c>
      <c r="W55" s="419">
        <v>14600</v>
      </c>
      <c r="X55" s="420">
        <v>-400.99499999999898</v>
      </c>
      <c r="Y55" s="421">
        <v>19598979.93</v>
      </c>
      <c r="Z55" s="422">
        <v>-7859092957.0303297</v>
      </c>
      <c r="AB55" s="423">
        <v>44865</v>
      </c>
      <c r="AC55" s="429">
        <v>15542</v>
      </c>
      <c r="AD55" s="429">
        <v>14350</v>
      </c>
      <c r="AE55" s="424">
        <v>1192</v>
      </c>
      <c r="AF55" s="436">
        <v>21270286.120000001</v>
      </c>
      <c r="AG55" s="427">
        <v>25354181055</v>
      </c>
      <c r="AH55" s="413"/>
    </row>
    <row r="56" spans="2:34" s="131" customFormat="1" ht="15" customHeight="1">
      <c r="B56" s="405"/>
      <c r="D56" s="431">
        <v>1</v>
      </c>
      <c r="E56" s="431">
        <v>2021</v>
      </c>
      <c r="F56" s="445">
        <f>F49*Y58</f>
        <v>3259773041790</v>
      </c>
      <c r="G56" s="446">
        <f>G49*Y58</f>
        <v>3202820415731.4482</v>
      </c>
      <c r="H56" s="434">
        <v>0</v>
      </c>
      <c r="I56" s="447">
        <f>H56/H59</f>
        <v>0</v>
      </c>
      <c r="J56" s="448">
        <v>1</v>
      </c>
      <c r="N56" s="416">
        <v>44530</v>
      </c>
      <c r="O56" s="417">
        <v>15484</v>
      </c>
      <c r="P56" s="417">
        <v>14800</v>
      </c>
      <c r="Q56" s="417">
        <v>684</v>
      </c>
      <c r="R56" s="417">
        <v>21474738.489999998</v>
      </c>
      <c r="S56" s="417">
        <v>14688721127</v>
      </c>
      <c r="U56" s="416">
        <v>44530</v>
      </c>
      <c r="V56" s="420">
        <v>14340</v>
      </c>
      <c r="W56" s="419">
        <v>14600</v>
      </c>
      <c r="X56" s="420">
        <v>-260</v>
      </c>
      <c r="Y56" s="421">
        <v>19135297.760000002</v>
      </c>
      <c r="Z56" s="422">
        <v>-4975177417.6000004</v>
      </c>
      <c r="AB56" s="423">
        <v>44895</v>
      </c>
      <c r="AC56" s="429">
        <v>15737</v>
      </c>
      <c r="AD56" s="429">
        <v>14350</v>
      </c>
      <c r="AE56" s="424">
        <v>1387</v>
      </c>
      <c r="AF56" s="436">
        <v>19008555.940000001</v>
      </c>
      <c r="AG56" s="427">
        <v>26364867089</v>
      </c>
      <c r="AH56" s="413"/>
    </row>
    <row r="57" spans="2:34" s="131" customFormat="1" ht="15" customHeight="1">
      <c r="B57" s="405"/>
      <c r="D57" s="431">
        <v>2</v>
      </c>
      <c r="E57" s="431">
        <v>2022</v>
      </c>
      <c r="F57" s="445">
        <f>F50*AF58</f>
        <v>3369745057829.5</v>
      </c>
      <c r="G57" s="446">
        <f>G50*AF58</f>
        <v>3500112705739.8447</v>
      </c>
      <c r="H57" s="434">
        <f>G57-F57</f>
        <v>130367647910.34473</v>
      </c>
      <c r="I57" s="447">
        <f>H57/H59</f>
        <v>0.56051452751409769</v>
      </c>
      <c r="J57" s="448">
        <v>1</v>
      </c>
      <c r="K57" s="1657">
        <f>SUM(J57+J58)/J59</f>
        <v>0.66666666666666663</v>
      </c>
      <c r="N57" s="416">
        <v>44561</v>
      </c>
      <c r="O57" s="417">
        <v>15439</v>
      </c>
      <c r="P57" s="417">
        <v>14800</v>
      </c>
      <c r="Q57" s="417">
        <v>639</v>
      </c>
      <c r="R57" s="417">
        <v>22137649.530000001</v>
      </c>
      <c r="S57" s="417">
        <v>14145958050</v>
      </c>
      <c r="U57" s="416">
        <v>44561</v>
      </c>
      <c r="V57" s="420">
        <v>14269.004999999999</v>
      </c>
      <c r="W57" s="419">
        <v>14600</v>
      </c>
      <c r="X57" s="420">
        <v>-330.99500000000103</v>
      </c>
      <c r="Y57" s="421">
        <v>19915949.57</v>
      </c>
      <c r="Z57" s="422">
        <v>-6592079727.9221697</v>
      </c>
      <c r="AB57" s="423">
        <v>44926</v>
      </c>
      <c r="AC57" s="429">
        <v>15592</v>
      </c>
      <c r="AD57" s="429">
        <v>14350</v>
      </c>
      <c r="AE57" s="424">
        <v>1242</v>
      </c>
      <c r="AF57" s="436">
        <v>20351232.699999999</v>
      </c>
      <c r="AG57" s="427">
        <v>25276231013</v>
      </c>
      <c r="AH57" s="413"/>
    </row>
    <row r="58" spans="2:34" s="131" customFormat="1" ht="15" customHeight="1">
      <c r="B58" s="405"/>
      <c r="D58" s="431">
        <v>3</v>
      </c>
      <c r="E58" s="431">
        <v>2023</v>
      </c>
      <c r="F58" s="449">
        <f>F51*R58</f>
        <v>3698089434675.9053</v>
      </c>
      <c r="G58" s="450">
        <f>G51*R58</f>
        <v>3800307458520.6353</v>
      </c>
      <c r="H58" s="434">
        <f>G58-F58</f>
        <v>102218023844.72998</v>
      </c>
      <c r="I58" s="447">
        <f>H58/H59</f>
        <v>0.43948547248590225</v>
      </c>
      <c r="J58" s="448">
        <v>1</v>
      </c>
      <c r="K58" s="1657"/>
      <c r="N58" s="1658" t="s">
        <v>557</v>
      </c>
      <c r="O58" s="1659"/>
      <c r="P58" s="1659"/>
      <c r="Q58" s="1660"/>
      <c r="R58" s="417">
        <v>249870907.74837199</v>
      </c>
      <c r="S58" s="417">
        <v>103484914483</v>
      </c>
      <c r="U58" s="1661" t="s">
        <v>557</v>
      </c>
      <c r="V58" s="1662"/>
      <c r="W58" s="1662"/>
      <c r="X58" s="1663"/>
      <c r="Y58" s="451">
        <v>223272126.15000001</v>
      </c>
      <c r="Z58" s="452">
        <v>-56720783569.468201</v>
      </c>
      <c r="AB58" s="1664" t="s">
        <v>557</v>
      </c>
      <c r="AC58" s="1664"/>
      <c r="AD58" s="1664"/>
      <c r="AE58" s="1664"/>
      <c r="AF58" s="453">
        <v>234825439.56999999</v>
      </c>
      <c r="AG58" s="454">
        <v>133445785255</v>
      </c>
      <c r="AH58" s="413"/>
    </row>
    <row r="59" spans="2:34" s="131" customFormat="1" ht="15.75" customHeight="1">
      <c r="B59" s="405"/>
      <c r="D59" s="444"/>
      <c r="E59" s="444"/>
      <c r="F59" s="455"/>
      <c r="G59" s="444"/>
      <c r="H59" s="456">
        <f>SUM(H56:H58)</f>
        <v>232585671755.07471</v>
      </c>
      <c r="I59" s="457">
        <f>AVERAGE(I57:I58)</f>
        <v>0.5</v>
      </c>
      <c r="J59" s="448">
        <f>SUM(J56:J58)</f>
        <v>3</v>
      </c>
      <c r="K59" s="444" t="s">
        <v>706</v>
      </c>
      <c r="N59" s="458"/>
      <c r="O59" s="459">
        <f>AVERAGE(O46:O57)</f>
        <v>15209.083333333334</v>
      </c>
      <c r="P59" s="458"/>
      <c r="Q59" s="458"/>
      <c r="R59" s="458"/>
      <c r="S59" s="458"/>
      <c r="V59" s="459">
        <f>AVERAGE(V46:V57)</f>
        <v>14344.918333333335</v>
      </c>
      <c r="AB59" s="460"/>
      <c r="AC59" s="459">
        <f>AVERAGE(AC46:AC57)</f>
        <v>14905.168333333335</v>
      </c>
      <c r="AD59" s="460"/>
      <c r="AE59" s="460"/>
      <c r="AF59" s="461"/>
      <c r="AG59" s="462"/>
      <c r="AH59" s="413"/>
    </row>
    <row r="60" spans="2:34" s="131" customFormat="1" ht="15.75" customHeight="1">
      <c r="B60" s="405"/>
      <c r="H60" s="463">
        <v>118465349869</v>
      </c>
      <c r="N60" s="464"/>
      <c r="O60" s="464"/>
      <c r="P60" s="464"/>
      <c r="Q60" s="464"/>
      <c r="R60" s="465">
        <f>R58*I52</f>
        <v>-4069323.2643157109</v>
      </c>
      <c r="S60" s="464"/>
      <c r="AH60" s="413"/>
    </row>
    <row r="61" spans="2:34" s="131" customFormat="1" ht="15.75" customHeight="1">
      <c r="B61" s="405"/>
      <c r="H61" s="466"/>
      <c r="N61" s="464"/>
      <c r="O61" s="464"/>
      <c r="P61" s="464"/>
      <c r="Q61" s="464"/>
      <c r="R61" s="465"/>
      <c r="S61" s="464"/>
      <c r="AH61" s="413"/>
    </row>
    <row r="62" spans="2:34" s="131" customFormat="1" ht="22.5" customHeight="1">
      <c r="B62" s="405"/>
      <c r="D62" s="131" t="s">
        <v>707</v>
      </c>
      <c r="F62" s="467"/>
      <c r="N62" s="464" t="s">
        <v>708</v>
      </c>
      <c r="O62" s="464"/>
      <c r="P62" s="464"/>
      <c r="Q62" s="464"/>
      <c r="R62" s="464"/>
      <c r="S62" s="464"/>
      <c r="AH62" s="413"/>
    </row>
    <row r="63" spans="2:34" s="131" customFormat="1" ht="15.75" customHeight="1">
      <c r="B63" s="405"/>
      <c r="D63" s="131" t="s">
        <v>709</v>
      </c>
      <c r="F63" s="467"/>
      <c r="AH63" s="413"/>
    </row>
    <row r="64" spans="2:34" s="131" customFormat="1" ht="15.75" customHeight="1">
      <c r="B64" s="405"/>
      <c r="D64" s="468"/>
      <c r="AH64" s="413"/>
    </row>
    <row r="65" spans="2:34" s="131" customFormat="1" ht="15.75" customHeight="1">
      <c r="B65" s="405"/>
      <c r="C65" s="83" t="s">
        <v>710</v>
      </c>
      <c r="AH65" s="413"/>
    </row>
    <row r="66" spans="2:34" s="131" customFormat="1" ht="15.75" customHeight="1">
      <c r="B66" s="405"/>
      <c r="C66" s="468"/>
      <c r="AH66" s="413"/>
    </row>
    <row r="67" spans="2:34" s="131" customFormat="1" ht="15.75" customHeight="1">
      <c r="B67" s="405"/>
      <c r="D67" s="468" t="s">
        <v>511</v>
      </c>
      <c r="O67" s="131" t="s">
        <v>711</v>
      </c>
      <c r="X67" s="131" t="s">
        <v>712</v>
      </c>
      <c r="AH67" s="413"/>
    </row>
    <row r="68" spans="2:34" s="131" customFormat="1" ht="15.75" customHeight="1">
      <c r="B68" s="405"/>
      <c r="D68" s="469" t="s">
        <v>713</v>
      </c>
      <c r="E68" s="470"/>
      <c r="F68" s="470"/>
      <c r="G68" s="470"/>
      <c r="H68" s="470"/>
      <c r="I68" s="470"/>
      <c r="J68" s="470"/>
      <c r="K68" s="470"/>
      <c r="AH68" s="413"/>
    </row>
    <row r="69" spans="2:34" s="131" customFormat="1" ht="61.5" customHeight="1">
      <c r="B69" s="405"/>
      <c r="D69" s="471" t="s">
        <v>714</v>
      </c>
      <c r="E69" s="472" t="s">
        <v>516</v>
      </c>
      <c r="F69" s="472" t="s">
        <v>715</v>
      </c>
      <c r="G69" s="472" t="s">
        <v>716</v>
      </c>
      <c r="H69" s="472" t="s">
        <v>717</v>
      </c>
      <c r="I69" s="472" t="s">
        <v>718</v>
      </c>
      <c r="J69" s="472" t="s">
        <v>719</v>
      </c>
      <c r="K69" s="472" t="s">
        <v>720</v>
      </c>
      <c r="O69" s="473" t="s">
        <v>714</v>
      </c>
      <c r="P69" s="474" t="s">
        <v>516</v>
      </c>
      <c r="Q69" s="474" t="s">
        <v>715</v>
      </c>
      <c r="R69" s="474" t="s">
        <v>716</v>
      </c>
      <c r="S69" s="473" t="s">
        <v>717</v>
      </c>
      <c r="T69" s="474" t="s">
        <v>718</v>
      </c>
      <c r="U69" s="474" t="s">
        <v>719</v>
      </c>
      <c r="V69" s="474" t="s">
        <v>720</v>
      </c>
      <c r="AH69" s="413"/>
    </row>
    <row r="70" spans="2:34" s="131" customFormat="1" ht="15.75" customHeight="1">
      <c r="B70" s="405"/>
      <c r="D70" s="475" t="s">
        <v>721</v>
      </c>
      <c r="E70" s="476"/>
      <c r="F70" s="476"/>
      <c r="G70" s="476"/>
      <c r="H70" s="476"/>
      <c r="I70" s="476"/>
      <c r="J70" s="476"/>
      <c r="K70" s="477">
        <v>0</v>
      </c>
      <c r="O70" s="478" t="s">
        <v>722</v>
      </c>
      <c r="P70" s="479"/>
      <c r="Q70" s="479"/>
      <c r="R70" s="479"/>
      <c r="S70" s="479"/>
      <c r="T70" s="479"/>
      <c r="U70" s="479"/>
      <c r="V70" s="477">
        <v>0</v>
      </c>
      <c r="Y70" s="480" t="s">
        <v>723</v>
      </c>
      <c r="Z70" s="481"/>
      <c r="AA70" s="481"/>
      <c r="AB70" s="481"/>
      <c r="AH70" s="413"/>
    </row>
    <row r="71" spans="2:34" s="131" customFormat="1" ht="15.75" customHeight="1">
      <c r="B71" s="405"/>
      <c r="D71" s="475" t="s">
        <v>724</v>
      </c>
      <c r="E71" s="476"/>
      <c r="F71" s="476"/>
      <c r="G71" s="476"/>
      <c r="H71" s="476"/>
      <c r="I71" s="476"/>
      <c r="J71" s="476"/>
      <c r="K71" s="477">
        <v>0</v>
      </c>
      <c r="O71" s="478" t="s">
        <v>725</v>
      </c>
      <c r="P71" s="482"/>
      <c r="Q71" s="477"/>
      <c r="R71" s="477"/>
      <c r="S71" s="477"/>
      <c r="T71" s="477"/>
      <c r="U71" s="482"/>
      <c r="V71" s="477">
        <v>0</v>
      </c>
      <c r="Y71" s="480" t="s">
        <v>726</v>
      </c>
      <c r="Z71" s="481"/>
      <c r="AA71" s="481"/>
      <c r="AB71" s="483">
        <v>6306470000000</v>
      </c>
      <c r="AH71" s="413"/>
    </row>
    <row r="72" spans="2:34" s="131" customFormat="1" ht="15.75" customHeight="1">
      <c r="B72" s="405"/>
      <c r="D72" s="475" t="s">
        <v>727</v>
      </c>
      <c r="E72" s="476"/>
      <c r="F72" s="476"/>
      <c r="G72" s="476"/>
      <c r="H72" s="476"/>
      <c r="I72" s="476"/>
      <c r="J72" s="476"/>
      <c r="K72" s="477">
        <v>0</v>
      </c>
      <c r="O72" s="478" t="s">
        <v>728</v>
      </c>
      <c r="P72" s="482"/>
      <c r="Q72" s="477"/>
      <c r="R72" s="477"/>
      <c r="S72" s="477"/>
      <c r="T72" s="477"/>
      <c r="U72" s="477"/>
      <c r="V72" s="477">
        <v>0</v>
      </c>
      <c r="Y72" t="s">
        <v>729</v>
      </c>
      <c r="Z72" s="481"/>
      <c r="AA72" s="481"/>
      <c r="AB72" s="483">
        <f>2443901*10^6</f>
        <v>2443901000000</v>
      </c>
      <c r="AH72" s="413"/>
    </row>
    <row r="73" spans="2:34" s="131" customFormat="1" ht="15.75" customHeight="1">
      <c r="B73" s="405"/>
      <c r="D73" s="475" t="s">
        <v>730</v>
      </c>
      <c r="E73" s="476"/>
      <c r="F73" s="476"/>
      <c r="G73" s="476"/>
      <c r="H73" s="476"/>
      <c r="I73" s="476"/>
      <c r="J73" s="476"/>
      <c r="K73" s="477">
        <v>0</v>
      </c>
      <c r="O73" s="478" t="s">
        <v>731</v>
      </c>
      <c r="P73" s="477"/>
      <c r="Q73" s="477"/>
      <c r="R73" s="477"/>
      <c r="S73" s="477"/>
      <c r="T73" s="477"/>
      <c r="U73" s="477"/>
      <c r="V73" s="477">
        <v>0</v>
      </c>
      <c r="Y73" s="480" t="s">
        <v>581</v>
      </c>
      <c r="Z73" s="481"/>
      <c r="AA73" s="481"/>
      <c r="AB73" s="483">
        <f>26114*10^6</f>
        <v>26114000000</v>
      </c>
      <c r="AH73" s="413"/>
    </row>
    <row r="74" spans="2:34" s="131" customFormat="1" ht="15.75" customHeight="1">
      <c r="B74" s="405"/>
      <c r="D74" s="475" t="s">
        <v>732</v>
      </c>
      <c r="E74" s="476"/>
      <c r="F74" s="476"/>
      <c r="G74" s="476"/>
      <c r="H74" s="476"/>
      <c r="I74" s="476"/>
      <c r="J74" s="476"/>
      <c r="K74" s="477">
        <v>0</v>
      </c>
      <c r="O74" s="478" t="s">
        <v>733</v>
      </c>
      <c r="P74" s="476"/>
      <c r="Q74" s="476"/>
      <c r="R74" s="476"/>
      <c r="S74" s="476"/>
      <c r="T74" s="476"/>
      <c r="U74" s="476"/>
      <c r="V74" s="477">
        <v>0</v>
      </c>
      <c r="Y74" s="480" t="s">
        <v>734</v>
      </c>
      <c r="Z74" s="481"/>
      <c r="AA74" s="481"/>
      <c r="AB74" s="483">
        <f>AB71+AB72+AB73</f>
        <v>8776485000000</v>
      </c>
      <c r="AH74" s="413"/>
    </row>
    <row r="75" spans="2:34" s="131" customFormat="1" ht="15.75" customHeight="1">
      <c r="B75" s="405"/>
      <c r="D75" s="475" t="s">
        <v>735</v>
      </c>
      <c r="E75" s="476"/>
      <c r="F75" s="476"/>
      <c r="G75" s="476"/>
      <c r="H75" s="476"/>
      <c r="I75" s="476"/>
      <c r="J75" s="476"/>
      <c r="K75" s="477">
        <v>0</v>
      </c>
      <c r="O75" s="478" t="s">
        <v>736</v>
      </c>
      <c r="P75" s="476"/>
      <c r="Q75" s="476"/>
      <c r="R75" s="476"/>
      <c r="S75" s="476"/>
      <c r="T75" s="476"/>
      <c r="U75" s="476"/>
      <c r="V75" s="477">
        <v>0</v>
      </c>
      <c r="Y75" s="480" t="s">
        <v>737</v>
      </c>
      <c r="Z75" s="481"/>
      <c r="AA75" s="481"/>
      <c r="AB75" s="483">
        <v>1351618000000</v>
      </c>
      <c r="AH75" s="413"/>
    </row>
    <row r="76" spans="2:34" s="131" customFormat="1" ht="15.75" customHeight="1">
      <c r="B76" s="405"/>
      <c r="D76" s="475" t="s">
        <v>738</v>
      </c>
      <c r="E76" s="476"/>
      <c r="F76" s="476"/>
      <c r="G76" s="476"/>
      <c r="H76" s="476"/>
      <c r="I76" s="476"/>
      <c r="J76" s="476"/>
      <c r="K76" s="477">
        <v>0</v>
      </c>
      <c r="O76" s="478" t="s">
        <v>739</v>
      </c>
      <c r="P76" s="476"/>
      <c r="Q76" s="476"/>
      <c r="R76" s="476"/>
      <c r="S76" s="476"/>
      <c r="T76" s="476"/>
      <c r="U76" s="476"/>
      <c r="V76" s="477">
        <v>0</v>
      </c>
      <c r="Y76" s="480" t="s">
        <v>740</v>
      </c>
      <c r="Z76" s="481"/>
      <c r="AA76" s="481"/>
      <c r="AB76" s="483">
        <f>AB73</f>
        <v>26114000000</v>
      </c>
      <c r="AH76" s="413"/>
    </row>
    <row r="77" spans="2:34" s="131" customFormat="1" ht="15.75" customHeight="1">
      <c r="B77" s="405"/>
      <c r="D77" s="475" t="s">
        <v>741</v>
      </c>
      <c r="E77" s="476"/>
      <c r="F77" s="476"/>
      <c r="G77" s="476"/>
      <c r="H77" s="476"/>
      <c r="I77" s="476"/>
      <c r="J77" s="476"/>
      <c r="K77" s="477">
        <v>0</v>
      </c>
      <c r="O77" s="478" t="s">
        <v>742</v>
      </c>
      <c r="P77" s="476"/>
      <c r="Q77" s="476"/>
      <c r="R77" s="476"/>
      <c r="S77" s="476"/>
      <c r="T77" s="476"/>
      <c r="U77" s="476"/>
      <c r="V77" s="477">
        <v>0</v>
      </c>
      <c r="Y77" s="480" t="s">
        <v>743</v>
      </c>
      <c r="Z77" s="481"/>
      <c r="AA77" s="481"/>
      <c r="AB77" s="483">
        <f>AB74-AB75</f>
        <v>7424867000000</v>
      </c>
      <c r="AH77" s="413"/>
    </row>
    <row r="78" spans="2:34" s="131" customFormat="1" ht="15.75" customHeight="1">
      <c r="B78" s="405"/>
      <c r="D78" s="475" t="s">
        <v>744</v>
      </c>
      <c r="E78" s="476"/>
      <c r="F78" s="476"/>
      <c r="G78" s="476"/>
      <c r="H78" s="476"/>
      <c r="I78" s="476"/>
      <c r="J78" s="476"/>
      <c r="K78" s="477">
        <v>0</v>
      </c>
      <c r="O78" s="478" t="s">
        <v>745</v>
      </c>
      <c r="P78" s="476"/>
      <c r="Q78" s="476"/>
      <c r="R78" s="476"/>
      <c r="S78" s="476"/>
      <c r="T78" s="476"/>
      <c r="U78" s="476"/>
      <c r="V78" s="477">
        <v>0</v>
      </c>
      <c r="Y78" s="480" t="s">
        <v>746</v>
      </c>
      <c r="Z78" s="481"/>
      <c r="AA78" s="481"/>
      <c r="AB78" s="484">
        <f>AB77*5%</f>
        <v>371243350000</v>
      </c>
      <c r="AH78" s="413"/>
    </row>
    <row r="79" spans="2:34" s="131" customFormat="1" ht="15.75" customHeight="1">
      <c r="B79" s="405"/>
      <c r="D79" s="475" t="s">
        <v>747</v>
      </c>
      <c r="E79" s="476"/>
      <c r="F79" s="476"/>
      <c r="G79" s="476"/>
      <c r="H79" s="476"/>
      <c r="I79" s="476"/>
      <c r="J79" s="476"/>
      <c r="K79" s="477">
        <v>0</v>
      </c>
      <c r="O79" s="478" t="s">
        <v>748</v>
      </c>
      <c r="P79" s="476"/>
      <c r="Q79" s="476"/>
      <c r="R79" s="476"/>
      <c r="S79" s="476"/>
      <c r="T79" s="476"/>
      <c r="U79" s="476"/>
      <c r="V79" s="477">
        <v>0</v>
      </c>
      <c r="AH79" s="413"/>
    </row>
    <row r="80" spans="2:34" s="131" customFormat="1" ht="15.75" customHeight="1">
      <c r="B80" s="405"/>
      <c r="D80" s="475" t="s">
        <v>541</v>
      </c>
      <c r="E80" s="476"/>
      <c r="F80" s="476"/>
      <c r="G80" s="476"/>
      <c r="H80" s="476"/>
      <c r="I80" s="476">
        <v>16212236256</v>
      </c>
      <c r="J80" s="476"/>
      <c r="K80" s="477">
        <v>16212236256</v>
      </c>
      <c r="O80" s="478" t="s">
        <v>749</v>
      </c>
      <c r="P80" s="476"/>
      <c r="Q80" s="476"/>
      <c r="R80" s="476"/>
      <c r="S80" s="476"/>
      <c r="T80" s="476"/>
      <c r="U80" s="476"/>
      <c r="V80" s="477">
        <v>0</v>
      </c>
      <c r="AH80" s="413"/>
    </row>
    <row r="81" spans="2:34" s="131" customFormat="1" ht="15.75" customHeight="1">
      <c r="B81" s="405"/>
      <c r="D81" s="475" t="s">
        <v>544</v>
      </c>
      <c r="E81" s="476"/>
      <c r="F81" s="476"/>
      <c r="G81" s="476"/>
      <c r="H81" s="476"/>
      <c r="I81" s="476">
        <v>19978691723</v>
      </c>
      <c r="J81" s="476"/>
      <c r="K81" s="477">
        <v>19978691723</v>
      </c>
      <c r="O81" s="478" t="s">
        <v>750</v>
      </c>
      <c r="P81" s="476"/>
      <c r="Q81" s="476"/>
      <c r="R81" s="476"/>
      <c r="S81" s="476"/>
      <c r="T81" s="476"/>
      <c r="U81" s="476"/>
      <c r="V81" s="477">
        <v>0</v>
      </c>
      <c r="AH81" s="413"/>
    </row>
    <row r="82" spans="2:34" s="131" customFormat="1" ht="15.75" customHeight="1">
      <c r="B82" s="405"/>
      <c r="D82" s="475" t="s">
        <v>547</v>
      </c>
      <c r="E82" s="476"/>
      <c r="F82" s="476"/>
      <c r="G82" s="476"/>
      <c r="H82" s="476"/>
      <c r="I82" s="476">
        <v>17869882750</v>
      </c>
      <c r="J82" s="476">
        <v>10161403671</v>
      </c>
      <c r="K82" s="477">
        <v>28031286421</v>
      </c>
      <c r="O82" s="478" t="s">
        <v>721</v>
      </c>
      <c r="P82" s="476"/>
      <c r="Q82" s="476"/>
      <c r="R82" s="476"/>
      <c r="S82" s="476">
        <v>22408250838</v>
      </c>
      <c r="T82" s="476"/>
      <c r="U82" s="476">
        <v>11384146440</v>
      </c>
      <c r="V82" s="477">
        <v>33792397278</v>
      </c>
      <c r="AH82" s="413"/>
    </row>
    <row r="83" spans="2:34" s="131" customFormat="1" ht="15.75" customHeight="1">
      <c r="B83" s="405"/>
      <c r="D83" s="475" t="s">
        <v>550</v>
      </c>
      <c r="E83" s="476"/>
      <c r="F83" s="476"/>
      <c r="G83" s="476"/>
      <c r="H83" s="476"/>
      <c r="I83" s="476">
        <v>18227891372</v>
      </c>
      <c r="J83" s="476">
        <v>12642851241</v>
      </c>
      <c r="K83" s="477">
        <v>30870742613</v>
      </c>
      <c r="O83" s="478" t="s">
        <v>724</v>
      </c>
      <c r="P83" s="476"/>
      <c r="Q83" s="476">
        <v>43650791805</v>
      </c>
      <c r="R83" s="476"/>
      <c r="S83" s="476"/>
      <c r="T83" s="476"/>
      <c r="U83" s="476">
        <v>9728415731</v>
      </c>
      <c r="V83" s="477">
        <v>53379207536</v>
      </c>
      <c r="AH83" s="413"/>
    </row>
    <row r="84" spans="2:34" s="131" customFormat="1" ht="15.75" customHeight="1">
      <c r="B84" s="405"/>
      <c r="D84" s="475" t="s">
        <v>553</v>
      </c>
      <c r="E84" s="476"/>
      <c r="F84" s="476">
        <v>36409473467</v>
      </c>
      <c r="G84" s="476">
        <v>16844127395</v>
      </c>
      <c r="H84" s="476">
        <v>23656171438</v>
      </c>
      <c r="I84" s="476">
        <v>25250531264</v>
      </c>
      <c r="J84" s="476">
        <v>13468225713</v>
      </c>
      <c r="K84" s="477">
        <v>115628529277</v>
      </c>
      <c r="L84" s="485">
        <v>337229341473</v>
      </c>
      <c r="M84" s="486" t="s">
        <v>751</v>
      </c>
      <c r="O84" s="478" t="s">
        <v>727</v>
      </c>
      <c r="P84" s="476"/>
      <c r="Q84" s="476">
        <v>43805745871</v>
      </c>
      <c r="R84" s="476">
        <v>25337904430</v>
      </c>
      <c r="S84" s="476">
        <v>23771082792</v>
      </c>
      <c r="T84" s="476">
        <v>17467337158</v>
      </c>
      <c r="U84" s="476">
        <v>8862221411</v>
      </c>
      <c r="V84" s="477">
        <v>119244291662</v>
      </c>
      <c r="AH84" s="413"/>
    </row>
    <row r="85" spans="2:34" s="131" customFormat="1" ht="15.75" customHeight="1">
      <c r="B85" s="405"/>
      <c r="D85" s="475" t="s">
        <v>556</v>
      </c>
      <c r="E85" s="476">
        <v>97001827200.020004</v>
      </c>
      <c r="F85" s="476">
        <v>38504922662</v>
      </c>
      <c r="G85" s="476">
        <v>25118199594</v>
      </c>
      <c r="H85" s="476">
        <v>24893243278</v>
      </c>
      <c r="I85" s="476">
        <v>25437623982</v>
      </c>
      <c r="J85" s="476">
        <v>12553865667</v>
      </c>
      <c r="K85" s="477">
        <v>223509682383.01999</v>
      </c>
      <c r="L85" s="486"/>
      <c r="M85" s="486"/>
      <c r="O85" s="478" t="s">
        <v>730</v>
      </c>
      <c r="P85" s="476">
        <v>72412331182</v>
      </c>
      <c r="Q85" s="476">
        <v>46579901695</v>
      </c>
      <c r="R85" s="476">
        <v>29689685890</v>
      </c>
      <c r="S85" s="476">
        <v>24031748250</v>
      </c>
      <c r="T85" s="476">
        <v>21154827181</v>
      </c>
      <c r="U85" s="476">
        <v>13885456566</v>
      </c>
      <c r="V85" s="476">
        <v>207753950764</v>
      </c>
      <c r="AH85" s="413"/>
    </row>
    <row r="86" spans="2:34" s="131" customFormat="1" ht="15.75" customHeight="1">
      <c r="B86" s="405"/>
      <c r="D86" s="487" t="s">
        <v>557</v>
      </c>
      <c r="E86" s="488">
        <v>97001827200.020004</v>
      </c>
      <c r="F86" s="488">
        <v>74914396129</v>
      </c>
      <c r="G86" s="488">
        <v>41962326989</v>
      </c>
      <c r="H86" s="488">
        <v>48549414716</v>
      </c>
      <c r="I86" s="488">
        <v>122976857347</v>
      </c>
      <c r="J86" s="488">
        <v>48826346292</v>
      </c>
      <c r="K86" s="488">
        <v>434231168673.02002</v>
      </c>
      <c r="L86" s="486"/>
      <c r="M86" s="486"/>
      <c r="O86" s="489" t="s">
        <v>557</v>
      </c>
      <c r="P86" s="488">
        <v>72412331182</v>
      </c>
      <c r="Q86" s="488">
        <v>134036439371</v>
      </c>
      <c r="R86" s="488">
        <v>55027590320</v>
      </c>
      <c r="S86" s="488">
        <v>70211081880</v>
      </c>
      <c r="T86" s="488">
        <v>38622164339</v>
      </c>
      <c r="U86" s="488">
        <v>43860240148</v>
      </c>
      <c r="V86" s="488">
        <v>414169847240</v>
      </c>
      <c r="AH86" s="413"/>
    </row>
    <row r="87" spans="2:34" s="131" customFormat="1" ht="15.75" customHeight="1">
      <c r="B87" s="405"/>
      <c r="D87" s="470"/>
      <c r="E87" s="490"/>
      <c r="F87" s="490"/>
      <c r="G87" s="490"/>
      <c r="H87" s="490"/>
      <c r="I87" s="490"/>
      <c r="J87" s="490"/>
      <c r="K87" s="470"/>
      <c r="L87" s="486"/>
      <c r="M87" s="486"/>
      <c r="O87" s="491"/>
      <c r="P87" s="492"/>
      <c r="Q87" s="492"/>
      <c r="R87" s="492"/>
      <c r="S87" s="492"/>
      <c r="T87" s="492"/>
      <c r="U87" s="492"/>
      <c r="V87" s="491"/>
      <c r="AH87" s="413"/>
    </row>
    <row r="88" spans="2:34" s="131" customFormat="1" ht="15.75" customHeight="1">
      <c r="B88" s="405"/>
      <c r="D88" s="469" t="s">
        <v>514</v>
      </c>
      <c r="E88" s="490"/>
      <c r="F88" s="490"/>
      <c r="G88" s="470"/>
      <c r="H88" s="470"/>
      <c r="I88" s="470"/>
      <c r="J88" s="470"/>
      <c r="K88" s="470"/>
      <c r="L88" s="486"/>
      <c r="M88" s="486"/>
      <c r="O88" s="493" t="s">
        <v>752</v>
      </c>
      <c r="P88" s="492"/>
      <c r="Q88" s="492"/>
      <c r="R88" s="491"/>
      <c r="S88" s="491"/>
      <c r="T88" s="491"/>
      <c r="U88" s="491"/>
      <c r="V88" s="491"/>
      <c r="AH88" s="413"/>
    </row>
    <row r="89" spans="2:34" s="131" customFormat="1" ht="33" customHeight="1">
      <c r="B89" s="405"/>
      <c r="D89" s="471" t="s">
        <v>515</v>
      </c>
      <c r="E89" s="472" t="s">
        <v>516</v>
      </c>
      <c r="F89" s="472" t="s">
        <v>715</v>
      </c>
      <c r="G89" s="472" t="s">
        <v>716</v>
      </c>
      <c r="H89" s="472" t="s">
        <v>717</v>
      </c>
      <c r="I89" s="472" t="s">
        <v>718</v>
      </c>
      <c r="J89" s="472" t="s">
        <v>719</v>
      </c>
      <c r="K89" s="472" t="s">
        <v>720</v>
      </c>
      <c r="L89" s="486"/>
      <c r="M89" s="486"/>
      <c r="O89" s="473" t="s">
        <v>515</v>
      </c>
      <c r="P89" s="474" t="s">
        <v>516</v>
      </c>
      <c r="Q89" s="474" t="s">
        <v>715</v>
      </c>
      <c r="R89" s="474" t="s">
        <v>716</v>
      </c>
      <c r="S89" s="473" t="s">
        <v>717</v>
      </c>
      <c r="T89" s="474" t="s">
        <v>718</v>
      </c>
      <c r="U89" s="474" t="s">
        <v>719</v>
      </c>
      <c r="V89" s="474" t="s">
        <v>720</v>
      </c>
      <c r="AH89" s="413"/>
    </row>
    <row r="90" spans="2:34" s="131" customFormat="1" ht="15.75" customHeight="1">
      <c r="B90" s="405"/>
      <c r="D90" s="475" t="s">
        <v>523</v>
      </c>
      <c r="E90" s="476">
        <v>74145122129</v>
      </c>
      <c r="F90" s="476">
        <v>44747349274</v>
      </c>
      <c r="G90" s="476">
        <v>28619687710</v>
      </c>
      <c r="H90" s="476">
        <v>22470628547</v>
      </c>
      <c r="I90" s="476">
        <v>19840362906</v>
      </c>
      <c r="J90" s="476">
        <v>14992926054</v>
      </c>
      <c r="K90" s="477">
        <v>204816076620</v>
      </c>
      <c r="L90" s="494">
        <v>949013756052.02002</v>
      </c>
      <c r="M90" s="494" t="s">
        <v>753</v>
      </c>
      <c r="O90" s="478" t="s">
        <v>733</v>
      </c>
      <c r="P90" s="476">
        <v>68528200619</v>
      </c>
      <c r="Q90" s="476">
        <v>42871764768</v>
      </c>
      <c r="R90" s="476">
        <v>24358201502</v>
      </c>
      <c r="S90" s="476">
        <v>22533604085</v>
      </c>
      <c r="T90" s="476">
        <v>18820274088</v>
      </c>
      <c r="U90" s="476">
        <v>12757605742</v>
      </c>
      <c r="V90" s="477">
        <v>189869650804</v>
      </c>
      <c r="AH90" s="413"/>
    </row>
    <row r="91" spans="2:34" s="131" customFormat="1" ht="15.75" customHeight="1">
      <c r="B91" s="405"/>
      <c r="D91" s="475" t="s">
        <v>526</v>
      </c>
      <c r="E91" s="476">
        <v>68935631428</v>
      </c>
      <c r="F91" s="476">
        <v>39507637299</v>
      </c>
      <c r="G91" s="476">
        <v>25013232578</v>
      </c>
      <c r="H91" s="476">
        <v>20414604513</v>
      </c>
      <c r="I91" s="476">
        <v>17564132052</v>
      </c>
      <c r="J91" s="476">
        <v>11259696134</v>
      </c>
      <c r="K91" s="477">
        <v>182694934004</v>
      </c>
      <c r="L91" s="494">
        <v>1453803348051</v>
      </c>
      <c r="M91" s="494" t="s">
        <v>751</v>
      </c>
      <c r="O91" s="478" t="s">
        <v>736</v>
      </c>
      <c r="P91" s="476">
        <v>61059327266</v>
      </c>
      <c r="Q91" s="476">
        <v>38104016373</v>
      </c>
      <c r="R91" s="476">
        <v>18770373220</v>
      </c>
      <c r="S91" s="476">
        <v>19242775792</v>
      </c>
      <c r="T91" s="476">
        <v>17153640550</v>
      </c>
      <c r="U91" s="476">
        <v>10121191664</v>
      </c>
      <c r="V91" s="477">
        <v>164451324865</v>
      </c>
      <c r="AH91" s="413"/>
    </row>
    <row r="92" spans="2:34" s="131" customFormat="1" ht="15.75" customHeight="1">
      <c r="B92" s="405"/>
      <c r="D92" s="475" t="s">
        <v>529</v>
      </c>
      <c r="E92" s="476">
        <v>76454850867</v>
      </c>
      <c r="F92" s="476">
        <v>45042516811</v>
      </c>
      <c r="G92" s="476">
        <v>27622695600</v>
      </c>
      <c r="H92" s="476">
        <v>24141274970</v>
      </c>
      <c r="I92" s="476">
        <v>19239363590</v>
      </c>
      <c r="J92" s="476">
        <v>9390183065</v>
      </c>
      <c r="K92" s="477">
        <v>201890884903</v>
      </c>
      <c r="L92" s="494"/>
      <c r="M92" s="494"/>
      <c r="O92" s="478" t="s">
        <v>739</v>
      </c>
      <c r="P92" s="476">
        <v>70266475239</v>
      </c>
      <c r="Q92" s="476">
        <v>42761003381</v>
      </c>
      <c r="R92" s="476">
        <v>29153870318</v>
      </c>
      <c r="S92" s="476">
        <v>19942136854</v>
      </c>
      <c r="T92" s="476">
        <v>18226497272</v>
      </c>
      <c r="U92" s="476">
        <v>11395935898</v>
      </c>
      <c r="V92" s="477">
        <v>191745918962</v>
      </c>
      <c r="AH92" s="413"/>
    </row>
    <row r="93" spans="2:34" s="131" customFormat="1" ht="15.75" customHeight="1">
      <c r="B93" s="405"/>
      <c r="D93" s="475" t="s">
        <v>532</v>
      </c>
      <c r="E93" s="476">
        <v>72251572015</v>
      </c>
      <c r="F93" s="476">
        <v>43776027587</v>
      </c>
      <c r="G93" s="476">
        <v>27339256358</v>
      </c>
      <c r="H93" s="476">
        <v>22950798690</v>
      </c>
      <c r="I93" s="476">
        <v>18691564639</v>
      </c>
      <c r="J93" s="476">
        <v>12379281138</v>
      </c>
      <c r="K93" s="477">
        <v>197388500427</v>
      </c>
      <c r="L93" s="495">
        <v>484601116017</v>
      </c>
      <c r="M93" s="495" t="s">
        <v>754</v>
      </c>
      <c r="O93" s="478" t="s">
        <v>742</v>
      </c>
      <c r="P93" s="476">
        <v>63888929794.559998</v>
      </c>
      <c r="Q93" s="476">
        <v>38652825585</v>
      </c>
      <c r="R93" s="476">
        <v>27186242583</v>
      </c>
      <c r="S93" s="476">
        <v>22441619432</v>
      </c>
      <c r="T93" s="476">
        <v>18296967181</v>
      </c>
      <c r="U93" s="476">
        <v>12296912093</v>
      </c>
      <c r="V93" s="477">
        <v>182763496668.56</v>
      </c>
      <c r="AH93" s="413"/>
    </row>
    <row r="94" spans="2:34" s="131" customFormat="1" ht="15.75" customHeight="1">
      <c r="B94" s="405"/>
      <c r="D94" s="475" t="s">
        <v>535</v>
      </c>
      <c r="E94" s="476">
        <v>77862473528</v>
      </c>
      <c r="F94" s="476">
        <v>42154138663</v>
      </c>
      <c r="G94" s="476">
        <v>24954845784</v>
      </c>
      <c r="H94" s="476">
        <v>23320556234</v>
      </c>
      <c r="I94" s="476">
        <v>19070036539</v>
      </c>
      <c r="J94" s="476">
        <v>14750423023</v>
      </c>
      <c r="K94" s="477">
        <v>202112473771</v>
      </c>
      <c r="L94" s="494"/>
      <c r="M94" s="494"/>
      <c r="O94" s="478" t="s">
        <v>745</v>
      </c>
      <c r="P94" s="476">
        <v>67813913664</v>
      </c>
      <c r="Q94" s="476">
        <v>42099644235</v>
      </c>
      <c r="R94" s="476">
        <v>23592145492</v>
      </c>
      <c r="S94" s="476">
        <v>23479968600</v>
      </c>
      <c r="T94" s="476">
        <v>18161087767</v>
      </c>
      <c r="U94" s="476">
        <v>13059102938</v>
      </c>
      <c r="V94" s="477">
        <v>188205862696</v>
      </c>
      <c r="AH94" s="413"/>
    </row>
    <row r="95" spans="2:34" s="131" customFormat="1" ht="15.75" customHeight="1">
      <c r="B95" s="405"/>
      <c r="D95" s="475" t="s">
        <v>538</v>
      </c>
      <c r="E95" s="476">
        <v>76257054071</v>
      </c>
      <c r="F95" s="476">
        <v>40247182404</v>
      </c>
      <c r="G95" s="476">
        <v>26708358628</v>
      </c>
      <c r="H95" s="476">
        <v>22679870255</v>
      </c>
      <c r="I95" s="476">
        <v>17200855224</v>
      </c>
      <c r="J95" s="476">
        <v>11687818582</v>
      </c>
      <c r="K95" s="477">
        <v>194781139164</v>
      </c>
      <c r="L95" s="485"/>
      <c r="M95" s="494"/>
      <c r="O95" s="478" t="s">
        <v>748</v>
      </c>
      <c r="P95" s="476">
        <v>63438734426</v>
      </c>
      <c r="Q95" s="476">
        <v>38571076545</v>
      </c>
      <c r="R95" s="476">
        <v>26678051308</v>
      </c>
      <c r="S95" s="476">
        <v>21632744636</v>
      </c>
      <c r="T95" s="476">
        <v>17768750303</v>
      </c>
      <c r="U95" s="476">
        <v>12483811580</v>
      </c>
      <c r="V95" s="477">
        <v>180573168798</v>
      </c>
      <c r="AH95" s="413"/>
    </row>
    <row r="96" spans="2:34" s="131" customFormat="1" ht="15.75" customHeight="1">
      <c r="B96" s="405"/>
      <c r="D96" s="475" t="s">
        <v>541</v>
      </c>
      <c r="E96" s="476">
        <v>77865168121</v>
      </c>
      <c r="F96" s="476">
        <v>38267095100</v>
      </c>
      <c r="G96" s="476">
        <v>25221528267</v>
      </c>
      <c r="H96" s="476">
        <v>23318199657</v>
      </c>
      <c r="I96" s="476">
        <v>19059252389</v>
      </c>
      <c r="J96" s="476">
        <v>12401205323</v>
      </c>
      <c r="K96" s="477">
        <v>196132448857</v>
      </c>
      <c r="L96" s="485"/>
      <c r="M96" s="494"/>
      <c r="O96" s="478" t="s">
        <v>749</v>
      </c>
      <c r="P96" s="476">
        <v>73654139193</v>
      </c>
      <c r="Q96" s="476">
        <v>42620328062</v>
      </c>
      <c r="R96" s="476">
        <v>27954075417</v>
      </c>
      <c r="S96" s="476">
        <v>24097747919</v>
      </c>
      <c r="T96" s="476">
        <v>17016190153</v>
      </c>
      <c r="U96" s="476">
        <v>13392430789</v>
      </c>
      <c r="V96" s="477">
        <v>198734911533</v>
      </c>
      <c r="AH96" s="413"/>
    </row>
    <row r="97" spans="2:34" s="131" customFormat="1" ht="15.75" customHeight="1">
      <c r="B97" s="405"/>
      <c r="D97" s="475" t="s">
        <v>544</v>
      </c>
      <c r="E97" s="476">
        <v>79522703498</v>
      </c>
      <c r="F97" s="476">
        <v>37384413824</v>
      </c>
      <c r="G97" s="476">
        <v>24765485827</v>
      </c>
      <c r="H97" s="476">
        <v>23081422597</v>
      </c>
      <c r="I97" s="476">
        <v>25882864438</v>
      </c>
      <c r="J97" s="476">
        <v>11001712931</v>
      </c>
      <c r="K97" s="477">
        <v>201638603115</v>
      </c>
      <c r="L97" s="485"/>
      <c r="M97" s="494"/>
      <c r="O97" s="478" t="s">
        <v>750</v>
      </c>
      <c r="P97" s="476">
        <v>70845340351</v>
      </c>
      <c r="Q97" s="476">
        <v>43569322773</v>
      </c>
      <c r="R97" s="476">
        <v>27458595100</v>
      </c>
      <c r="S97" s="476">
        <v>23263340954</v>
      </c>
      <c r="T97" s="476">
        <v>17001158609</v>
      </c>
      <c r="U97" s="476">
        <v>12344740620</v>
      </c>
      <c r="V97" s="477">
        <v>194482498407</v>
      </c>
      <c r="AH97" s="413"/>
    </row>
    <row r="98" spans="2:34" s="131" customFormat="1" ht="15.75" customHeight="1">
      <c r="B98" s="405"/>
      <c r="D98" s="475" t="s">
        <v>547</v>
      </c>
      <c r="E98" s="476">
        <v>93681571805</v>
      </c>
      <c r="F98" s="476">
        <v>34557371317</v>
      </c>
      <c r="G98" s="476">
        <v>19494477851</v>
      </c>
      <c r="H98" s="476">
        <v>23550057789</v>
      </c>
      <c r="I98" s="476">
        <v>24150256506</v>
      </c>
      <c r="J98" s="476">
        <v>10161403671</v>
      </c>
      <c r="K98" s="477">
        <v>205595138939</v>
      </c>
      <c r="L98" s="485"/>
      <c r="M98" s="494"/>
      <c r="O98" s="478" t="s">
        <v>721</v>
      </c>
      <c r="P98" s="476">
        <v>68748451512</v>
      </c>
      <c r="Q98" s="476">
        <v>40625158120</v>
      </c>
      <c r="R98" s="476">
        <v>27464457101</v>
      </c>
      <c r="S98" s="476">
        <v>22408250838</v>
      </c>
      <c r="T98" s="476">
        <v>18457788028</v>
      </c>
      <c r="U98" s="476">
        <v>11384146440</v>
      </c>
      <c r="V98" s="477">
        <v>189088252039</v>
      </c>
      <c r="AH98" s="413"/>
    </row>
    <row r="99" spans="2:34" s="131" customFormat="1" ht="15.75" customHeight="1">
      <c r="B99" s="405"/>
      <c r="D99" s="475" t="s">
        <v>550</v>
      </c>
      <c r="E99" s="476">
        <v>79619577720</v>
      </c>
      <c r="F99" s="476">
        <v>41371573675</v>
      </c>
      <c r="G99" s="476">
        <v>17698126534</v>
      </c>
      <c r="H99" s="476">
        <v>25190028511</v>
      </c>
      <c r="I99" s="476">
        <v>24690331292</v>
      </c>
      <c r="J99" s="476">
        <v>12642851241</v>
      </c>
      <c r="K99" s="477">
        <v>201212488973</v>
      </c>
      <c r="L99" s="485"/>
      <c r="M99" s="494"/>
      <c r="O99" s="478" t="s">
        <v>724</v>
      </c>
      <c r="P99" s="476">
        <v>70520721028</v>
      </c>
      <c r="Q99" s="476">
        <v>43650791805</v>
      </c>
      <c r="R99" s="476">
        <v>28277753332</v>
      </c>
      <c r="S99" s="476">
        <v>24246079943</v>
      </c>
      <c r="T99" s="476">
        <v>17115520353</v>
      </c>
      <c r="U99" s="476">
        <v>9728415731</v>
      </c>
      <c r="V99" s="477">
        <v>193539282192</v>
      </c>
      <c r="AH99" s="413"/>
    </row>
    <row r="100" spans="2:34" s="131" customFormat="1" ht="15.75" customHeight="1">
      <c r="B100" s="405"/>
      <c r="D100" s="475" t="s">
        <v>553</v>
      </c>
      <c r="E100" s="476">
        <v>75416203670</v>
      </c>
      <c r="F100" s="476">
        <v>36409473467</v>
      </c>
      <c r="G100" s="476">
        <v>16844127395</v>
      </c>
      <c r="H100" s="476">
        <v>23656171438</v>
      </c>
      <c r="I100" s="476">
        <v>25250531264</v>
      </c>
      <c r="J100" s="476">
        <v>13468225713</v>
      </c>
      <c r="K100" s="477">
        <v>191044732947</v>
      </c>
      <c r="L100" s="485"/>
      <c r="M100" s="494"/>
      <c r="O100" s="478" t="s">
        <v>727</v>
      </c>
      <c r="P100" s="476">
        <v>68457246022</v>
      </c>
      <c r="Q100" s="476">
        <v>43805745871</v>
      </c>
      <c r="R100" s="476">
        <v>25337904430</v>
      </c>
      <c r="S100" s="476">
        <v>23771082792</v>
      </c>
      <c r="T100" s="476">
        <v>17467337158</v>
      </c>
      <c r="U100" s="476">
        <v>8862221411</v>
      </c>
      <c r="V100" s="477">
        <v>187701537684</v>
      </c>
      <c r="AH100" s="413"/>
    </row>
    <row r="101" spans="2:34" s="131" customFormat="1" ht="15.75" customHeight="1">
      <c r="B101" s="405"/>
      <c r="D101" s="475" t="s">
        <v>556</v>
      </c>
      <c r="E101" s="476">
        <v>97001827200.020004</v>
      </c>
      <c r="F101" s="476">
        <v>38504922662</v>
      </c>
      <c r="G101" s="476">
        <v>25118199594</v>
      </c>
      <c r="H101" s="476">
        <v>24893243278</v>
      </c>
      <c r="I101" s="476">
        <v>25437623982</v>
      </c>
      <c r="J101" s="476">
        <v>12553865667</v>
      </c>
      <c r="K101" s="477">
        <v>223509682383.01999</v>
      </c>
      <c r="L101" s="485"/>
      <c r="M101" s="494"/>
      <c r="O101" s="478" t="s">
        <v>730</v>
      </c>
      <c r="P101" s="476">
        <v>72412331182</v>
      </c>
      <c r="Q101" s="476">
        <v>46579901695</v>
      </c>
      <c r="R101" s="476">
        <v>29689685890</v>
      </c>
      <c r="S101" s="476">
        <v>24031748250</v>
      </c>
      <c r="T101" s="476">
        <v>21154827181</v>
      </c>
      <c r="U101" s="476">
        <v>13885456566</v>
      </c>
      <c r="V101" s="477">
        <v>207753950764</v>
      </c>
      <c r="AH101" s="413"/>
    </row>
    <row r="102" spans="2:34" s="131" customFormat="1" ht="15.75" customHeight="1">
      <c r="B102" s="405"/>
      <c r="D102" s="487" t="s">
        <v>557</v>
      </c>
      <c r="E102" s="488">
        <v>949013756052.02002</v>
      </c>
      <c r="F102" s="488">
        <v>481969702083</v>
      </c>
      <c r="G102" s="488">
        <v>289400022126</v>
      </c>
      <c r="H102" s="488">
        <v>279666856479</v>
      </c>
      <c r="I102" s="488">
        <v>256077174821</v>
      </c>
      <c r="J102" s="488">
        <v>146689592542</v>
      </c>
      <c r="K102" s="488">
        <v>2402817104103.02</v>
      </c>
      <c r="L102" s="485"/>
      <c r="M102" s="486"/>
      <c r="O102" s="489" t="s">
        <v>557</v>
      </c>
      <c r="P102" s="488">
        <v>819633810296.56006</v>
      </c>
      <c r="Q102" s="488">
        <v>503911579213</v>
      </c>
      <c r="R102" s="488">
        <v>315921355693</v>
      </c>
      <c r="S102" s="488">
        <v>271091100095</v>
      </c>
      <c r="T102" s="488">
        <v>216640038643</v>
      </c>
      <c r="U102" s="488">
        <v>141711971472</v>
      </c>
      <c r="V102" s="488">
        <v>2268909855412.5601</v>
      </c>
      <c r="AH102" s="413"/>
    </row>
    <row r="103" spans="2:34" s="131" customFormat="1" ht="15.75" customHeight="1">
      <c r="B103" s="405"/>
      <c r="D103" s="470"/>
      <c r="E103" s="496"/>
      <c r="F103" s="496"/>
      <c r="G103" s="496"/>
      <c r="H103" s="496"/>
      <c r="I103" s="496"/>
      <c r="J103" s="496"/>
      <c r="K103" s="470"/>
      <c r="L103" s="486"/>
      <c r="M103" s="486"/>
      <c r="O103" s="491"/>
      <c r="P103" s="496"/>
      <c r="Q103" s="496"/>
      <c r="R103" s="496"/>
      <c r="S103" s="496"/>
      <c r="T103" s="496"/>
      <c r="U103" s="496"/>
      <c r="V103" s="491"/>
      <c r="AH103" s="413"/>
    </row>
    <row r="104" spans="2:34" s="131" customFormat="1" ht="15.75" customHeight="1">
      <c r="B104" s="405"/>
      <c r="D104" s="470"/>
      <c r="E104" s="470"/>
      <c r="F104" s="497"/>
      <c r="G104" s="497"/>
      <c r="H104" s="497"/>
      <c r="I104" s="497"/>
      <c r="J104" s="497"/>
      <c r="K104" s="470"/>
      <c r="L104" s="486"/>
      <c r="M104" s="486"/>
      <c r="O104" s="491"/>
      <c r="P104" s="491"/>
      <c r="Q104" s="498"/>
      <c r="R104" s="498"/>
      <c r="S104" s="498"/>
      <c r="T104" s="498"/>
      <c r="U104" s="498"/>
      <c r="V104" s="491"/>
      <c r="AH104" s="413"/>
    </row>
    <row r="105" spans="2:34" s="131" customFormat="1" ht="15.75" customHeight="1">
      <c r="B105" s="405"/>
      <c r="D105" s="499" t="s">
        <v>323</v>
      </c>
      <c r="E105" s="499" t="s">
        <v>755</v>
      </c>
      <c r="F105" s="470"/>
      <c r="G105" s="497"/>
      <c r="H105" s="490"/>
      <c r="I105" s="490"/>
      <c r="J105" s="490"/>
      <c r="K105" s="490"/>
      <c r="L105" s="486"/>
      <c r="M105" s="486"/>
      <c r="O105" s="500" t="s">
        <v>323</v>
      </c>
      <c r="P105" s="500" t="s">
        <v>755</v>
      </c>
      <c r="Q105" s="491"/>
      <c r="R105" s="498"/>
      <c r="S105" s="492"/>
      <c r="T105" s="492"/>
      <c r="U105" s="492"/>
      <c r="V105" s="492"/>
      <c r="AH105" s="413"/>
    </row>
    <row r="106" spans="2:34" s="131" customFormat="1" ht="15.75" customHeight="1">
      <c r="B106" s="405"/>
      <c r="D106" s="475" t="s">
        <v>523</v>
      </c>
      <c r="E106" s="475">
        <v>31</v>
      </c>
      <c r="F106" s="470"/>
      <c r="G106" s="470"/>
      <c r="H106" s="490"/>
      <c r="I106" s="490"/>
      <c r="J106" s="490"/>
      <c r="K106" s="490"/>
      <c r="L106" s="486"/>
      <c r="M106" s="486"/>
      <c r="O106" s="478" t="s">
        <v>733</v>
      </c>
      <c r="P106" s="478">
        <v>31</v>
      </c>
      <c r="Q106" s="491"/>
      <c r="R106" s="491"/>
      <c r="S106" s="492"/>
      <c r="T106" s="492"/>
      <c r="U106" s="492"/>
      <c r="V106" s="492"/>
      <c r="AH106" s="413"/>
    </row>
    <row r="107" spans="2:34" s="131" customFormat="1" ht="15.75" customHeight="1">
      <c r="B107" s="405"/>
      <c r="D107" s="475" t="s">
        <v>526</v>
      </c>
      <c r="E107" s="475">
        <v>28</v>
      </c>
      <c r="F107" s="470"/>
      <c r="G107" s="470"/>
      <c r="H107" s="490"/>
      <c r="I107" s="490"/>
      <c r="J107" s="490"/>
      <c r="K107" s="490"/>
      <c r="L107" s="486"/>
      <c r="M107" s="486"/>
      <c r="O107" s="478" t="s">
        <v>736</v>
      </c>
      <c r="P107" s="478">
        <v>28</v>
      </c>
      <c r="Q107" s="491"/>
      <c r="R107" s="491"/>
      <c r="S107" s="492"/>
      <c r="T107" s="492"/>
      <c r="U107" s="492"/>
      <c r="V107" s="492"/>
      <c r="AH107" s="413"/>
    </row>
    <row r="108" spans="2:34" s="131" customFormat="1" ht="15.75" customHeight="1">
      <c r="B108" s="405"/>
      <c r="D108" s="475" t="s">
        <v>529</v>
      </c>
      <c r="E108" s="475">
        <v>31</v>
      </c>
      <c r="F108" s="470"/>
      <c r="G108" s="470"/>
      <c r="H108" s="470"/>
      <c r="I108" s="490"/>
      <c r="J108" s="470"/>
      <c r="K108" s="470"/>
      <c r="L108" s="486"/>
      <c r="M108" s="486"/>
      <c r="O108" s="478" t="s">
        <v>739</v>
      </c>
      <c r="P108" s="478">
        <v>31</v>
      </c>
      <c r="Q108" s="491"/>
      <c r="R108" s="491"/>
      <c r="S108" s="491"/>
      <c r="T108" s="492"/>
      <c r="U108" s="491"/>
      <c r="V108" s="491"/>
      <c r="AH108" s="413"/>
    </row>
    <row r="109" spans="2:34" s="131" customFormat="1" ht="15.75" customHeight="1">
      <c r="B109" s="405"/>
      <c r="D109" s="475" t="s">
        <v>532</v>
      </c>
      <c r="E109" s="475">
        <v>30</v>
      </c>
      <c r="F109" s="470"/>
      <c r="G109" s="470"/>
      <c r="H109" s="470"/>
      <c r="I109" s="470"/>
      <c r="J109" s="470"/>
      <c r="K109" s="470"/>
      <c r="L109" s="486"/>
      <c r="M109" s="486"/>
      <c r="O109" s="478" t="s">
        <v>742</v>
      </c>
      <c r="P109" s="478">
        <v>30</v>
      </c>
      <c r="Q109" s="491"/>
      <c r="R109" s="491"/>
      <c r="S109" s="491"/>
      <c r="T109" s="491"/>
      <c r="U109" s="491"/>
      <c r="V109" s="491"/>
      <c r="AH109" s="413"/>
    </row>
    <row r="110" spans="2:34" s="131" customFormat="1" ht="15.75" customHeight="1">
      <c r="B110" s="405"/>
      <c r="D110" s="475" t="s">
        <v>535</v>
      </c>
      <c r="E110" s="475">
        <v>31</v>
      </c>
      <c r="F110" s="470"/>
      <c r="G110" s="470"/>
      <c r="H110" s="470"/>
      <c r="I110" s="470"/>
      <c r="J110" s="470"/>
      <c r="K110" s="470"/>
      <c r="L110" s="486"/>
      <c r="M110" s="486"/>
      <c r="O110" s="478" t="s">
        <v>745</v>
      </c>
      <c r="P110" s="478">
        <v>31</v>
      </c>
      <c r="Q110" s="491"/>
      <c r="R110" s="491"/>
      <c r="S110" s="491"/>
      <c r="T110" s="491"/>
      <c r="U110" s="491"/>
      <c r="V110" s="491"/>
      <c r="AH110" s="413"/>
    </row>
    <row r="111" spans="2:34" s="131" customFormat="1" ht="15.75" customHeight="1">
      <c r="B111" s="405"/>
      <c r="D111" s="475" t="s">
        <v>538</v>
      </c>
      <c r="E111" s="475">
        <v>30</v>
      </c>
      <c r="F111" s="470"/>
      <c r="G111" s="470"/>
      <c r="H111" s="470"/>
      <c r="I111" s="470"/>
      <c r="J111" s="470"/>
      <c r="K111" s="470"/>
      <c r="L111" s="486"/>
      <c r="M111" s="486"/>
      <c r="O111" s="478" t="s">
        <v>748</v>
      </c>
      <c r="P111" s="478">
        <v>30</v>
      </c>
      <c r="Q111" s="491"/>
      <c r="R111" s="491"/>
      <c r="S111" s="491"/>
      <c r="T111" s="491"/>
      <c r="U111" s="491"/>
      <c r="V111" s="491"/>
      <c r="AH111" s="413"/>
    </row>
    <row r="112" spans="2:34" s="131" customFormat="1" ht="15.75" customHeight="1">
      <c r="B112" s="405"/>
      <c r="D112" s="475" t="s">
        <v>541</v>
      </c>
      <c r="E112" s="475">
        <v>31</v>
      </c>
      <c r="F112" s="470"/>
      <c r="G112" s="470"/>
      <c r="H112" s="470"/>
      <c r="I112" s="470"/>
      <c r="J112" s="470"/>
      <c r="K112" s="470"/>
      <c r="L112" s="486"/>
      <c r="M112" s="486"/>
      <c r="O112" s="478" t="s">
        <v>749</v>
      </c>
      <c r="P112" s="478">
        <v>31</v>
      </c>
      <c r="Q112" s="491"/>
      <c r="R112" s="491"/>
      <c r="S112" s="491"/>
      <c r="T112" s="491"/>
      <c r="U112" s="491"/>
      <c r="V112" s="491"/>
      <c r="AH112" s="413"/>
    </row>
    <row r="113" spans="2:34" s="131" customFormat="1" ht="15.75" customHeight="1">
      <c r="B113" s="405"/>
      <c r="D113" s="475" t="s">
        <v>544</v>
      </c>
      <c r="E113" s="475">
        <v>31</v>
      </c>
      <c r="F113" s="470"/>
      <c r="G113" s="470"/>
      <c r="H113" s="470"/>
      <c r="I113" s="470"/>
      <c r="J113" s="470"/>
      <c r="K113" s="470"/>
      <c r="L113" s="486"/>
      <c r="M113" s="486"/>
      <c r="O113" s="478" t="s">
        <v>750</v>
      </c>
      <c r="P113" s="478">
        <v>31</v>
      </c>
      <c r="Q113" s="491"/>
      <c r="R113" s="491"/>
      <c r="S113" s="491"/>
      <c r="T113" s="491"/>
      <c r="U113" s="491"/>
      <c r="V113" s="491"/>
      <c r="AH113" s="413"/>
    </row>
    <row r="114" spans="2:34" s="131" customFormat="1" ht="15.75" customHeight="1">
      <c r="B114" s="405"/>
      <c r="D114" s="475" t="s">
        <v>547</v>
      </c>
      <c r="E114" s="475">
        <v>30</v>
      </c>
      <c r="F114" s="470"/>
      <c r="G114" s="470"/>
      <c r="H114" s="470"/>
      <c r="I114" s="470"/>
      <c r="J114" s="470"/>
      <c r="K114" s="470"/>
      <c r="L114" s="486"/>
      <c r="M114" s="486"/>
      <c r="O114" s="478" t="s">
        <v>721</v>
      </c>
      <c r="P114" s="478">
        <v>30</v>
      </c>
      <c r="Q114" s="491"/>
      <c r="R114" s="491"/>
      <c r="S114" s="491"/>
      <c r="T114" s="491"/>
      <c r="U114" s="491"/>
      <c r="V114" s="491"/>
      <c r="AH114" s="413"/>
    </row>
    <row r="115" spans="2:34" s="131" customFormat="1" ht="15.75" customHeight="1">
      <c r="B115" s="405"/>
      <c r="D115" s="475" t="s">
        <v>550</v>
      </c>
      <c r="E115" s="475">
        <v>31</v>
      </c>
      <c r="F115" s="470"/>
      <c r="G115" s="470"/>
      <c r="H115" s="470"/>
      <c r="I115" s="470"/>
      <c r="J115" s="470"/>
      <c r="K115" s="470"/>
      <c r="L115" s="486"/>
      <c r="M115" s="486"/>
      <c r="O115" s="478" t="s">
        <v>724</v>
      </c>
      <c r="P115" s="478">
        <v>31</v>
      </c>
      <c r="Q115" s="491"/>
      <c r="R115" s="491"/>
      <c r="S115" s="491"/>
      <c r="T115" s="491"/>
      <c r="U115" s="491"/>
      <c r="V115" s="491"/>
      <c r="AH115" s="413"/>
    </row>
    <row r="116" spans="2:34" s="131" customFormat="1" ht="15.75" customHeight="1">
      <c r="B116" s="405"/>
      <c r="D116" s="475" t="s">
        <v>553</v>
      </c>
      <c r="E116" s="475">
        <v>30</v>
      </c>
      <c r="F116" s="470"/>
      <c r="G116" s="470"/>
      <c r="H116" s="470"/>
      <c r="I116" s="470"/>
      <c r="J116" s="470"/>
      <c r="K116" s="470"/>
      <c r="O116" s="478" t="s">
        <v>727</v>
      </c>
      <c r="P116" s="478">
        <v>30</v>
      </c>
      <c r="Q116" s="491"/>
      <c r="R116" s="491"/>
      <c r="S116" s="491"/>
      <c r="T116" s="491"/>
      <c r="U116" s="491"/>
      <c r="V116" s="491"/>
      <c r="AH116" s="413"/>
    </row>
    <row r="117" spans="2:34" s="131" customFormat="1" ht="15.75" customHeight="1">
      <c r="B117" s="405"/>
      <c r="D117" s="475" t="s">
        <v>556</v>
      </c>
      <c r="E117" s="475">
        <v>31</v>
      </c>
      <c r="F117" s="470"/>
      <c r="G117" s="470"/>
      <c r="H117" s="470"/>
      <c r="I117" s="470"/>
      <c r="J117" s="470"/>
      <c r="K117" s="470"/>
      <c r="O117" s="478" t="s">
        <v>730</v>
      </c>
      <c r="P117" s="478">
        <v>31</v>
      </c>
      <c r="Q117" s="491"/>
      <c r="R117" s="491"/>
      <c r="S117" s="491"/>
      <c r="T117" s="491"/>
      <c r="U117" s="491"/>
      <c r="V117" s="491"/>
      <c r="AH117" s="413"/>
    </row>
    <row r="118" spans="2:34" s="131" customFormat="1" ht="15.75" customHeight="1">
      <c r="B118" s="405"/>
      <c r="D118" s="487" t="s">
        <v>557</v>
      </c>
      <c r="E118" s="501">
        <v>365</v>
      </c>
      <c r="F118" s="470"/>
      <c r="G118" s="470"/>
      <c r="H118" s="470"/>
      <c r="I118" s="470"/>
      <c r="J118" s="470"/>
      <c r="K118" s="470"/>
      <c r="O118" s="489" t="s">
        <v>557</v>
      </c>
      <c r="P118" s="502">
        <v>365</v>
      </c>
      <c r="Q118" s="491"/>
      <c r="R118" s="491"/>
      <c r="S118" s="491"/>
      <c r="T118" s="491"/>
      <c r="U118" s="491"/>
      <c r="V118" s="491"/>
      <c r="AH118" s="413"/>
    </row>
    <row r="119" spans="2:34" s="131" customFormat="1" ht="15.75" customHeight="1">
      <c r="B119" s="405"/>
      <c r="D119" s="470"/>
      <c r="E119" s="470"/>
      <c r="F119" s="470"/>
      <c r="G119" s="470"/>
      <c r="H119" s="470"/>
      <c r="I119" s="470"/>
      <c r="J119" s="470"/>
      <c r="K119" s="470"/>
      <c r="O119" s="491"/>
      <c r="P119" s="491"/>
      <c r="Q119" s="491"/>
      <c r="R119" s="491"/>
      <c r="S119" s="491"/>
      <c r="T119" s="491"/>
      <c r="U119" s="491"/>
      <c r="V119" s="491"/>
      <c r="AH119" s="413"/>
    </row>
    <row r="120" spans="2:34" s="131" customFormat="1" ht="15.75" customHeight="1">
      <c r="B120" s="405"/>
      <c r="D120" s="470" t="s">
        <v>756</v>
      </c>
      <c r="E120" s="470"/>
      <c r="F120" s="470"/>
      <c r="G120" s="470"/>
      <c r="H120" s="470"/>
      <c r="I120" s="470"/>
      <c r="J120" s="470"/>
      <c r="K120" s="470"/>
      <c r="O120" s="491" t="s">
        <v>756</v>
      </c>
      <c r="P120" s="491"/>
      <c r="Q120" s="491"/>
      <c r="R120" s="491"/>
      <c r="S120" s="491"/>
      <c r="T120" s="491"/>
      <c r="U120" s="491"/>
      <c r="V120" s="491"/>
      <c r="AH120" s="413"/>
    </row>
    <row r="121" spans="2:34" s="131" customFormat="1" ht="15.75" customHeight="1">
      <c r="B121" s="405"/>
      <c r="D121" s="470" t="s">
        <v>517</v>
      </c>
      <c r="E121" s="503">
        <v>434231168673.02002</v>
      </c>
      <c r="F121" s="1650" t="s">
        <v>757</v>
      </c>
      <c r="G121" s="470"/>
      <c r="H121" s="470"/>
      <c r="I121" s="470"/>
      <c r="J121" s="470"/>
      <c r="K121" s="470"/>
      <c r="O121" s="491" t="s">
        <v>517</v>
      </c>
      <c r="P121" s="504">
        <v>414169847240</v>
      </c>
      <c r="Q121" s="1651" t="s">
        <v>757</v>
      </c>
      <c r="R121" s="491"/>
      <c r="S121" s="491"/>
      <c r="T121" s="491"/>
      <c r="U121" s="491"/>
      <c r="V121" s="491"/>
      <c r="AH121" s="413"/>
    </row>
    <row r="122" spans="2:34" s="131" customFormat="1" ht="15.75" customHeight="1">
      <c r="B122" s="405"/>
      <c r="D122" s="470" t="s">
        <v>758</v>
      </c>
      <c r="E122" s="497">
        <v>2402817104103.02</v>
      </c>
      <c r="F122" s="1650"/>
      <c r="G122" s="470"/>
      <c r="H122" s="470"/>
      <c r="I122" s="470"/>
      <c r="J122" s="470"/>
      <c r="K122" s="470"/>
      <c r="O122" s="491" t="s">
        <v>758</v>
      </c>
      <c r="P122" s="498">
        <v>2268909855412.5601</v>
      </c>
      <c r="Q122" s="1651"/>
      <c r="R122" s="491"/>
      <c r="S122" s="491"/>
      <c r="T122" s="491"/>
      <c r="U122" s="491"/>
      <c r="V122" s="491"/>
      <c r="AH122" s="413"/>
    </row>
    <row r="123" spans="2:34" s="131" customFormat="1" ht="15.75" customHeight="1">
      <c r="B123" s="405"/>
      <c r="D123" s="470"/>
      <c r="E123" s="470"/>
      <c r="F123" s="470"/>
      <c r="G123" s="470"/>
      <c r="H123" s="470"/>
      <c r="I123" s="470"/>
      <c r="J123" s="470"/>
      <c r="K123" s="470"/>
      <c r="O123" s="491"/>
      <c r="P123" s="491"/>
      <c r="Q123" s="491"/>
      <c r="R123" s="491"/>
      <c r="S123" s="491"/>
      <c r="T123" s="491"/>
      <c r="U123" s="491"/>
      <c r="V123" s="491"/>
      <c r="AH123" s="413"/>
    </row>
    <row r="124" spans="2:34" s="131" customFormat="1" ht="15.75" customHeight="1">
      <c r="B124" s="405"/>
      <c r="D124" s="470"/>
      <c r="E124" s="505" t="s">
        <v>759</v>
      </c>
      <c r="F124" s="506">
        <v>65.961897930145994</v>
      </c>
      <c r="G124" s="470" t="s">
        <v>760</v>
      </c>
      <c r="H124" s="470"/>
      <c r="I124" s="470"/>
      <c r="J124" s="470"/>
      <c r="K124" s="470"/>
      <c r="O124" s="491"/>
      <c r="P124" s="507" t="s">
        <v>759</v>
      </c>
      <c r="Q124" s="508">
        <v>66.627589404653605</v>
      </c>
      <c r="R124" s="491" t="s">
        <v>760</v>
      </c>
      <c r="S124" s="491"/>
      <c r="T124" s="491"/>
      <c r="U124" s="491"/>
      <c r="V124" s="491"/>
      <c r="AH124" s="413"/>
    </row>
    <row r="125" spans="2:34" s="131" customFormat="1" ht="15.75" customHeight="1">
      <c r="B125" s="405"/>
      <c r="D125" s="470"/>
      <c r="E125" s="470"/>
      <c r="F125" s="470"/>
      <c r="G125" s="470"/>
      <c r="H125" s="470"/>
      <c r="I125" s="470"/>
      <c r="J125" s="470"/>
      <c r="K125" s="470"/>
      <c r="O125" s="491"/>
      <c r="P125" s="491"/>
      <c r="Q125" s="491"/>
      <c r="R125" s="491"/>
      <c r="S125" s="491"/>
      <c r="T125" s="491"/>
      <c r="U125" s="491"/>
      <c r="V125" s="491"/>
      <c r="AH125" s="413"/>
    </row>
    <row r="126" spans="2:34" s="131" customFormat="1" ht="15.75" customHeight="1">
      <c r="B126" s="405"/>
      <c r="D126" s="470"/>
      <c r="E126" s="470"/>
      <c r="F126" s="470"/>
      <c r="G126" s="470"/>
      <c r="H126" s="470"/>
      <c r="I126" s="470"/>
      <c r="J126" s="470"/>
      <c r="K126" s="470"/>
      <c r="O126" s="491"/>
      <c r="P126" s="491"/>
      <c r="Q126" s="491"/>
      <c r="R126" s="491"/>
      <c r="S126" s="491"/>
      <c r="T126" s="491"/>
      <c r="U126" s="491"/>
      <c r="V126" s="491"/>
      <c r="AH126" s="413"/>
    </row>
    <row r="127" spans="2:34" s="131" customFormat="1" ht="15.75" customHeight="1">
      <c r="B127" s="405"/>
      <c r="D127" s="470" t="s">
        <v>761</v>
      </c>
      <c r="E127" s="470"/>
      <c r="F127" s="470"/>
      <c r="G127" s="470"/>
      <c r="H127" s="486"/>
      <c r="I127" s="486"/>
      <c r="J127" s="486"/>
      <c r="K127" s="486"/>
      <c r="O127" s="491" t="s">
        <v>761</v>
      </c>
      <c r="P127" s="491"/>
      <c r="Q127" s="491"/>
      <c r="R127" s="491"/>
      <c r="S127" s="509"/>
      <c r="T127" s="509"/>
      <c r="U127" s="509"/>
      <c r="V127" s="509"/>
      <c r="AH127" s="413"/>
    </row>
    <row r="128" spans="2:34" s="131" customFormat="1" ht="15.75" customHeight="1">
      <c r="B128" s="405"/>
      <c r="D128" s="470" t="s">
        <v>517</v>
      </c>
      <c r="E128" s="503">
        <v>337229341473</v>
      </c>
      <c r="F128" s="1650" t="s">
        <v>757</v>
      </c>
      <c r="G128" s="470"/>
      <c r="H128" s="486"/>
      <c r="I128" s="486"/>
      <c r="J128" s="486"/>
      <c r="K128" s="486"/>
      <c r="O128" s="491" t="s">
        <v>517</v>
      </c>
      <c r="P128" s="504">
        <v>341757516058</v>
      </c>
      <c r="Q128" s="1651" t="s">
        <v>757</v>
      </c>
      <c r="R128" s="491"/>
      <c r="S128" s="509"/>
      <c r="T128" s="509"/>
      <c r="U128" s="509"/>
      <c r="V128" s="509"/>
      <c r="AH128" s="413"/>
    </row>
    <row r="129" spans="2:34" s="131" customFormat="1" ht="15.75" customHeight="1">
      <c r="B129" s="405"/>
      <c r="D129" s="470" t="s">
        <v>758</v>
      </c>
      <c r="E129" s="497">
        <v>1453803348051</v>
      </c>
      <c r="F129" s="1650"/>
      <c r="G129" s="470"/>
      <c r="H129" s="486"/>
      <c r="I129" s="486"/>
      <c r="J129" s="486"/>
      <c r="K129" s="486"/>
      <c r="O129" s="491" t="s">
        <v>758</v>
      </c>
      <c r="P129" s="498">
        <v>1449276045116</v>
      </c>
      <c r="Q129" s="1651"/>
      <c r="R129" s="491"/>
      <c r="S129" s="509"/>
      <c r="T129" s="509"/>
      <c r="U129" s="509"/>
      <c r="V129" s="509"/>
      <c r="AH129" s="413"/>
    </row>
    <row r="130" spans="2:34" s="131" customFormat="1" ht="15.75" customHeight="1">
      <c r="B130" s="405"/>
      <c r="D130" s="470"/>
      <c r="E130" s="496"/>
      <c r="F130" s="470"/>
      <c r="G130" s="470"/>
      <c r="H130" s="486"/>
      <c r="I130" s="486"/>
      <c r="J130" s="486"/>
      <c r="K130" s="486"/>
      <c r="O130" s="491"/>
      <c r="P130" s="491"/>
      <c r="Q130" s="491"/>
      <c r="R130" s="491"/>
      <c r="S130" s="509"/>
      <c r="T130" s="509"/>
      <c r="U130" s="509"/>
      <c r="V130" s="509"/>
      <c r="AH130" s="413"/>
    </row>
    <row r="131" spans="2:34" s="131" customFormat="1" ht="15.75" customHeight="1">
      <c r="B131" s="405"/>
      <c r="D131" s="470"/>
      <c r="E131" s="505" t="s">
        <v>759</v>
      </c>
      <c r="F131" s="506">
        <v>84.6666846672628</v>
      </c>
      <c r="G131" s="470" t="s">
        <v>760</v>
      </c>
      <c r="H131" s="486"/>
      <c r="I131" s="486"/>
      <c r="J131" s="486"/>
      <c r="K131" s="486"/>
      <c r="O131" s="491"/>
      <c r="P131" s="507" t="s">
        <v>759</v>
      </c>
      <c r="Q131" s="508">
        <v>86.071589868295703</v>
      </c>
      <c r="R131" s="491" t="s">
        <v>760</v>
      </c>
      <c r="S131" s="509"/>
      <c r="T131" s="509"/>
      <c r="U131" s="509"/>
      <c r="V131" s="509"/>
      <c r="AH131" s="413"/>
    </row>
    <row r="132" spans="2:34" s="131" customFormat="1" ht="15.75" customHeight="1">
      <c r="B132" s="405"/>
      <c r="AH132" s="413"/>
    </row>
    <row r="133" spans="2:34" s="131" customFormat="1" ht="15.75" customHeight="1">
      <c r="B133" s="405"/>
      <c r="AH133" s="413"/>
    </row>
    <row r="134" spans="2:34" s="131" customFormat="1" ht="15.75" customHeight="1">
      <c r="B134" s="405"/>
      <c r="D134" s="470" t="s">
        <v>762</v>
      </c>
      <c r="E134" s="470"/>
      <c r="F134" s="470"/>
      <c r="G134" s="470"/>
      <c r="O134" s="491" t="s">
        <v>762</v>
      </c>
      <c r="P134" s="491"/>
      <c r="Q134" s="491"/>
      <c r="R134" s="491"/>
      <c r="AH134" s="413"/>
    </row>
    <row r="135" spans="2:34" s="131" customFormat="1" ht="15.75" customHeight="1">
      <c r="B135" s="405"/>
      <c r="D135" s="470" t="s">
        <v>517</v>
      </c>
      <c r="E135" s="503">
        <v>97001827200.020004</v>
      </c>
      <c r="F135" s="1650" t="s">
        <v>757</v>
      </c>
      <c r="G135" s="470"/>
      <c r="O135" s="491" t="s">
        <v>517</v>
      </c>
      <c r="P135" s="504">
        <v>72412331182</v>
      </c>
      <c r="Q135" s="1651" t="s">
        <v>757</v>
      </c>
      <c r="R135" s="491"/>
      <c r="AH135" s="413"/>
    </row>
    <row r="136" spans="2:34" s="131" customFormat="1" ht="15.75" customHeight="1">
      <c r="B136" s="405"/>
      <c r="D136" s="470" t="s">
        <v>758</v>
      </c>
      <c r="E136" s="497">
        <v>949013756052.02002</v>
      </c>
      <c r="F136" s="1650"/>
      <c r="G136" s="470"/>
      <c r="O136" s="491" t="s">
        <v>758</v>
      </c>
      <c r="P136" s="498">
        <v>819633810296.56006</v>
      </c>
      <c r="Q136" s="1651"/>
      <c r="R136" s="491"/>
      <c r="AH136" s="413"/>
    </row>
    <row r="137" spans="2:34" s="131" customFormat="1" ht="15.75" customHeight="1">
      <c r="B137" s="405"/>
      <c r="D137" s="470"/>
      <c r="E137" s="470"/>
      <c r="F137" s="470"/>
      <c r="G137" s="470"/>
      <c r="M137" s="510"/>
      <c r="N137" s="511" t="s">
        <v>759</v>
      </c>
      <c r="O137" s="491"/>
      <c r="P137" s="491"/>
      <c r="Q137" s="491"/>
      <c r="R137" s="491"/>
      <c r="V137" s="510"/>
      <c r="W137" s="510"/>
      <c r="X137" s="510"/>
      <c r="Y137" s="510"/>
      <c r="AH137" s="413"/>
    </row>
    <row r="138" spans="2:34" s="131" customFormat="1" ht="15.75" customHeight="1">
      <c r="B138" s="405"/>
      <c r="D138" s="470"/>
      <c r="E138" s="505" t="s">
        <v>759</v>
      </c>
      <c r="F138" s="506">
        <v>37.307854287906203</v>
      </c>
      <c r="G138" s="470" t="s">
        <v>760</v>
      </c>
      <c r="O138" s="491"/>
      <c r="P138" s="507" t="s">
        <v>759</v>
      </c>
      <c r="Q138" s="508">
        <v>32.246718655818903</v>
      </c>
      <c r="R138" s="491" t="s">
        <v>760</v>
      </c>
      <c r="V138" s="510"/>
      <c r="W138" s="511" t="s">
        <v>759</v>
      </c>
      <c r="X138" s="512">
        <v>31.3431463478721</v>
      </c>
      <c r="Y138" s="510" t="s">
        <v>760</v>
      </c>
      <c r="AH138" s="413"/>
    </row>
    <row r="139" spans="2:34" s="131" customFormat="1" ht="15.75" customHeight="1">
      <c r="B139" s="405"/>
      <c r="D139" s="470"/>
      <c r="E139" s="470"/>
      <c r="F139" s="506"/>
      <c r="G139" s="470"/>
      <c r="O139" s="491"/>
      <c r="P139" s="491"/>
      <c r="Q139" s="508"/>
      <c r="R139" s="491"/>
      <c r="V139" s="510"/>
      <c r="W139" s="510"/>
      <c r="X139" s="512"/>
      <c r="Y139" s="510"/>
      <c r="AH139" s="413"/>
    </row>
    <row r="140" spans="2:34" s="131" customFormat="1" ht="15.75" customHeight="1">
      <c r="B140" s="405"/>
      <c r="D140" s="513"/>
      <c r="E140" s="514">
        <f>L93</f>
        <v>484601116017</v>
      </c>
      <c r="F140" s="515" t="s">
        <v>763</v>
      </c>
      <c r="G140" s="470"/>
      <c r="O140" s="491"/>
      <c r="P140" s="491"/>
      <c r="Q140" s="508"/>
      <c r="R140" s="491"/>
      <c r="V140" s="510"/>
      <c r="W140" s="510"/>
      <c r="X140" s="512"/>
      <c r="Y140" s="510"/>
      <c r="AH140" s="413"/>
    </row>
    <row r="141" spans="2:34" s="131" customFormat="1" ht="15.75" customHeight="1">
      <c r="B141" s="405"/>
      <c r="D141" s="131" t="s">
        <v>764</v>
      </c>
      <c r="AH141" s="413"/>
    </row>
    <row r="142" spans="2:34" s="131" customFormat="1" ht="15.75" customHeight="1">
      <c r="B142" s="405"/>
      <c r="D142" s="131" t="s">
        <v>709</v>
      </c>
      <c r="AH142" s="413"/>
    </row>
    <row r="143" spans="2:34" s="131" customFormat="1" ht="15.75" customHeight="1">
      <c r="B143" s="405"/>
      <c r="AH143" s="413"/>
    </row>
    <row r="144" spans="2:34" s="131" customFormat="1" ht="15.75" customHeight="1">
      <c r="B144" s="405"/>
      <c r="AH144" s="413"/>
    </row>
    <row r="145" spans="2:34" s="131" customFormat="1" ht="15.75" customHeight="1">
      <c r="B145" s="405"/>
      <c r="C145" s="83" t="s">
        <v>765</v>
      </c>
      <c r="AH145" s="413"/>
    </row>
    <row r="146" spans="2:34" s="131" customFormat="1" ht="15.75" customHeight="1">
      <c r="B146" s="405"/>
      <c r="C146" s="516"/>
      <c r="D146" s="517"/>
      <c r="E146" s="518"/>
      <c r="F146" s="518"/>
      <c r="G146" s="518"/>
      <c r="H146" s="518"/>
      <c r="I146" s="518"/>
      <c r="J146" s="518"/>
      <c r="K146" s="518"/>
      <c r="L146" s="518"/>
      <c r="M146" s="518"/>
      <c r="N146" s="518"/>
      <c r="O146" s="518"/>
      <c r="P146" s="518"/>
      <c r="AH146" s="413"/>
    </row>
    <row r="147" spans="2:34" s="131" customFormat="1" ht="15.75" customHeight="1">
      <c r="B147" s="405"/>
      <c r="C147" s="518"/>
      <c r="D147" s="518"/>
      <c r="E147" s="518"/>
      <c r="F147" s="518"/>
      <c r="G147" s="518"/>
      <c r="H147" s="518"/>
      <c r="I147" s="518"/>
      <c r="J147" s="518"/>
      <c r="K147" s="518"/>
      <c r="L147" s="518"/>
      <c r="M147" s="518"/>
      <c r="N147" s="518"/>
      <c r="O147" s="518"/>
      <c r="P147" s="518"/>
      <c r="AH147" s="413"/>
    </row>
    <row r="148" spans="2:34" s="131" customFormat="1" ht="15.75" customHeight="1">
      <c r="B148" s="405"/>
      <c r="C148" s="1640" t="s">
        <v>766</v>
      </c>
      <c r="D148" s="1640"/>
      <c r="E148" s="1640"/>
      <c r="F148" s="1640"/>
      <c r="G148" s="1640"/>
      <c r="H148" s="1640"/>
      <c r="I148" s="1640"/>
      <c r="J148" s="1640"/>
      <c r="K148" s="1640"/>
      <c r="L148" s="1640"/>
      <c r="M148" s="1640"/>
      <c r="N148" s="1640"/>
      <c r="O148" s="1640"/>
      <c r="P148" s="1640"/>
      <c r="AH148" s="413"/>
    </row>
    <row r="149" spans="2:34" s="131" customFormat="1" ht="15.75" customHeight="1">
      <c r="B149" s="405"/>
      <c r="C149" s="1640" t="s">
        <v>767</v>
      </c>
      <c r="D149" s="1640"/>
      <c r="E149" s="1640"/>
      <c r="F149" s="1640"/>
      <c r="G149" s="1640"/>
      <c r="H149" s="1640"/>
      <c r="I149" s="1640"/>
      <c r="J149" s="1640"/>
      <c r="K149" s="1640"/>
      <c r="L149" s="1640"/>
      <c r="M149" s="1640"/>
      <c r="N149" s="1640"/>
      <c r="O149" s="1640"/>
      <c r="P149" s="1640"/>
      <c r="AH149" s="413"/>
    </row>
    <row r="150" spans="2:34" s="131" customFormat="1" ht="15.75" customHeight="1" thickBot="1">
      <c r="B150" s="405"/>
      <c r="C150" s="518"/>
      <c r="D150" s="518"/>
      <c r="E150" s="518"/>
      <c r="F150" s="518"/>
      <c r="G150" s="518"/>
      <c r="H150" s="518"/>
      <c r="I150" s="518"/>
      <c r="J150" s="518"/>
      <c r="K150" s="518"/>
      <c r="L150" s="518"/>
      <c r="M150" s="518"/>
      <c r="N150" s="510" t="s">
        <v>768</v>
      </c>
      <c r="O150" s="518"/>
      <c r="P150" s="518"/>
      <c r="AH150" s="413"/>
    </row>
    <row r="151" spans="2:34" s="131" customFormat="1" ht="15.75" customHeight="1">
      <c r="B151" s="405"/>
      <c r="C151" s="1641" t="s">
        <v>47</v>
      </c>
      <c r="D151" s="1643" t="s">
        <v>769</v>
      </c>
      <c r="E151" s="1643"/>
      <c r="F151" s="1643"/>
      <c r="G151" s="1645" t="s">
        <v>770</v>
      </c>
      <c r="H151" s="1647" t="s">
        <v>771</v>
      </c>
      <c r="I151" s="519" t="s">
        <v>772</v>
      </c>
      <c r="J151" s="520" t="s">
        <v>773</v>
      </c>
      <c r="K151" s="1649" t="s">
        <v>774</v>
      </c>
      <c r="L151" s="1649"/>
      <c r="M151" s="1649"/>
      <c r="N151" s="521"/>
      <c r="AH151" s="413"/>
    </row>
    <row r="152" spans="2:34" s="131" customFormat="1" ht="15.75" customHeight="1">
      <c r="B152" s="405"/>
      <c r="C152" s="1642"/>
      <c r="D152" s="1644"/>
      <c r="E152" s="1644"/>
      <c r="F152" s="1644"/>
      <c r="G152" s="1646"/>
      <c r="H152" s="1648"/>
      <c r="I152" s="522">
        <v>2021</v>
      </c>
      <c r="J152" s="522">
        <v>2021</v>
      </c>
      <c r="K152" s="523" t="s">
        <v>775</v>
      </c>
      <c r="L152" s="524" t="s">
        <v>202</v>
      </c>
      <c r="M152" s="524" t="s">
        <v>202</v>
      </c>
      <c r="N152" s="524" t="s">
        <v>202</v>
      </c>
      <c r="AH152" s="413"/>
    </row>
    <row r="153" spans="2:34" s="131" customFormat="1" ht="15.75" customHeight="1">
      <c r="B153" s="405"/>
      <c r="C153" s="525"/>
      <c r="D153" s="1625">
        <v>1</v>
      </c>
      <c r="E153" s="1626"/>
      <c r="F153" s="1627"/>
      <c r="G153" s="526">
        <v>2</v>
      </c>
      <c r="H153" s="526">
        <v>3</v>
      </c>
      <c r="I153" s="526">
        <v>4</v>
      </c>
      <c r="J153" s="527">
        <v>5</v>
      </c>
      <c r="K153" s="526">
        <v>6</v>
      </c>
      <c r="L153" s="526" t="s">
        <v>776</v>
      </c>
      <c r="M153" s="526" t="s">
        <v>777</v>
      </c>
      <c r="N153" s="526" t="s">
        <v>778</v>
      </c>
      <c r="AH153" s="413"/>
    </row>
    <row r="154" spans="2:34" s="131" customFormat="1" ht="15.75" customHeight="1">
      <c r="B154" s="405"/>
      <c r="C154" s="528">
        <v>1</v>
      </c>
      <c r="D154" s="529" t="s">
        <v>779</v>
      </c>
      <c r="E154" s="516"/>
      <c r="F154" s="530"/>
      <c r="G154" s="531" t="s">
        <v>780</v>
      </c>
      <c r="H154" s="532">
        <v>5634235766.5067501</v>
      </c>
      <c r="I154" s="532">
        <v>5794031298.7384701</v>
      </c>
      <c r="J154" s="532">
        <v>5794031298.7384701</v>
      </c>
      <c r="K154" s="532">
        <v>5811907971.4424601</v>
      </c>
      <c r="L154" s="533">
        <v>1.0315343930035601</v>
      </c>
      <c r="M154" s="533">
        <v>1.00308536005111</v>
      </c>
      <c r="N154" s="533">
        <v>1.00308536005111</v>
      </c>
      <c r="AH154" s="413"/>
    </row>
    <row r="155" spans="2:34" s="131" customFormat="1" ht="15.75" customHeight="1">
      <c r="B155" s="405"/>
      <c r="C155" s="534"/>
      <c r="D155" s="535"/>
      <c r="E155" s="536" t="s">
        <v>781</v>
      </c>
      <c r="F155" s="537"/>
      <c r="G155" s="538" t="s">
        <v>780</v>
      </c>
      <c r="H155" s="539">
        <v>5578603945.7559996</v>
      </c>
      <c r="I155" s="540">
        <v>5637266709.3840799</v>
      </c>
      <c r="J155" s="540">
        <v>5637266709.3840704</v>
      </c>
      <c r="K155" s="540">
        <v>5724817762.6696796</v>
      </c>
      <c r="L155" s="533">
        <v>1.02620975038476</v>
      </c>
      <c r="M155" s="533">
        <v>1.01553076300964</v>
      </c>
      <c r="N155" s="533">
        <v>1.01553076300965</v>
      </c>
      <c r="AH155" s="413"/>
    </row>
    <row r="156" spans="2:34" s="131" customFormat="1" ht="15.75" customHeight="1">
      <c r="B156" s="405"/>
      <c r="C156" s="534"/>
      <c r="D156" s="535"/>
      <c r="E156" s="536" t="s">
        <v>782</v>
      </c>
      <c r="F156" s="537"/>
      <c r="G156" s="538" t="s">
        <v>780</v>
      </c>
      <c r="H156" s="539">
        <v>0</v>
      </c>
      <c r="I156" s="540">
        <v>0</v>
      </c>
      <c r="J156" s="540"/>
      <c r="K156" s="540">
        <v>0</v>
      </c>
      <c r="L156" s="533">
        <v>0</v>
      </c>
      <c r="M156" s="533">
        <v>0</v>
      </c>
      <c r="N156" s="533">
        <v>0</v>
      </c>
      <c r="AH156" s="413"/>
    </row>
    <row r="157" spans="2:34" s="131" customFormat="1" ht="15.75" customHeight="1">
      <c r="B157" s="405"/>
      <c r="C157" s="534"/>
      <c r="D157" s="535"/>
      <c r="E157" s="536" t="s">
        <v>783</v>
      </c>
      <c r="F157" s="537"/>
      <c r="G157" s="538" t="s">
        <v>780</v>
      </c>
      <c r="H157" s="539">
        <v>4530609.4836499896</v>
      </c>
      <c r="I157" s="540">
        <v>55078606.533473402</v>
      </c>
      <c r="J157" s="540">
        <v>55078606.533473402</v>
      </c>
      <c r="K157" s="539">
        <v>7233548.2010000004</v>
      </c>
      <c r="L157" s="533">
        <v>1.59659494536096</v>
      </c>
      <c r="M157" s="533">
        <v>0.13133135814908301</v>
      </c>
      <c r="N157" s="533">
        <v>0.13133135814908301</v>
      </c>
      <c r="AH157" s="413"/>
    </row>
    <row r="158" spans="2:34" s="131" customFormat="1" ht="15.75" customHeight="1">
      <c r="B158" s="405"/>
      <c r="C158" s="541"/>
      <c r="D158" s="536"/>
      <c r="E158" s="536" t="s">
        <v>784</v>
      </c>
      <c r="F158" s="537"/>
      <c r="G158" s="538" t="s">
        <v>780</v>
      </c>
      <c r="H158" s="539">
        <v>51101211.267095096</v>
      </c>
      <c r="I158" s="540">
        <v>101685982.82091901</v>
      </c>
      <c r="J158" s="540">
        <v>101685982.82091901</v>
      </c>
      <c r="K158" s="539">
        <v>79856660.571781993</v>
      </c>
      <c r="L158" s="533">
        <v>1.5627156106807001</v>
      </c>
      <c r="M158" s="533">
        <v>0.78532614187757699</v>
      </c>
      <c r="N158" s="533">
        <v>0.78532614187757699</v>
      </c>
      <c r="AH158" s="413"/>
    </row>
    <row r="159" spans="2:34" s="131" customFormat="1" ht="15.75" customHeight="1">
      <c r="B159" s="405"/>
      <c r="C159" s="541"/>
      <c r="D159" s="536"/>
      <c r="E159" s="536" t="s">
        <v>785</v>
      </c>
      <c r="F159" s="537"/>
      <c r="G159" s="538" t="s">
        <v>780</v>
      </c>
      <c r="H159" s="539">
        <v>0</v>
      </c>
      <c r="I159" s="540">
        <v>0</v>
      </c>
      <c r="J159" s="540"/>
      <c r="K159" s="540">
        <v>0</v>
      </c>
      <c r="L159" s="537"/>
      <c r="M159" s="537"/>
      <c r="N159" s="537">
        <v>0</v>
      </c>
      <c r="AH159" s="413"/>
    </row>
    <row r="160" spans="2:34" s="131" customFormat="1" ht="15.75" customHeight="1">
      <c r="B160" s="405"/>
      <c r="C160" s="541"/>
      <c r="D160" s="536"/>
      <c r="E160" s="536" t="s">
        <v>786</v>
      </c>
      <c r="F160" s="537"/>
      <c r="G160" s="538" t="s">
        <v>780</v>
      </c>
      <c r="H160" s="539">
        <v>0</v>
      </c>
      <c r="I160" s="540">
        <v>0</v>
      </c>
      <c r="J160" s="540"/>
      <c r="K160" s="540">
        <v>0</v>
      </c>
      <c r="L160" s="537"/>
      <c r="M160" s="537"/>
      <c r="N160" s="537">
        <v>0</v>
      </c>
      <c r="AH160" s="413"/>
    </row>
    <row r="161" spans="2:34" s="131" customFormat="1" ht="15.75" customHeight="1">
      <c r="B161" s="405"/>
      <c r="C161" s="541"/>
      <c r="D161" s="536"/>
      <c r="E161" s="536"/>
      <c r="F161" s="537"/>
      <c r="G161" s="537"/>
      <c r="H161" s="542"/>
      <c r="I161" s="537"/>
      <c r="J161" s="543"/>
      <c r="K161" s="544"/>
      <c r="L161" s="537"/>
      <c r="M161" s="537"/>
      <c r="N161" s="537">
        <v>0</v>
      </c>
      <c r="AH161" s="413"/>
    </row>
    <row r="162" spans="2:34" s="131" customFormat="1" ht="15.75" customHeight="1">
      <c r="B162" s="405"/>
      <c r="C162" s="545"/>
      <c r="D162" s="546"/>
      <c r="E162" s="518"/>
      <c r="F162" s="547"/>
      <c r="G162" s="548"/>
      <c r="H162" s="549"/>
      <c r="I162" s="550"/>
      <c r="J162" s="550"/>
      <c r="K162" s="550"/>
      <c r="L162" s="551"/>
      <c r="M162" s="551"/>
      <c r="N162" s="551"/>
      <c r="AH162" s="413"/>
    </row>
    <row r="163" spans="2:34" s="131" customFormat="1" ht="15.75" customHeight="1">
      <c r="B163" s="405"/>
      <c r="C163" s="552"/>
      <c r="D163" s="553"/>
      <c r="E163" s="554"/>
      <c r="F163" s="555"/>
      <c r="G163" s="556"/>
      <c r="H163" s="557"/>
      <c r="I163" s="558"/>
      <c r="J163" s="558"/>
      <c r="K163" s="558"/>
      <c r="L163" s="559"/>
      <c r="M163" s="559"/>
      <c r="N163" s="559"/>
      <c r="AH163" s="413"/>
    </row>
    <row r="164" spans="2:34" s="131" customFormat="1" ht="15.75" customHeight="1">
      <c r="B164" s="405"/>
      <c r="C164" s="528">
        <v>2</v>
      </c>
      <c r="D164" s="560" t="s">
        <v>787</v>
      </c>
      <c r="E164" s="561"/>
      <c r="F164" s="562"/>
      <c r="G164" s="563" t="s">
        <v>780</v>
      </c>
      <c r="H164" s="564">
        <v>4452547034.70401</v>
      </c>
      <c r="I164" s="564">
        <v>4573421601.0536604</v>
      </c>
      <c r="J164" s="564">
        <v>4573421601.0536604</v>
      </c>
      <c r="K164" s="564">
        <v>4566518278.4027796</v>
      </c>
      <c r="L164" s="565">
        <v>1.02559686462837</v>
      </c>
      <c r="M164" s="565">
        <v>0.998490556250207</v>
      </c>
      <c r="N164" s="565">
        <v>0.998490556250207</v>
      </c>
      <c r="AH164" s="413"/>
    </row>
    <row r="165" spans="2:34" s="131" customFormat="1" ht="15.75" customHeight="1">
      <c r="B165" s="405"/>
      <c r="C165" s="566">
        <v>2.1</v>
      </c>
      <c r="D165" s="567"/>
      <c r="E165" s="568" t="s">
        <v>788</v>
      </c>
      <c r="F165" s="569"/>
      <c r="G165" s="570" t="s">
        <v>780</v>
      </c>
      <c r="H165" s="571">
        <v>2117129108.23807</v>
      </c>
      <c r="I165" s="572">
        <v>2057299936.1587</v>
      </c>
      <c r="J165" s="572">
        <v>2057299936.1587</v>
      </c>
      <c r="K165" s="572">
        <v>2045023976.9969299</v>
      </c>
      <c r="L165" s="533">
        <v>0.96594202452719402</v>
      </c>
      <c r="M165" s="533">
        <v>0.99403297548111003</v>
      </c>
      <c r="N165" s="533">
        <v>0.99403297548111003</v>
      </c>
      <c r="AH165" s="413"/>
    </row>
    <row r="166" spans="2:34" s="131" customFormat="1" ht="15.75" customHeight="1">
      <c r="B166" s="405"/>
      <c r="C166" s="566"/>
      <c r="D166" s="567"/>
      <c r="E166" s="568"/>
      <c r="F166" s="573" t="s">
        <v>789</v>
      </c>
      <c r="G166" s="574" t="s">
        <v>780</v>
      </c>
      <c r="H166" s="539">
        <v>1080284.58</v>
      </c>
      <c r="I166" s="540">
        <v>2164473.0125617501</v>
      </c>
      <c r="J166" s="540">
        <v>2164473.0125617501</v>
      </c>
      <c r="K166" s="540">
        <v>15991254.274</v>
      </c>
      <c r="L166" s="533">
        <v>14.8028163782547</v>
      </c>
      <c r="M166" s="533">
        <v>7.3880589784178596</v>
      </c>
      <c r="N166" s="533">
        <v>7.3880589784178596</v>
      </c>
      <c r="AH166" s="413"/>
    </row>
    <row r="167" spans="2:34" s="131" customFormat="1" ht="15.75" customHeight="1">
      <c r="B167" s="405"/>
      <c r="C167" s="534"/>
      <c r="D167" s="535"/>
      <c r="E167" s="536"/>
      <c r="F167" s="536" t="s">
        <v>790</v>
      </c>
      <c r="G167" s="574" t="s">
        <v>780</v>
      </c>
      <c r="H167" s="539">
        <v>3306384.7889999999</v>
      </c>
      <c r="I167" s="540">
        <v>2166571.95809631</v>
      </c>
      <c r="J167" s="540">
        <v>2166571.95809631</v>
      </c>
      <c r="K167" s="540">
        <v>3428736.6060000001</v>
      </c>
      <c r="L167" s="533">
        <v>1.03700471203686</v>
      </c>
      <c r="M167" s="533">
        <v>1.58256299459018</v>
      </c>
      <c r="N167" s="533">
        <v>1.58256299459018</v>
      </c>
      <c r="AH167" s="413"/>
    </row>
    <row r="168" spans="2:34" s="131" customFormat="1" ht="15.75" customHeight="1">
      <c r="B168" s="405"/>
      <c r="C168" s="575"/>
      <c r="D168" s="576"/>
      <c r="E168" s="577"/>
      <c r="F168" s="573" t="s">
        <v>791</v>
      </c>
      <c r="G168" s="578" t="s">
        <v>780</v>
      </c>
      <c r="H168" s="539">
        <v>1750729349.29407</v>
      </c>
      <c r="I168" s="540">
        <v>1620533302.4753599</v>
      </c>
      <c r="J168" s="540">
        <v>1620533302.4753599</v>
      </c>
      <c r="K168" s="540">
        <v>1589750512.9039299</v>
      </c>
      <c r="L168" s="533">
        <v>0.90805041541398401</v>
      </c>
      <c r="M168" s="533">
        <v>0.98100453133273902</v>
      </c>
      <c r="N168" s="533">
        <v>0.98100453133273902</v>
      </c>
      <c r="AH168" s="413"/>
    </row>
    <row r="169" spans="2:34" s="131" customFormat="1" ht="15.75" customHeight="1">
      <c r="B169" s="405"/>
      <c r="C169" s="534"/>
      <c r="D169" s="535"/>
      <c r="E169" s="536"/>
      <c r="F169" s="536" t="s">
        <v>792</v>
      </c>
      <c r="G169" s="574" t="s">
        <v>780</v>
      </c>
      <c r="H169" s="539">
        <v>362013089.57499999</v>
      </c>
      <c r="I169" s="540">
        <v>432435588.71268803</v>
      </c>
      <c r="J169" s="540">
        <v>432435588.71268803</v>
      </c>
      <c r="K169" s="540">
        <v>435853473.213</v>
      </c>
      <c r="L169" s="533">
        <v>1.2039715849078501</v>
      </c>
      <c r="M169" s="533">
        <v>1.0079038002179399</v>
      </c>
      <c r="N169" s="533">
        <v>1.0079038002179399</v>
      </c>
      <c r="AH169" s="413"/>
    </row>
    <row r="170" spans="2:34" s="131" customFormat="1" ht="15.75" customHeight="1">
      <c r="B170" s="405"/>
      <c r="C170" s="534"/>
      <c r="D170" s="535"/>
      <c r="E170" s="536"/>
      <c r="F170" s="536" t="s">
        <v>793</v>
      </c>
      <c r="G170" s="574" t="s">
        <v>780</v>
      </c>
      <c r="H170" s="539">
        <v>0</v>
      </c>
      <c r="I170" s="540">
        <v>0</v>
      </c>
      <c r="J170" s="540"/>
      <c r="K170" s="540">
        <v>0</v>
      </c>
      <c r="L170" s="533">
        <v>0</v>
      </c>
      <c r="M170" s="533">
        <v>0</v>
      </c>
      <c r="N170" s="533">
        <v>0</v>
      </c>
      <c r="AH170" s="413"/>
    </row>
    <row r="171" spans="2:34" s="131" customFormat="1" ht="15.75" customHeight="1">
      <c r="B171" s="405"/>
      <c r="C171" s="534"/>
      <c r="D171" s="535"/>
      <c r="E171" s="536"/>
      <c r="F171" s="536" t="s">
        <v>794</v>
      </c>
      <c r="G171" s="574" t="s">
        <v>780</v>
      </c>
      <c r="H171" s="539">
        <v>0</v>
      </c>
      <c r="I171" s="540">
        <v>0</v>
      </c>
      <c r="J171" s="540"/>
      <c r="K171" s="540">
        <v>0</v>
      </c>
      <c r="L171" s="533">
        <v>0</v>
      </c>
      <c r="M171" s="533">
        <v>0</v>
      </c>
      <c r="N171" s="533">
        <v>0</v>
      </c>
      <c r="AH171" s="413"/>
    </row>
    <row r="172" spans="2:34" s="131" customFormat="1" ht="15.75" customHeight="1">
      <c r="B172" s="405"/>
      <c r="C172" s="566">
        <v>2.2000000000000002</v>
      </c>
      <c r="D172" s="535"/>
      <c r="E172" s="568" t="s">
        <v>795</v>
      </c>
      <c r="F172" s="569"/>
      <c r="G172" s="570" t="s">
        <v>780</v>
      </c>
      <c r="H172" s="571">
        <v>0</v>
      </c>
      <c r="I172" s="572">
        <v>0</v>
      </c>
      <c r="J172" s="572">
        <v>0</v>
      </c>
      <c r="K172" s="572">
        <v>0</v>
      </c>
      <c r="L172" s="533">
        <v>0</v>
      </c>
      <c r="M172" s="533">
        <v>0</v>
      </c>
      <c r="N172" s="533">
        <v>0</v>
      </c>
      <c r="AH172" s="413"/>
    </row>
    <row r="173" spans="2:34" s="131" customFormat="1" ht="15.75" customHeight="1">
      <c r="B173" s="405"/>
      <c r="C173" s="534"/>
      <c r="D173" s="535"/>
      <c r="E173" s="536"/>
      <c r="F173" s="579" t="s">
        <v>796</v>
      </c>
      <c r="G173" s="574" t="s">
        <v>780</v>
      </c>
      <c r="H173" s="539">
        <v>0</v>
      </c>
      <c r="I173" s="540"/>
      <c r="J173" s="540"/>
      <c r="K173" s="540">
        <v>0</v>
      </c>
      <c r="L173" s="533">
        <v>0</v>
      </c>
      <c r="M173" s="533">
        <v>0</v>
      </c>
      <c r="N173" s="533">
        <v>0</v>
      </c>
      <c r="AH173" s="413"/>
    </row>
    <row r="174" spans="2:34" s="131" customFormat="1" ht="15.75" customHeight="1">
      <c r="B174" s="405"/>
      <c r="C174" s="534"/>
      <c r="D174" s="535"/>
      <c r="E174" s="536"/>
      <c r="F174" s="579" t="s">
        <v>797</v>
      </c>
      <c r="G174" s="574" t="s">
        <v>780</v>
      </c>
      <c r="H174" s="539">
        <v>0</v>
      </c>
      <c r="I174" s="540"/>
      <c r="J174" s="540"/>
      <c r="K174" s="540">
        <v>0</v>
      </c>
      <c r="L174" s="533">
        <v>0</v>
      </c>
      <c r="M174" s="533">
        <v>0</v>
      </c>
      <c r="N174" s="533">
        <v>0</v>
      </c>
      <c r="AH174" s="413"/>
    </row>
    <row r="175" spans="2:34" s="131" customFormat="1" ht="15.75" customHeight="1">
      <c r="B175" s="405"/>
      <c r="C175" s="566">
        <v>2.2999999999999998</v>
      </c>
      <c r="D175" s="567"/>
      <c r="E175" s="568" t="s">
        <v>798</v>
      </c>
      <c r="F175" s="569"/>
      <c r="G175" s="570" t="s">
        <v>780</v>
      </c>
      <c r="H175" s="571">
        <v>962565824.06299996</v>
      </c>
      <c r="I175" s="572">
        <v>1023958973.57551</v>
      </c>
      <c r="J175" s="572">
        <v>1023958973.57551</v>
      </c>
      <c r="K175" s="572">
        <v>1130056873.983</v>
      </c>
      <c r="L175" s="533">
        <v>1.1740047752921701</v>
      </c>
      <c r="M175" s="533">
        <v>1.1036153822032699</v>
      </c>
      <c r="N175" s="533">
        <v>1.1036153822032699</v>
      </c>
      <c r="AH175" s="413"/>
    </row>
    <row r="176" spans="2:34" s="131" customFormat="1" ht="15.75" customHeight="1">
      <c r="B176" s="405"/>
      <c r="C176" s="566">
        <v>2.4</v>
      </c>
      <c r="D176" s="567"/>
      <c r="E176" s="568" t="s">
        <v>799</v>
      </c>
      <c r="F176" s="569"/>
      <c r="G176" s="570" t="s">
        <v>780</v>
      </c>
      <c r="H176" s="571">
        <v>9738359.0820000004</v>
      </c>
      <c r="I176" s="572">
        <v>14991360</v>
      </c>
      <c r="J176" s="572">
        <v>14991360</v>
      </c>
      <c r="K176" s="572">
        <v>8384705.7379999999</v>
      </c>
      <c r="L176" s="533">
        <v>0.86099779925942099</v>
      </c>
      <c r="M176" s="533">
        <v>0.55930254079683195</v>
      </c>
      <c r="N176" s="533">
        <v>0.55930254079683195</v>
      </c>
      <c r="AH176" s="413"/>
    </row>
    <row r="177" spans="2:34" s="131" customFormat="1" ht="15.75" customHeight="1">
      <c r="B177" s="405"/>
      <c r="C177" s="566">
        <v>2.5</v>
      </c>
      <c r="D177" s="567"/>
      <c r="E177" s="568" t="s">
        <v>800</v>
      </c>
      <c r="F177" s="569"/>
      <c r="G177" s="570" t="s">
        <v>780</v>
      </c>
      <c r="H177" s="571">
        <v>483835710.81258398</v>
      </c>
      <c r="I177" s="572">
        <v>519801824.84649599</v>
      </c>
      <c r="J177" s="572">
        <v>519801824.84649599</v>
      </c>
      <c r="K177" s="572">
        <v>379659657.984056</v>
      </c>
      <c r="L177" s="533">
        <v>0.784687135528776</v>
      </c>
      <c r="M177" s="533">
        <v>0.73039308412619397</v>
      </c>
      <c r="N177" s="533">
        <v>0.73039308412619397</v>
      </c>
      <c r="AH177" s="413"/>
    </row>
    <row r="178" spans="2:34" s="131" customFormat="1" ht="15.75" customHeight="1">
      <c r="B178" s="405"/>
      <c r="C178" s="534"/>
      <c r="D178" s="535"/>
      <c r="E178" s="536"/>
      <c r="F178" s="536"/>
      <c r="G178" s="574"/>
      <c r="H178" s="539"/>
      <c r="I178" s="540"/>
      <c r="J178" s="540"/>
      <c r="K178" s="540"/>
      <c r="L178" s="533">
        <v>0</v>
      </c>
      <c r="M178" s="533">
        <v>0</v>
      </c>
      <c r="N178" s="533">
        <v>0</v>
      </c>
      <c r="AH178" s="413"/>
    </row>
    <row r="179" spans="2:34" s="131" customFormat="1" ht="15.75" customHeight="1">
      <c r="B179" s="405"/>
      <c r="C179" s="566">
        <v>2.6</v>
      </c>
      <c r="D179" s="567"/>
      <c r="E179" s="568" t="s">
        <v>801</v>
      </c>
      <c r="F179" s="569"/>
      <c r="G179" s="570" t="s">
        <v>780</v>
      </c>
      <c r="H179" s="571">
        <v>194836249.12720501</v>
      </c>
      <c r="I179" s="572">
        <v>236964793.32624701</v>
      </c>
      <c r="J179" s="572">
        <v>236964793.32624701</v>
      </c>
      <c r="K179" s="572">
        <v>216222540.35800001</v>
      </c>
      <c r="L179" s="533">
        <v>1.1097654636988601</v>
      </c>
      <c r="M179" s="533">
        <v>0.91246694212633706</v>
      </c>
      <c r="N179" s="533">
        <v>0.91246694212633706</v>
      </c>
      <c r="AH179" s="413"/>
    </row>
    <row r="180" spans="2:34" s="131" customFormat="1" ht="15.75" customHeight="1">
      <c r="B180" s="405"/>
      <c r="C180" s="534"/>
      <c r="D180" s="535"/>
      <c r="E180" s="536"/>
      <c r="F180" s="537" t="s">
        <v>802</v>
      </c>
      <c r="G180" s="574" t="s">
        <v>780</v>
      </c>
      <c r="H180" s="539">
        <v>133780933.113135</v>
      </c>
      <c r="I180" s="540">
        <v>144033215.771817</v>
      </c>
      <c r="J180" s="540">
        <v>144033215.771817</v>
      </c>
      <c r="K180" s="540">
        <v>131393034.947</v>
      </c>
      <c r="L180" s="533">
        <v>0.98215068387873095</v>
      </c>
      <c r="M180" s="533">
        <v>0.91224120938296305</v>
      </c>
      <c r="N180" s="533">
        <v>0.91224120938296305</v>
      </c>
      <c r="AH180" s="413"/>
    </row>
    <row r="181" spans="2:34" s="131" customFormat="1" ht="15.75" customHeight="1">
      <c r="B181" s="405"/>
      <c r="C181" s="534"/>
      <c r="D181" s="535"/>
      <c r="E181" s="536"/>
      <c r="F181" s="580" t="s">
        <v>803</v>
      </c>
      <c r="G181" s="574" t="s">
        <v>780</v>
      </c>
      <c r="H181" s="539">
        <v>56515731.741265804</v>
      </c>
      <c r="I181" s="540">
        <v>81478467.554429397</v>
      </c>
      <c r="J181" s="540">
        <v>81478467.554429397</v>
      </c>
      <c r="K181" s="540">
        <v>78062120.413000003</v>
      </c>
      <c r="L181" s="533">
        <v>1.38124585859342</v>
      </c>
      <c r="M181" s="533">
        <v>0.95807055233154403</v>
      </c>
      <c r="N181" s="533">
        <v>0.95807055233154403</v>
      </c>
      <c r="AH181" s="413"/>
    </row>
    <row r="182" spans="2:34" s="131" customFormat="1" ht="15.75" customHeight="1">
      <c r="B182" s="405"/>
      <c r="C182" s="534"/>
      <c r="D182" s="535"/>
      <c r="E182" s="536"/>
      <c r="F182" s="580" t="s">
        <v>804</v>
      </c>
      <c r="G182" s="574" t="s">
        <v>780</v>
      </c>
      <c r="H182" s="539">
        <v>4539584.2728043301</v>
      </c>
      <c r="I182" s="540">
        <v>11453110</v>
      </c>
      <c r="J182" s="540">
        <v>11453110</v>
      </c>
      <c r="K182" s="540">
        <v>6767384.9979999997</v>
      </c>
      <c r="L182" s="533">
        <v>1.4907499434567</v>
      </c>
      <c r="M182" s="533">
        <v>0.59087749947394197</v>
      </c>
      <c r="N182" s="533">
        <v>0.59087749947394197</v>
      </c>
      <c r="AH182" s="413"/>
    </row>
    <row r="183" spans="2:34" s="131" customFormat="1" ht="15.75" customHeight="1">
      <c r="B183" s="405"/>
      <c r="C183" s="566">
        <v>2.7</v>
      </c>
      <c r="D183" s="567"/>
      <c r="E183" s="568" t="s">
        <v>805</v>
      </c>
      <c r="F183" s="569"/>
      <c r="G183" s="570" t="s">
        <v>780</v>
      </c>
      <c r="H183" s="571">
        <v>569091875.78498495</v>
      </c>
      <c r="I183" s="572">
        <v>534051676.944354</v>
      </c>
      <c r="J183" s="572">
        <v>534051676.944354</v>
      </c>
      <c r="K183" s="572">
        <v>552688818.57649601</v>
      </c>
      <c r="L183" s="533">
        <v>0.97117678549555297</v>
      </c>
      <c r="M183" s="533">
        <v>1.0348976371327501</v>
      </c>
      <c r="N183" s="533">
        <v>1.0348976371327501</v>
      </c>
      <c r="AH183" s="413"/>
    </row>
    <row r="184" spans="2:34" s="131" customFormat="1" ht="15.75" customHeight="1">
      <c r="B184" s="405"/>
      <c r="C184" s="566">
        <v>2.8</v>
      </c>
      <c r="D184" s="535"/>
      <c r="E184" s="568" t="s">
        <v>806</v>
      </c>
      <c r="F184" s="537"/>
      <c r="G184" s="570" t="s">
        <v>780</v>
      </c>
      <c r="H184" s="571">
        <v>115349907.596168</v>
      </c>
      <c r="I184" s="572">
        <v>105102254.83499099</v>
      </c>
      <c r="J184" s="572">
        <v>105102254.83499099</v>
      </c>
      <c r="K184" s="572">
        <v>103382625.45100801</v>
      </c>
      <c r="L184" s="533">
        <v>0.89625234736159698</v>
      </c>
      <c r="M184" s="533">
        <v>0.98363851102259703</v>
      </c>
      <c r="N184" s="533">
        <v>0.98363851102259703</v>
      </c>
      <c r="AH184" s="413"/>
    </row>
    <row r="185" spans="2:34" s="131" customFormat="1" ht="15.75" customHeight="1">
      <c r="B185" s="405"/>
      <c r="C185" s="575"/>
      <c r="D185" s="576"/>
      <c r="E185" s="577"/>
      <c r="F185" s="581" t="s">
        <v>807</v>
      </c>
      <c r="G185" s="578" t="s">
        <v>780</v>
      </c>
      <c r="H185" s="539">
        <v>28519912.2653635</v>
      </c>
      <c r="I185" s="582">
        <v>17817610.5784586</v>
      </c>
      <c r="J185" s="582">
        <v>17416219.986599602</v>
      </c>
      <c r="K185" s="582">
        <v>21427540.934999999</v>
      </c>
      <c r="L185" s="533">
        <v>0.75131861331225303</v>
      </c>
      <c r="M185" s="533">
        <v>1.2026046276320499</v>
      </c>
      <c r="N185" s="533">
        <v>1.2303209853508299</v>
      </c>
      <c r="AH185" s="413"/>
    </row>
    <row r="186" spans="2:34" s="131" customFormat="1" ht="15.75" customHeight="1">
      <c r="B186" s="405"/>
      <c r="C186" s="575"/>
      <c r="D186" s="576"/>
      <c r="E186" s="577"/>
      <c r="F186" s="581" t="s">
        <v>808</v>
      </c>
      <c r="G186" s="578" t="s">
        <v>780</v>
      </c>
      <c r="H186" s="539">
        <v>86829995.330804095</v>
      </c>
      <c r="I186" s="582">
        <v>87284644.256532803</v>
      </c>
      <c r="J186" s="582">
        <v>87686034.848391801</v>
      </c>
      <c r="K186" s="582">
        <v>81955084.516008496</v>
      </c>
      <c r="L186" s="533">
        <v>0.94385683430912004</v>
      </c>
      <c r="M186" s="533">
        <v>0.93894046557764999</v>
      </c>
      <c r="N186" s="533">
        <v>0.93464238242392805</v>
      </c>
      <c r="AH186" s="413"/>
    </row>
    <row r="187" spans="2:34" s="131" customFormat="1" ht="15.75" customHeight="1">
      <c r="B187" s="405"/>
      <c r="C187" s="566" t="s">
        <v>809</v>
      </c>
      <c r="D187" s="535"/>
      <c r="E187" s="568" t="s">
        <v>810</v>
      </c>
      <c r="F187" s="537"/>
      <c r="G187" s="583" t="s">
        <v>780</v>
      </c>
      <c r="H187" s="539"/>
      <c r="I187" s="540">
        <v>81250781.367360994</v>
      </c>
      <c r="J187" s="540">
        <v>81250781.367360994</v>
      </c>
      <c r="K187" s="540">
        <v>131099079.31529</v>
      </c>
      <c r="L187" s="533">
        <v>0</v>
      </c>
      <c r="M187" s="533">
        <v>1.61351161316897</v>
      </c>
      <c r="N187" s="533">
        <v>1.61351161316897</v>
      </c>
      <c r="AH187" s="413"/>
    </row>
    <row r="188" spans="2:34" s="131" customFormat="1" ht="15.75" customHeight="1" thickBot="1">
      <c r="B188" s="405"/>
      <c r="C188" s="584"/>
      <c r="D188" s="585"/>
      <c r="E188" s="586"/>
      <c r="F188" s="587"/>
      <c r="G188" s="588"/>
      <c r="H188" s="589"/>
      <c r="I188" s="589"/>
      <c r="J188" s="589"/>
      <c r="K188" s="589"/>
      <c r="L188" s="590"/>
      <c r="M188" s="590"/>
      <c r="N188" s="590"/>
      <c r="AH188" s="413"/>
    </row>
    <row r="189" spans="2:34" s="131" customFormat="1" ht="15.75" customHeight="1">
      <c r="B189" s="405"/>
      <c r="AH189" s="413"/>
    </row>
    <row r="190" spans="2:34" s="131" customFormat="1" ht="15.75" customHeight="1">
      <c r="B190" s="405"/>
      <c r="C190" s="1628" t="s">
        <v>766</v>
      </c>
      <c r="D190" s="1628"/>
      <c r="E190" s="1628"/>
      <c r="F190" s="1628"/>
      <c r="G190" s="1628"/>
      <c r="H190" s="1628"/>
      <c r="I190" s="1628"/>
      <c r="J190" s="1628"/>
      <c r="K190" s="1628"/>
      <c r="L190" s="1628"/>
      <c r="M190" s="1628"/>
      <c r="N190" s="1628"/>
      <c r="O190" s="1628"/>
      <c r="P190" s="1628"/>
      <c r="AH190" s="413"/>
    </row>
    <row r="191" spans="2:34" s="131" customFormat="1" ht="15.75" customHeight="1">
      <c r="B191" s="405"/>
      <c r="C191" s="1628" t="s">
        <v>811</v>
      </c>
      <c r="D191" s="1628"/>
      <c r="E191" s="1628"/>
      <c r="F191" s="1628"/>
      <c r="G191" s="1628"/>
      <c r="H191" s="1628"/>
      <c r="I191" s="1628"/>
      <c r="J191" s="1628"/>
      <c r="K191" s="1628"/>
      <c r="L191" s="1628"/>
      <c r="M191" s="1628"/>
      <c r="N191" s="1628"/>
      <c r="O191" s="1628"/>
      <c r="P191" s="1628"/>
      <c r="AH191" s="413"/>
    </row>
    <row r="192" spans="2:34" s="131" customFormat="1" ht="15.75" customHeight="1" thickBot="1">
      <c r="B192" s="405"/>
      <c r="C192" s="591"/>
      <c r="D192" s="591"/>
      <c r="E192" s="591"/>
      <c r="F192" s="591"/>
      <c r="G192" s="591"/>
      <c r="H192" s="591"/>
      <c r="I192" s="591"/>
      <c r="J192" s="591"/>
      <c r="K192" s="591"/>
      <c r="L192" s="591"/>
      <c r="M192" s="591"/>
      <c r="N192" s="592" t="s">
        <v>768</v>
      </c>
      <c r="O192" s="591"/>
      <c r="P192" s="591"/>
      <c r="AH192" s="413"/>
    </row>
    <row r="193" spans="2:34" s="131" customFormat="1" ht="15.75" customHeight="1">
      <c r="B193" s="405"/>
      <c r="C193" s="1629" t="s">
        <v>47</v>
      </c>
      <c r="D193" s="1631" t="s">
        <v>769</v>
      </c>
      <c r="E193" s="1631"/>
      <c r="F193" s="1631"/>
      <c r="G193" s="1633" t="s">
        <v>770</v>
      </c>
      <c r="H193" s="1635" t="s">
        <v>812</v>
      </c>
      <c r="I193" s="593" t="s">
        <v>772</v>
      </c>
      <c r="J193" s="1637" t="s">
        <v>813</v>
      </c>
      <c r="K193" s="1639" t="s">
        <v>814</v>
      </c>
      <c r="L193" s="1639"/>
      <c r="M193" s="1639"/>
      <c r="N193" s="594"/>
      <c r="AH193" s="413"/>
    </row>
    <row r="194" spans="2:34" s="131" customFormat="1" ht="15.75" customHeight="1">
      <c r="B194" s="405"/>
      <c r="C194" s="1630"/>
      <c r="D194" s="1632"/>
      <c r="E194" s="1632"/>
      <c r="F194" s="1632"/>
      <c r="G194" s="1634"/>
      <c r="H194" s="1636"/>
      <c r="I194" s="595">
        <v>2022</v>
      </c>
      <c r="J194" s="1638"/>
      <c r="K194" s="596" t="s">
        <v>775</v>
      </c>
      <c r="L194" s="597" t="s">
        <v>202</v>
      </c>
      <c r="M194" s="597" t="s">
        <v>202</v>
      </c>
      <c r="N194" s="597" t="s">
        <v>202</v>
      </c>
      <c r="AH194" s="413"/>
    </row>
    <row r="195" spans="2:34" s="131" customFormat="1" ht="15.75" customHeight="1">
      <c r="B195" s="405"/>
      <c r="C195" s="598"/>
      <c r="D195" s="1610">
        <v>1</v>
      </c>
      <c r="E195" s="1611"/>
      <c r="F195" s="1612"/>
      <c r="G195" s="599">
        <v>2</v>
      </c>
      <c r="H195" s="599">
        <v>3</v>
      </c>
      <c r="I195" s="599">
        <v>4</v>
      </c>
      <c r="J195" s="600">
        <v>5</v>
      </c>
      <c r="K195" s="599">
        <v>6</v>
      </c>
      <c r="L195" s="599" t="s">
        <v>776</v>
      </c>
      <c r="M195" s="599" t="s">
        <v>777</v>
      </c>
      <c r="N195" s="599" t="s">
        <v>778</v>
      </c>
      <c r="AH195" s="413"/>
    </row>
    <row r="196" spans="2:34" s="131" customFormat="1" ht="15.75" customHeight="1">
      <c r="B196" s="405"/>
      <c r="C196" s="601">
        <v>1</v>
      </c>
      <c r="D196" s="602" t="s">
        <v>779</v>
      </c>
      <c r="E196" s="603"/>
      <c r="F196" s="604"/>
      <c r="G196" s="605" t="s">
        <v>815</v>
      </c>
      <c r="H196" s="606">
        <v>5810186065.3047199</v>
      </c>
      <c r="I196" s="606">
        <v>6098331353.2014103</v>
      </c>
      <c r="J196" s="606">
        <v>6098331353.2014103</v>
      </c>
      <c r="K196" s="606">
        <v>6578165054.8677797</v>
      </c>
      <c r="L196" s="533">
        <v>1.13217803714566</v>
      </c>
      <c r="M196" s="533">
        <v>1.0786827861386199</v>
      </c>
      <c r="N196" s="533">
        <v>1.0786827861386199</v>
      </c>
      <c r="AH196" s="413"/>
    </row>
    <row r="197" spans="2:34" s="131" customFormat="1" ht="15.75" customHeight="1">
      <c r="B197" s="405"/>
      <c r="C197" s="607"/>
      <c r="D197" s="608"/>
      <c r="E197" s="609" t="s">
        <v>781</v>
      </c>
      <c r="F197" s="610"/>
      <c r="G197" s="611" t="s">
        <v>815</v>
      </c>
      <c r="H197" s="612">
        <v>5724822656.3380003</v>
      </c>
      <c r="I197" s="613">
        <v>5899758520.07658</v>
      </c>
      <c r="J197" s="613">
        <v>5899758520.07658</v>
      </c>
      <c r="K197" s="613">
        <v>6455681782.5576401</v>
      </c>
      <c r="L197" s="533">
        <v>1.12766493743007</v>
      </c>
      <c r="M197" s="533">
        <v>1.0942281384211401</v>
      </c>
      <c r="N197" s="533">
        <v>1.0942281384211401</v>
      </c>
      <c r="AH197" s="413"/>
    </row>
    <row r="198" spans="2:34" s="131" customFormat="1" ht="15.75" customHeight="1">
      <c r="B198" s="405"/>
      <c r="C198" s="607"/>
      <c r="D198" s="608"/>
      <c r="E198" s="609" t="s">
        <v>782</v>
      </c>
      <c r="F198" s="610"/>
      <c r="G198" s="611" t="s">
        <v>815</v>
      </c>
      <c r="H198" s="612">
        <v>0</v>
      </c>
      <c r="I198" s="613">
        <v>0</v>
      </c>
      <c r="J198" s="613">
        <v>0</v>
      </c>
      <c r="K198" s="613">
        <v>0</v>
      </c>
      <c r="L198" s="533">
        <v>0</v>
      </c>
      <c r="M198" s="533">
        <v>0</v>
      </c>
      <c r="N198" s="533">
        <v>0</v>
      </c>
      <c r="AH198" s="413"/>
    </row>
    <row r="199" spans="2:34" s="131" customFormat="1" ht="15.75" customHeight="1">
      <c r="B199" s="405"/>
      <c r="C199" s="607"/>
      <c r="D199" s="608"/>
      <c r="E199" s="609" t="s">
        <v>783</v>
      </c>
      <c r="F199" s="610"/>
      <c r="G199" s="611" t="s">
        <v>815</v>
      </c>
      <c r="H199" s="612">
        <v>7233548.2010000004</v>
      </c>
      <c r="I199" s="613">
        <v>14458502.9875907</v>
      </c>
      <c r="J199" s="612">
        <v>14458502.9875907</v>
      </c>
      <c r="K199" s="612">
        <v>15644754.412</v>
      </c>
      <c r="L199" s="533">
        <v>2.16280502697655</v>
      </c>
      <c r="M199" s="533">
        <v>1.08204524530841</v>
      </c>
      <c r="N199" s="533">
        <v>1.08204524530841</v>
      </c>
      <c r="AH199" s="413"/>
    </row>
    <row r="200" spans="2:34" s="131" customFormat="1" ht="15.75" customHeight="1">
      <c r="B200" s="405"/>
      <c r="C200" s="614"/>
      <c r="D200" s="609"/>
      <c r="E200" s="609" t="s">
        <v>784</v>
      </c>
      <c r="F200" s="610"/>
      <c r="G200" s="611" t="s">
        <v>815</v>
      </c>
      <c r="H200" s="612">
        <v>78129860.765715003</v>
      </c>
      <c r="I200" s="613">
        <v>184114330.13723901</v>
      </c>
      <c r="J200" s="612">
        <v>184114330.13723901</v>
      </c>
      <c r="K200" s="612">
        <v>106838517.898137</v>
      </c>
      <c r="L200" s="533">
        <v>1.3674479494915399</v>
      </c>
      <c r="M200" s="533">
        <v>0.58028355434636303</v>
      </c>
      <c r="N200" s="533">
        <v>0.58028355434636303</v>
      </c>
      <c r="AH200" s="413"/>
    </row>
    <row r="201" spans="2:34" s="131" customFormat="1" ht="15.75" customHeight="1">
      <c r="B201" s="405"/>
      <c r="C201" s="614"/>
      <c r="D201" s="609"/>
      <c r="E201" s="609" t="s">
        <v>785</v>
      </c>
      <c r="F201" s="610"/>
      <c r="G201" s="611" t="s">
        <v>815</v>
      </c>
      <c r="H201" s="612">
        <v>0</v>
      </c>
      <c r="I201" s="613">
        <v>0</v>
      </c>
      <c r="J201" s="613"/>
      <c r="K201" s="613">
        <v>0</v>
      </c>
      <c r="L201" s="610"/>
      <c r="M201" s="610"/>
      <c r="N201" s="610">
        <v>0</v>
      </c>
      <c r="AH201" s="413"/>
    </row>
    <row r="202" spans="2:34" s="131" customFormat="1" ht="15.75" customHeight="1">
      <c r="B202" s="405"/>
      <c r="C202" s="614"/>
      <c r="D202" s="609"/>
      <c r="E202" s="609" t="s">
        <v>786</v>
      </c>
      <c r="F202" s="610"/>
      <c r="G202" s="611" t="s">
        <v>815</v>
      </c>
      <c r="H202" s="612">
        <v>0</v>
      </c>
      <c r="I202" s="613">
        <v>0</v>
      </c>
      <c r="J202" s="613"/>
      <c r="K202" s="613">
        <v>0</v>
      </c>
      <c r="L202" s="610"/>
      <c r="M202" s="610"/>
      <c r="N202" s="610">
        <v>0</v>
      </c>
      <c r="AH202" s="413"/>
    </row>
    <row r="203" spans="2:34" s="131" customFormat="1" ht="15.75" customHeight="1">
      <c r="B203" s="405"/>
      <c r="C203" s="614"/>
      <c r="D203" s="609"/>
      <c r="E203" s="609"/>
      <c r="F203" s="610"/>
      <c r="G203" s="610"/>
      <c r="H203" s="615"/>
      <c r="I203" s="610"/>
      <c r="J203" s="616"/>
      <c r="K203" s="617"/>
      <c r="L203" s="610"/>
      <c r="M203" s="610"/>
      <c r="N203" s="610">
        <v>0</v>
      </c>
      <c r="AH203" s="413"/>
    </row>
    <row r="204" spans="2:34" s="131" customFormat="1" ht="15.75" customHeight="1">
      <c r="B204" s="405"/>
      <c r="C204" s="618"/>
      <c r="D204" s="619"/>
      <c r="E204" s="591"/>
      <c r="F204" s="620"/>
      <c r="G204" s="621"/>
      <c r="H204" s="622"/>
      <c r="I204" s="623"/>
      <c r="J204" s="623"/>
      <c r="K204" s="623"/>
      <c r="L204" s="551"/>
      <c r="M204" s="551"/>
      <c r="N204" s="551"/>
      <c r="AH204" s="413"/>
    </row>
    <row r="205" spans="2:34" s="131" customFormat="1" ht="15.75" customHeight="1">
      <c r="B205" s="405"/>
      <c r="C205" s="624"/>
      <c r="D205" s="625"/>
      <c r="E205" s="626"/>
      <c r="F205" s="627"/>
      <c r="G205" s="628"/>
      <c r="H205" s="629"/>
      <c r="I205" s="630"/>
      <c r="J205" s="630"/>
      <c r="K205" s="630"/>
      <c r="L205" s="559"/>
      <c r="M205" s="559"/>
      <c r="N205" s="559"/>
      <c r="AH205" s="413"/>
    </row>
    <row r="206" spans="2:34" s="131" customFormat="1" ht="15.75" customHeight="1">
      <c r="B206" s="405"/>
      <c r="C206" s="631">
        <v>2</v>
      </c>
      <c r="D206" s="632" t="s">
        <v>787</v>
      </c>
      <c r="E206" s="633"/>
      <c r="F206" s="634"/>
      <c r="G206" s="635" t="s">
        <v>815</v>
      </c>
      <c r="H206" s="636">
        <v>4566043524.6489296</v>
      </c>
      <c r="I206" s="636">
        <v>5068197101.0566702</v>
      </c>
      <c r="J206" s="636">
        <v>5068197101.0566702</v>
      </c>
      <c r="K206" s="636">
        <v>5308127636.3798304</v>
      </c>
      <c r="L206" s="565">
        <v>1.1625223473505899</v>
      </c>
      <c r="M206" s="565">
        <v>1.04734041130191</v>
      </c>
      <c r="N206" s="565">
        <v>1.04734041130191</v>
      </c>
      <c r="AH206" s="413"/>
    </row>
    <row r="207" spans="2:34" s="131" customFormat="1" ht="15.75" customHeight="1">
      <c r="B207" s="405"/>
      <c r="C207" s="637">
        <v>2.1</v>
      </c>
      <c r="D207" s="638"/>
      <c r="E207" s="639" t="s">
        <v>788</v>
      </c>
      <c r="F207" s="640"/>
      <c r="G207" s="641" t="s">
        <v>815</v>
      </c>
      <c r="H207" s="642">
        <v>2045006540.3970001</v>
      </c>
      <c r="I207" s="643">
        <v>2144308640.40101</v>
      </c>
      <c r="J207" s="643">
        <v>2144308640.40101</v>
      </c>
      <c r="K207" s="643">
        <v>2553222418.1241202</v>
      </c>
      <c r="L207" s="533">
        <v>1.24851552681512</v>
      </c>
      <c r="M207" s="533">
        <v>1.1906972578568</v>
      </c>
      <c r="N207" s="533">
        <v>1.1906972578568</v>
      </c>
      <c r="AH207" s="413"/>
    </row>
    <row r="208" spans="2:34" s="131" customFormat="1" ht="15.75" customHeight="1">
      <c r="B208" s="405"/>
      <c r="C208" s="637"/>
      <c r="D208" s="638"/>
      <c r="E208" s="639"/>
      <c r="F208" s="644" t="s">
        <v>789</v>
      </c>
      <c r="G208" s="645" t="s">
        <v>815</v>
      </c>
      <c r="H208" s="612">
        <v>15973817.674000001</v>
      </c>
      <c r="I208" s="613">
        <v>12523958.0698037</v>
      </c>
      <c r="J208" s="613">
        <v>12523958.0698037</v>
      </c>
      <c r="K208" s="613">
        <v>63992695.215999998</v>
      </c>
      <c r="L208" s="533">
        <v>4.0060990128964997</v>
      </c>
      <c r="M208" s="533">
        <v>5.1096222822952297</v>
      </c>
      <c r="N208" s="533">
        <v>5.1096222822952297</v>
      </c>
      <c r="AH208" s="413"/>
    </row>
    <row r="209" spans="2:34" s="131" customFormat="1" ht="15.75" customHeight="1">
      <c r="B209" s="405"/>
      <c r="C209" s="607"/>
      <c r="D209" s="608"/>
      <c r="E209" s="609"/>
      <c r="F209" s="609" t="s">
        <v>790</v>
      </c>
      <c r="G209" s="645" t="s">
        <v>815</v>
      </c>
      <c r="H209" s="612">
        <v>3428736.6060000001</v>
      </c>
      <c r="I209" s="613">
        <v>3544258.1117765298</v>
      </c>
      <c r="J209" s="613">
        <v>3544258.1117765298</v>
      </c>
      <c r="K209" s="613">
        <v>6415782.5470000003</v>
      </c>
      <c r="L209" s="533">
        <v>1.8711797621820601</v>
      </c>
      <c r="M209" s="533">
        <v>1.81019055177788</v>
      </c>
      <c r="N209" s="533">
        <v>1.81019055177788</v>
      </c>
      <c r="AH209" s="413"/>
    </row>
    <row r="210" spans="2:34" s="131" customFormat="1" ht="15.75" customHeight="1">
      <c r="B210" s="405"/>
      <c r="C210" s="646"/>
      <c r="D210" s="647"/>
      <c r="E210" s="648"/>
      <c r="F210" s="644" t="s">
        <v>791</v>
      </c>
      <c r="G210" s="649" t="s">
        <v>815</v>
      </c>
      <c r="H210" s="612">
        <v>1589750512.904</v>
      </c>
      <c r="I210" s="613">
        <v>1629394206.2335701</v>
      </c>
      <c r="J210" s="613">
        <v>1629394206.2335701</v>
      </c>
      <c r="K210" s="613">
        <v>1934707431.72612</v>
      </c>
      <c r="L210" s="533">
        <v>1.2169880846221499</v>
      </c>
      <c r="M210" s="533">
        <v>1.1873783669565701</v>
      </c>
      <c r="N210" s="533">
        <v>1.1873783669565701</v>
      </c>
      <c r="AH210" s="413"/>
    </row>
    <row r="211" spans="2:34" s="131" customFormat="1" ht="15.75" customHeight="1">
      <c r="B211" s="405"/>
      <c r="C211" s="607"/>
      <c r="D211" s="608"/>
      <c r="E211" s="609"/>
      <c r="F211" s="609" t="s">
        <v>792</v>
      </c>
      <c r="G211" s="645" t="s">
        <v>815</v>
      </c>
      <c r="H211" s="612">
        <v>435853473.213</v>
      </c>
      <c r="I211" s="613">
        <v>498846217.98585999</v>
      </c>
      <c r="J211" s="613">
        <v>498846217.98585999</v>
      </c>
      <c r="K211" s="613">
        <v>548106508.63499999</v>
      </c>
      <c r="L211" s="533">
        <v>1.2575476446120699</v>
      </c>
      <c r="M211" s="533">
        <v>1.09874844966858</v>
      </c>
      <c r="N211" s="533">
        <v>1.09874844966858</v>
      </c>
      <c r="AH211" s="413"/>
    </row>
    <row r="212" spans="2:34" s="131" customFormat="1" ht="15.75" customHeight="1">
      <c r="B212" s="405"/>
      <c r="C212" s="607"/>
      <c r="D212" s="608"/>
      <c r="E212" s="609"/>
      <c r="F212" s="609" t="s">
        <v>793</v>
      </c>
      <c r="G212" s="645" t="s">
        <v>815</v>
      </c>
      <c r="H212" s="612">
        <v>0</v>
      </c>
      <c r="I212" s="613">
        <v>0</v>
      </c>
      <c r="J212" s="613">
        <v>0</v>
      </c>
      <c r="K212" s="613">
        <v>0</v>
      </c>
      <c r="L212" s="533">
        <v>0</v>
      </c>
      <c r="M212" s="533">
        <v>0</v>
      </c>
      <c r="N212" s="533">
        <v>0</v>
      </c>
      <c r="AH212" s="413"/>
    </row>
    <row r="213" spans="2:34" s="131" customFormat="1" ht="15.75" customHeight="1">
      <c r="B213" s="405"/>
      <c r="C213" s="607"/>
      <c r="D213" s="608"/>
      <c r="E213" s="609"/>
      <c r="F213" s="609" t="s">
        <v>794</v>
      </c>
      <c r="G213" s="645" t="s">
        <v>815</v>
      </c>
      <c r="H213" s="612">
        <v>0</v>
      </c>
      <c r="I213" s="613">
        <v>0</v>
      </c>
      <c r="J213" s="613">
        <v>0</v>
      </c>
      <c r="K213" s="613">
        <v>0</v>
      </c>
      <c r="L213" s="533">
        <v>0</v>
      </c>
      <c r="M213" s="533">
        <v>0</v>
      </c>
      <c r="N213" s="533">
        <v>0</v>
      </c>
      <c r="AH213" s="413"/>
    </row>
    <row r="214" spans="2:34" s="131" customFormat="1" ht="15.75" customHeight="1">
      <c r="B214" s="405"/>
      <c r="C214" s="637">
        <v>2.2000000000000002</v>
      </c>
      <c r="D214" s="608"/>
      <c r="E214" s="639" t="s">
        <v>795</v>
      </c>
      <c r="F214" s="640"/>
      <c r="G214" s="641" t="s">
        <v>815</v>
      </c>
      <c r="H214" s="642">
        <v>0</v>
      </c>
      <c r="I214" s="643">
        <v>0</v>
      </c>
      <c r="J214" s="643">
        <v>0</v>
      </c>
      <c r="K214" s="643">
        <v>0</v>
      </c>
      <c r="L214" s="533">
        <v>0</v>
      </c>
      <c r="M214" s="533">
        <v>0</v>
      </c>
      <c r="N214" s="533">
        <v>0</v>
      </c>
      <c r="AH214" s="413"/>
    </row>
    <row r="215" spans="2:34" s="131" customFormat="1" ht="15.75" customHeight="1">
      <c r="B215" s="405"/>
      <c r="C215" s="607"/>
      <c r="D215" s="608"/>
      <c r="E215" s="609"/>
      <c r="F215" s="650" t="s">
        <v>796</v>
      </c>
      <c r="G215" s="645" t="s">
        <v>815</v>
      </c>
      <c r="H215" s="612">
        <v>0</v>
      </c>
      <c r="I215" s="613"/>
      <c r="J215" s="613">
        <v>0</v>
      </c>
      <c r="K215" s="613">
        <v>0</v>
      </c>
      <c r="L215" s="533">
        <v>0</v>
      </c>
      <c r="M215" s="533">
        <v>0</v>
      </c>
      <c r="N215" s="533">
        <v>0</v>
      </c>
      <c r="AH215" s="413"/>
    </row>
    <row r="216" spans="2:34" s="131" customFormat="1" ht="15.75" customHeight="1">
      <c r="B216" s="405"/>
      <c r="C216" s="607"/>
      <c r="D216" s="608"/>
      <c r="E216" s="609"/>
      <c r="F216" s="650" t="s">
        <v>797</v>
      </c>
      <c r="G216" s="645" t="s">
        <v>815</v>
      </c>
      <c r="H216" s="612">
        <v>0</v>
      </c>
      <c r="I216" s="613"/>
      <c r="J216" s="613">
        <v>0</v>
      </c>
      <c r="K216" s="613">
        <v>0</v>
      </c>
      <c r="L216" s="533">
        <v>0</v>
      </c>
      <c r="M216" s="533">
        <v>0</v>
      </c>
      <c r="N216" s="533">
        <v>0</v>
      </c>
      <c r="AH216" s="413"/>
    </row>
    <row r="217" spans="2:34" s="131" customFormat="1" ht="15.75" customHeight="1">
      <c r="B217" s="405"/>
      <c r="C217" s="637">
        <v>2.2999999999999998</v>
      </c>
      <c r="D217" s="638"/>
      <c r="E217" s="639" t="s">
        <v>798</v>
      </c>
      <c r="F217" s="640"/>
      <c r="G217" s="641" t="s">
        <v>815</v>
      </c>
      <c r="H217" s="642">
        <v>1130056873.983</v>
      </c>
      <c r="I217" s="643">
        <v>1208090659.5231099</v>
      </c>
      <c r="J217" s="643">
        <v>1208090659.5231099</v>
      </c>
      <c r="K217" s="643">
        <v>1279364672.358</v>
      </c>
      <c r="L217" s="533">
        <v>1.1321241450872701</v>
      </c>
      <c r="M217" s="533">
        <v>1.05899723855412</v>
      </c>
      <c r="N217" s="533">
        <v>1.05899723855412</v>
      </c>
      <c r="AH217" s="413"/>
    </row>
    <row r="218" spans="2:34" s="131" customFormat="1" ht="15.75" customHeight="1">
      <c r="B218" s="405"/>
      <c r="C218" s="637">
        <v>2.4</v>
      </c>
      <c r="D218" s="638"/>
      <c r="E218" s="639" t="s">
        <v>799</v>
      </c>
      <c r="F218" s="640"/>
      <c r="G218" s="641" t="s">
        <v>815</v>
      </c>
      <c r="H218" s="642">
        <v>8244311.1109999996</v>
      </c>
      <c r="I218" s="643">
        <v>8549760</v>
      </c>
      <c r="J218" s="643">
        <v>8549760</v>
      </c>
      <c r="K218" s="643">
        <v>19279932.530999999</v>
      </c>
      <c r="L218" s="533">
        <v>2.3385741114592</v>
      </c>
      <c r="M218" s="533">
        <v>2.25502616810296</v>
      </c>
      <c r="N218" s="533">
        <v>2.25502616810296</v>
      </c>
      <c r="AH218" s="413"/>
    </row>
    <row r="219" spans="2:34" s="131" customFormat="1" ht="15.75" customHeight="1">
      <c r="B219" s="405"/>
      <c r="C219" s="637">
        <v>2.5</v>
      </c>
      <c r="D219" s="638"/>
      <c r="E219" s="639" t="s">
        <v>800</v>
      </c>
      <c r="F219" s="640"/>
      <c r="G219" s="641" t="s">
        <v>815</v>
      </c>
      <c r="H219" s="642">
        <v>391540688.59724802</v>
      </c>
      <c r="I219" s="643">
        <v>500999486.38412702</v>
      </c>
      <c r="J219" s="643">
        <v>500999486.38412702</v>
      </c>
      <c r="K219" s="643">
        <v>425573916.79103398</v>
      </c>
      <c r="L219" s="533">
        <v>1.0869213064821299</v>
      </c>
      <c r="M219" s="533">
        <v>0.84944980655077296</v>
      </c>
      <c r="N219" s="533">
        <v>0.84944980655077296</v>
      </c>
      <c r="AH219" s="413"/>
    </row>
    <row r="220" spans="2:34" s="131" customFormat="1" ht="15.75" customHeight="1">
      <c r="B220" s="405"/>
      <c r="C220" s="607"/>
      <c r="D220" s="608"/>
      <c r="E220" s="609"/>
      <c r="F220" s="609"/>
      <c r="G220" s="645"/>
      <c r="H220" s="612"/>
      <c r="I220" s="613"/>
      <c r="J220" s="613"/>
      <c r="K220" s="613"/>
      <c r="L220" s="533">
        <v>0</v>
      </c>
      <c r="M220" s="533">
        <v>0</v>
      </c>
      <c r="N220" s="533">
        <v>0</v>
      </c>
      <c r="AH220" s="413"/>
    </row>
    <row r="221" spans="2:34" s="131" customFormat="1" ht="15.75" customHeight="1">
      <c r="B221" s="405"/>
      <c r="C221" s="637">
        <v>2.6</v>
      </c>
      <c r="D221" s="638"/>
      <c r="E221" s="639" t="s">
        <v>801</v>
      </c>
      <c r="F221" s="640"/>
      <c r="G221" s="641" t="s">
        <v>815</v>
      </c>
      <c r="H221" s="642">
        <v>212345132.91100001</v>
      </c>
      <c r="I221" s="643">
        <v>243174834.04386699</v>
      </c>
      <c r="J221" s="643">
        <v>243174834.04386699</v>
      </c>
      <c r="K221" s="643">
        <v>232817412.40099999</v>
      </c>
      <c r="L221" s="533">
        <v>1.0964104013562701</v>
      </c>
      <c r="M221" s="533">
        <v>0.95740751018257497</v>
      </c>
      <c r="N221" s="533">
        <v>0.95740751018257497</v>
      </c>
      <c r="AH221" s="413"/>
    </row>
    <row r="222" spans="2:34" s="131" customFormat="1" ht="15.75" customHeight="1">
      <c r="B222" s="405"/>
      <c r="C222" s="607"/>
      <c r="D222" s="608"/>
      <c r="E222" s="609"/>
      <c r="F222" s="610" t="s">
        <v>802</v>
      </c>
      <c r="G222" s="645" t="s">
        <v>815</v>
      </c>
      <c r="H222" s="612">
        <v>127515627.5</v>
      </c>
      <c r="I222" s="613">
        <v>138961592.73886001</v>
      </c>
      <c r="J222" s="613">
        <v>138961592.73886001</v>
      </c>
      <c r="K222" s="613">
        <v>134899377.23899999</v>
      </c>
      <c r="L222" s="533">
        <v>1.0579046653634701</v>
      </c>
      <c r="M222" s="533">
        <v>0.97076735074925602</v>
      </c>
      <c r="N222" s="533">
        <v>0.97076735074925702</v>
      </c>
      <c r="AH222" s="413"/>
    </row>
    <row r="223" spans="2:34" s="131" customFormat="1" ht="15.75" customHeight="1">
      <c r="B223" s="405"/>
      <c r="C223" s="607"/>
      <c r="D223" s="608"/>
      <c r="E223" s="609"/>
      <c r="F223" s="651" t="s">
        <v>803</v>
      </c>
      <c r="G223" s="645" t="s">
        <v>815</v>
      </c>
      <c r="H223" s="612">
        <v>78062120.413000003</v>
      </c>
      <c r="I223" s="613">
        <v>94228691.305007696</v>
      </c>
      <c r="J223" s="613">
        <v>94228691.305007696</v>
      </c>
      <c r="K223" s="613">
        <v>88353992.836999997</v>
      </c>
      <c r="L223" s="533">
        <v>1.13184208127513</v>
      </c>
      <c r="M223" s="533">
        <v>0.93765488635523997</v>
      </c>
      <c r="N223" s="533">
        <v>0.93765488635523997</v>
      </c>
      <c r="AH223" s="413"/>
    </row>
    <row r="224" spans="2:34" s="131" customFormat="1" ht="15.75" customHeight="1">
      <c r="B224" s="405"/>
      <c r="C224" s="607"/>
      <c r="D224" s="608"/>
      <c r="E224" s="609"/>
      <c r="F224" s="651" t="s">
        <v>804</v>
      </c>
      <c r="G224" s="645" t="s">
        <v>815</v>
      </c>
      <c r="H224" s="612">
        <v>6767384.9979999997</v>
      </c>
      <c r="I224" s="613">
        <v>9984550</v>
      </c>
      <c r="J224" s="613">
        <v>9984550</v>
      </c>
      <c r="K224" s="613">
        <v>9564042.3249999993</v>
      </c>
      <c r="L224" s="533">
        <v>1.4132552422873099</v>
      </c>
      <c r="M224" s="533">
        <v>0.95788416353265804</v>
      </c>
      <c r="N224" s="533">
        <v>0.95788416353265804</v>
      </c>
      <c r="AH224" s="413"/>
    </row>
    <row r="225" spans="2:34" s="131" customFormat="1" ht="15.75" customHeight="1">
      <c r="B225" s="405"/>
      <c r="C225" s="637">
        <v>2.7</v>
      </c>
      <c r="D225" s="638"/>
      <c r="E225" s="639" t="s">
        <v>805</v>
      </c>
      <c r="F225" s="640"/>
      <c r="G225" s="641" t="s">
        <v>815</v>
      </c>
      <c r="H225" s="642">
        <v>546264154.71636403</v>
      </c>
      <c r="I225" s="643">
        <v>597096370.66975605</v>
      </c>
      <c r="J225" s="643">
        <v>597096370.66975498</v>
      </c>
      <c r="K225" s="643">
        <v>509682706.36597902</v>
      </c>
      <c r="L225" s="533">
        <v>0.93303340877385799</v>
      </c>
      <c r="M225" s="533">
        <v>0.85360208402250803</v>
      </c>
      <c r="N225" s="533">
        <v>0.85360208402250803</v>
      </c>
      <c r="AH225" s="413"/>
    </row>
    <row r="226" spans="2:34" s="131" customFormat="1" ht="15.75" customHeight="1">
      <c r="B226" s="405"/>
      <c r="C226" s="637">
        <v>2.8</v>
      </c>
      <c r="D226" s="608"/>
      <c r="E226" s="639" t="s">
        <v>806</v>
      </c>
      <c r="F226" s="610"/>
      <c r="G226" s="641" t="s">
        <v>815</v>
      </c>
      <c r="H226" s="642">
        <v>101486743.618031</v>
      </c>
      <c r="I226" s="643">
        <v>119920921.89696801</v>
      </c>
      <c r="J226" s="643">
        <v>119920921.89696801</v>
      </c>
      <c r="K226" s="643">
        <v>121384805.71719299</v>
      </c>
      <c r="L226" s="533">
        <v>1.1960656277833901</v>
      </c>
      <c r="M226" s="533">
        <v>1.0122070761053901</v>
      </c>
      <c r="N226" s="533">
        <v>1.0122070761053901</v>
      </c>
      <c r="AH226" s="413"/>
    </row>
    <row r="227" spans="2:34" s="131" customFormat="1" ht="15.75" customHeight="1">
      <c r="B227" s="405"/>
      <c r="C227" s="646"/>
      <c r="D227" s="647"/>
      <c r="E227" s="648"/>
      <c r="F227" s="652" t="s">
        <v>807</v>
      </c>
      <c r="G227" s="649" t="s">
        <v>815</v>
      </c>
      <c r="H227" s="612">
        <v>21427540.934999999</v>
      </c>
      <c r="I227" s="653">
        <v>20990948.9758</v>
      </c>
      <c r="J227" s="653">
        <v>20990948.9758</v>
      </c>
      <c r="K227" s="653">
        <v>22708066.890000001</v>
      </c>
      <c r="L227" s="533">
        <v>1.0597607517766201</v>
      </c>
      <c r="M227" s="533">
        <v>1.0818027768148799</v>
      </c>
      <c r="N227" s="533">
        <v>1.0818027768148899</v>
      </c>
      <c r="AH227" s="413"/>
    </row>
    <row r="228" spans="2:34" s="131" customFormat="1" ht="15.75" customHeight="1">
      <c r="B228" s="405"/>
      <c r="C228" s="646"/>
      <c r="D228" s="647"/>
      <c r="E228" s="648"/>
      <c r="F228" s="652" t="s">
        <v>808</v>
      </c>
      <c r="G228" s="649" t="s">
        <v>815</v>
      </c>
      <c r="H228" s="612">
        <v>80059202.683030993</v>
      </c>
      <c r="I228" s="653">
        <v>98929972.921167895</v>
      </c>
      <c r="J228" s="653">
        <v>98929972.921168</v>
      </c>
      <c r="K228" s="653">
        <v>98676738.827192694</v>
      </c>
      <c r="L228" s="533">
        <v>1.2325471091421201</v>
      </c>
      <c r="M228" s="533">
        <v>0.99744026924805695</v>
      </c>
      <c r="N228" s="533">
        <v>0.99744026924805596</v>
      </c>
      <c r="AH228" s="413"/>
    </row>
    <row r="229" spans="2:34" s="131" customFormat="1" ht="15.75" customHeight="1">
      <c r="B229" s="405"/>
      <c r="C229" s="637" t="s">
        <v>809</v>
      </c>
      <c r="D229" s="608"/>
      <c r="E229" s="639" t="s">
        <v>810</v>
      </c>
      <c r="F229" s="610"/>
      <c r="G229" s="654" t="s">
        <v>815</v>
      </c>
      <c r="H229" s="612">
        <v>131099079.31529</v>
      </c>
      <c r="I229" s="613">
        <v>246056428.137826</v>
      </c>
      <c r="J229" s="613">
        <v>246056428.137826</v>
      </c>
      <c r="K229" s="613">
        <v>166801772.09150201</v>
      </c>
      <c r="L229" s="533">
        <v>1.2723336652147601</v>
      </c>
      <c r="M229" s="533">
        <v>0.67790048548566995</v>
      </c>
      <c r="N229" s="533">
        <v>0.67790048548566995</v>
      </c>
      <c r="AH229" s="413"/>
    </row>
    <row r="230" spans="2:34" s="131" customFormat="1" ht="15.75" customHeight="1" thickBot="1">
      <c r="B230" s="405"/>
      <c r="C230" s="655"/>
      <c r="D230" s="656"/>
      <c r="E230" s="657"/>
      <c r="F230" s="658"/>
      <c r="G230" s="659"/>
      <c r="H230" s="660"/>
      <c r="I230" s="660"/>
      <c r="J230" s="660"/>
      <c r="K230" s="660"/>
      <c r="L230" s="661"/>
      <c r="M230" s="661"/>
      <c r="N230" s="661"/>
      <c r="AH230" s="413"/>
    </row>
    <row r="231" spans="2:34" s="131" customFormat="1" ht="15.75" customHeight="1">
      <c r="B231" s="405"/>
      <c r="C231" s="662"/>
      <c r="D231" s="663"/>
      <c r="E231" s="663"/>
      <c r="F231" s="663"/>
      <c r="G231" s="663"/>
      <c r="H231" s="664"/>
      <c r="I231" s="664"/>
      <c r="J231" s="664"/>
      <c r="K231" s="664"/>
      <c r="L231" s="665"/>
      <c r="M231" s="665"/>
      <c r="N231" s="665"/>
      <c r="O231" s="665"/>
      <c r="P231" s="665"/>
      <c r="AH231" s="413"/>
    </row>
    <row r="232" spans="2:34" s="131" customFormat="1" ht="15.75" customHeight="1">
      <c r="B232" s="405"/>
      <c r="C232" s="1613" t="s">
        <v>766</v>
      </c>
      <c r="D232" s="1613"/>
      <c r="E232" s="1613"/>
      <c r="F232" s="1613"/>
      <c r="G232" s="1613"/>
      <c r="H232" s="1613"/>
      <c r="I232" s="1613"/>
      <c r="J232" s="1613"/>
      <c r="K232" s="1613"/>
      <c r="L232" s="1613"/>
      <c r="M232" s="1613"/>
      <c r="N232" s="1613"/>
      <c r="O232" s="1613"/>
      <c r="P232" s="1613"/>
      <c r="AH232" s="413"/>
    </row>
    <row r="233" spans="2:34" s="131" customFormat="1" ht="15.75" customHeight="1">
      <c r="B233" s="405"/>
      <c r="C233" s="1613" t="s">
        <v>816</v>
      </c>
      <c r="D233" s="1613"/>
      <c r="E233" s="1613"/>
      <c r="F233" s="1613"/>
      <c r="G233" s="1613"/>
      <c r="H233" s="1613"/>
      <c r="I233" s="1613"/>
      <c r="J233" s="1613"/>
      <c r="K233" s="1613"/>
      <c r="L233" s="1613"/>
      <c r="M233" s="1613"/>
      <c r="N233" s="1613"/>
      <c r="O233" s="1613"/>
      <c r="P233" s="1613"/>
      <c r="AH233" s="413"/>
    </row>
    <row r="234" spans="2:34" s="131" customFormat="1" ht="15.75" customHeight="1" thickBot="1">
      <c r="B234" s="405"/>
      <c r="C234" s="666"/>
      <c r="D234" s="666"/>
      <c r="E234" s="666"/>
      <c r="F234" s="666"/>
      <c r="G234" s="666"/>
      <c r="H234" s="666"/>
      <c r="I234" s="666"/>
      <c r="J234" s="666"/>
      <c r="K234" s="666"/>
      <c r="L234" s="666"/>
      <c r="M234" s="666"/>
      <c r="N234" s="667" t="s">
        <v>768</v>
      </c>
      <c r="O234" s="666"/>
      <c r="P234" s="666"/>
      <c r="AH234" s="413"/>
    </row>
    <row r="235" spans="2:34" s="131" customFormat="1" ht="15.75" customHeight="1">
      <c r="B235" s="405"/>
      <c r="C235" s="1614" t="s">
        <v>47</v>
      </c>
      <c r="D235" s="1616" t="s">
        <v>769</v>
      </c>
      <c r="E235" s="1616"/>
      <c r="F235" s="1616"/>
      <c r="G235" s="1618" t="s">
        <v>770</v>
      </c>
      <c r="H235" s="1620" t="s">
        <v>817</v>
      </c>
      <c r="I235" s="668" t="s">
        <v>772</v>
      </c>
      <c r="J235" s="1622" t="s">
        <v>818</v>
      </c>
      <c r="K235" s="1624" t="s">
        <v>819</v>
      </c>
      <c r="L235" s="1624"/>
      <c r="M235" s="1624"/>
      <c r="N235" s="669"/>
      <c r="AH235" s="413"/>
    </row>
    <row r="236" spans="2:34" s="131" customFormat="1" ht="15.75" customHeight="1">
      <c r="B236" s="405"/>
      <c r="C236" s="1615"/>
      <c r="D236" s="1617"/>
      <c r="E236" s="1617"/>
      <c r="F236" s="1617"/>
      <c r="G236" s="1619"/>
      <c r="H236" s="1621"/>
      <c r="I236" s="670">
        <v>2023</v>
      </c>
      <c r="J236" s="1623"/>
      <c r="K236" s="671" t="s">
        <v>775</v>
      </c>
      <c r="L236" s="672" t="s">
        <v>202</v>
      </c>
      <c r="M236" s="672" t="s">
        <v>202</v>
      </c>
      <c r="N236" s="672" t="s">
        <v>202</v>
      </c>
      <c r="AH236" s="413"/>
    </row>
    <row r="237" spans="2:34" s="131" customFormat="1" ht="15.75" customHeight="1">
      <c r="B237" s="405"/>
      <c r="C237" s="673"/>
      <c r="D237" s="1604">
        <v>1</v>
      </c>
      <c r="E237" s="1605"/>
      <c r="F237" s="1606"/>
      <c r="G237" s="674">
        <v>2</v>
      </c>
      <c r="H237" s="674">
        <v>3</v>
      </c>
      <c r="I237" s="674">
        <v>4</v>
      </c>
      <c r="J237" s="675">
        <v>5</v>
      </c>
      <c r="K237" s="674">
        <v>6</v>
      </c>
      <c r="L237" s="674" t="s">
        <v>776</v>
      </c>
      <c r="M237" s="674" t="s">
        <v>777</v>
      </c>
      <c r="N237" s="674" t="s">
        <v>778</v>
      </c>
      <c r="AH237" s="413"/>
    </row>
    <row r="238" spans="2:34" s="131" customFormat="1" ht="15.75" customHeight="1">
      <c r="B238" s="405"/>
      <c r="C238" s="676">
        <v>1</v>
      </c>
      <c r="D238" s="677" t="s">
        <v>779</v>
      </c>
      <c r="E238" s="678"/>
      <c r="F238" s="679"/>
      <c r="G238" s="680" t="s">
        <v>815</v>
      </c>
      <c r="H238" s="681">
        <v>6578165054.8677797</v>
      </c>
      <c r="I238" s="681">
        <v>7030237645.5063</v>
      </c>
      <c r="J238" s="681">
        <v>7030237645.5063</v>
      </c>
      <c r="K238" s="681">
        <v>7690066661.7562504</v>
      </c>
      <c r="L238" s="533">
        <v>1.1690291437831399</v>
      </c>
      <c r="M238" s="533">
        <v>1.0938558622796599</v>
      </c>
      <c r="N238" s="533">
        <v>1.0938558622796599</v>
      </c>
      <c r="AH238" s="413"/>
    </row>
    <row r="239" spans="2:34" s="131" customFormat="1" ht="15.75" customHeight="1">
      <c r="B239" s="405"/>
      <c r="C239" s="682"/>
      <c r="D239" s="683"/>
      <c r="E239" s="684" t="s">
        <v>781</v>
      </c>
      <c r="F239" s="685"/>
      <c r="G239" s="686" t="s">
        <v>815</v>
      </c>
      <c r="H239" s="687">
        <v>6455681782.5576401</v>
      </c>
      <c r="I239" s="688">
        <v>5451760513.8605204</v>
      </c>
      <c r="J239" s="688">
        <v>6820167613.3329697</v>
      </c>
      <c r="K239" s="688">
        <v>7371585217.4811201</v>
      </c>
      <c r="L239" s="533">
        <v>1.1418755548636399</v>
      </c>
      <c r="M239" s="533">
        <v>1.3521476592267101</v>
      </c>
      <c r="N239" s="533">
        <v>1.08085103408165</v>
      </c>
      <c r="AH239" s="413"/>
    </row>
    <row r="240" spans="2:34" s="131" customFormat="1" ht="15.75" customHeight="1">
      <c r="B240" s="405"/>
      <c r="C240" s="682"/>
      <c r="D240" s="683"/>
      <c r="E240" s="684" t="s">
        <v>782</v>
      </c>
      <c r="F240" s="685"/>
      <c r="G240" s="686" t="s">
        <v>815</v>
      </c>
      <c r="H240" s="687">
        <v>0</v>
      </c>
      <c r="I240" s="688">
        <v>0</v>
      </c>
      <c r="J240" s="688">
        <v>0</v>
      </c>
      <c r="K240" s="688">
        <v>0</v>
      </c>
      <c r="L240" s="533">
        <v>0</v>
      </c>
      <c r="M240" s="533">
        <v>0</v>
      </c>
      <c r="N240" s="533">
        <v>0</v>
      </c>
      <c r="AH240" s="413"/>
    </row>
    <row r="241" spans="2:34" s="131" customFormat="1" ht="15.75" customHeight="1">
      <c r="B241" s="405"/>
      <c r="C241" s="682"/>
      <c r="D241" s="683"/>
      <c r="E241" s="684" t="s">
        <v>783</v>
      </c>
      <c r="F241" s="685"/>
      <c r="G241" s="686" t="s">
        <v>815</v>
      </c>
      <c r="H241" s="687">
        <v>15644754.412</v>
      </c>
      <c r="I241" s="688">
        <v>17555074.787036799</v>
      </c>
      <c r="J241" s="687">
        <v>17555074.787036799</v>
      </c>
      <c r="K241" s="687">
        <v>22095659.157000002</v>
      </c>
      <c r="L241" s="533">
        <v>1.41233659379478</v>
      </c>
      <c r="M241" s="533">
        <v>1.25864796504975</v>
      </c>
      <c r="N241" s="533">
        <v>1.25864796504975</v>
      </c>
      <c r="AH241" s="413"/>
    </row>
    <row r="242" spans="2:34" s="131" customFormat="1" ht="15.75" customHeight="1">
      <c r="B242" s="405"/>
      <c r="C242" s="689"/>
      <c r="D242" s="684"/>
      <c r="E242" s="684" t="s">
        <v>784</v>
      </c>
      <c r="F242" s="685"/>
      <c r="G242" s="686" t="s">
        <v>815</v>
      </c>
      <c r="H242" s="687">
        <v>106838517.898137</v>
      </c>
      <c r="I242" s="688">
        <v>1560922056.8587401</v>
      </c>
      <c r="J242" s="687">
        <v>192514957.38629499</v>
      </c>
      <c r="K242" s="687">
        <v>296385785.11813003</v>
      </c>
      <c r="L242" s="533">
        <v>2.77414729209098</v>
      </c>
      <c r="M242" s="533">
        <v>0.18987865782010199</v>
      </c>
      <c r="N242" s="533">
        <v>1.5395467923222701</v>
      </c>
      <c r="AH242" s="413"/>
    </row>
    <row r="243" spans="2:34" s="131" customFormat="1" ht="15.75" customHeight="1">
      <c r="B243" s="405"/>
      <c r="C243" s="689"/>
      <c r="D243" s="684"/>
      <c r="E243" s="684" t="s">
        <v>785</v>
      </c>
      <c r="F243" s="685"/>
      <c r="G243" s="686" t="s">
        <v>815</v>
      </c>
      <c r="H243" s="687">
        <v>0</v>
      </c>
      <c r="I243" s="688">
        <v>0</v>
      </c>
      <c r="J243" s="688"/>
      <c r="K243" s="688">
        <v>0</v>
      </c>
      <c r="L243" s="685"/>
      <c r="M243" s="685"/>
      <c r="N243" s="685">
        <v>0</v>
      </c>
      <c r="AH243" s="413"/>
    </row>
    <row r="244" spans="2:34" s="131" customFormat="1" ht="15.75" customHeight="1">
      <c r="B244" s="405"/>
      <c r="C244" s="689"/>
      <c r="D244" s="684"/>
      <c r="E244" s="684" t="s">
        <v>786</v>
      </c>
      <c r="F244" s="685"/>
      <c r="G244" s="686" t="s">
        <v>815</v>
      </c>
      <c r="H244" s="687">
        <v>0</v>
      </c>
      <c r="I244" s="688">
        <v>0</v>
      </c>
      <c r="J244" s="688"/>
      <c r="K244" s="688">
        <v>0</v>
      </c>
      <c r="L244" s="685"/>
      <c r="M244" s="685"/>
      <c r="N244" s="685">
        <v>0</v>
      </c>
      <c r="AH244" s="413"/>
    </row>
    <row r="245" spans="2:34" s="131" customFormat="1" ht="15.75" customHeight="1">
      <c r="B245" s="405"/>
      <c r="C245" s="689"/>
      <c r="D245" s="684"/>
      <c r="E245" s="684"/>
      <c r="F245" s="685"/>
      <c r="G245" s="685"/>
      <c r="H245" s="690"/>
      <c r="I245" s="685"/>
      <c r="J245" s="691"/>
      <c r="K245" s="692"/>
      <c r="L245" s="685"/>
      <c r="M245" s="685"/>
      <c r="N245" s="685">
        <v>0</v>
      </c>
      <c r="AH245" s="413"/>
    </row>
    <row r="246" spans="2:34" s="131" customFormat="1" ht="15.75" customHeight="1">
      <c r="B246" s="405"/>
      <c r="C246" s="693"/>
      <c r="D246" s="694"/>
      <c r="E246" s="666"/>
      <c r="F246" s="695"/>
      <c r="G246" s="696"/>
      <c r="H246" s="697"/>
      <c r="I246" s="698"/>
      <c r="J246" s="698"/>
      <c r="K246" s="698"/>
      <c r="L246" s="551"/>
      <c r="M246" s="551"/>
      <c r="N246" s="551"/>
      <c r="AH246" s="413"/>
    </row>
    <row r="247" spans="2:34" s="131" customFormat="1" ht="15.75" customHeight="1">
      <c r="B247" s="405"/>
      <c r="C247" s="699"/>
      <c r="D247" s="700"/>
      <c r="E247" s="701"/>
      <c r="F247" s="702"/>
      <c r="G247" s="703"/>
      <c r="H247" s="704"/>
      <c r="I247" s="705"/>
      <c r="J247" s="705"/>
      <c r="K247" s="705"/>
      <c r="L247" s="559"/>
      <c r="M247" s="559"/>
      <c r="N247" s="559"/>
      <c r="AH247" s="413"/>
    </row>
    <row r="248" spans="2:34" s="131" customFormat="1" ht="15.75" customHeight="1">
      <c r="B248" s="405"/>
      <c r="C248" s="706">
        <v>2</v>
      </c>
      <c r="D248" s="707" t="s">
        <v>787</v>
      </c>
      <c r="E248" s="708"/>
      <c r="F248" s="709"/>
      <c r="G248" s="710" t="s">
        <v>815</v>
      </c>
      <c r="H248" s="711">
        <v>5308127636.3798304</v>
      </c>
      <c r="I248" s="711">
        <v>6087680033.2669497</v>
      </c>
      <c r="J248" s="711">
        <v>6111975556.0209999</v>
      </c>
      <c r="K248" s="711">
        <v>5965834932.32411</v>
      </c>
      <c r="L248" s="565">
        <v>1.12390570479817</v>
      </c>
      <c r="M248" s="565">
        <v>0.97998496959810599</v>
      </c>
      <c r="N248" s="565">
        <v>0.97608946201479396</v>
      </c>
      <c r="O248" s="712">
        <f>(K248/12)*10^3</f>
        <v>497152911027.00922</v>
      </c>
      <c r="AH248" s="413"/>
    </row>
    <row r="249" spans="2:34" s="131" customFormat="1" ht="15.75" customHeight="1">
      <c r="B249" s="405"/>
      <c r="C249" s="713">
        <v>2.1</v>
      </c>
      <c r="D249" s="714"/>
      <c r="E249" s="715" t="s">
        <v>788</v>
      </c>
      <c r="F249" s="716"/>
      <c r="G249" s="717" t="s">
        <v>815</v>
      </c>
      <c r="H249" s="718">
        <v>2553222418.1241202</v>
      </c>
      <c r="I249" s="719">
        <v>2767196526.8083501</v>
      </c>
      <c r="J249" s="719">
        <v>2767196526.8083501</v>
      </c>
      <c r="K249" s="719">
        <v>2615684026.09828</v>
      </c>
      <c r="L249" s="533">
        <v>1.0244638334407401</v>
      </c>
      <c r="M249" s="533">
        <v>0.94524693159946205</v>
      </c>
      <c r="N249" s="533">
        <v>0.94524693159946205</v>
      </c>
      <c r="AH249" s="413"/>
    </row>
    <row r="250" spans="2:34" s="131" customFormat="1" ht="15.75" customHeight="1">
      <c r="B250" s="405"/>
      <c r="C250" s="713"/>
      <c r="D250" s="714"/>
      <c r="E250" s="715"/>
      <c r="F250" s="720" t="s">
        <v>789</v>
      </c>
      <c r="G250" s="721" t="s">
        <v>815</v>
      </c>
      <c r="H250" s="687">
        <v>63992695.215999998</v>
      </c>
      <c r="I250" s="688">
        <v>30404146.521600001</v>
      </c>
      <c r="J250" s="688">
        <v>30404146.521600001</v>
      </c>
      <c r="K250" s="688">
        <v>45398538.982000001</v>
      </c>
      <c r="L250" s="533">
        <v>0.70943314434190397</v>
      </c>
      <c r="M250" s="533">
        <v>1.4931693264189301</v>
      </c>
      <c r="N250" s="533">
        <v>1.4931693264189301</v>
      </c>
      <c r="AH250" s="413"/>
    </row>
    <row r="251" spans="2:34" s="131" customFormat="1" ht="15.75" customHeight="1">
      <c r="B251" s="405"/>
      <c r="C251" s="682"/>
      <c r="D251" s="683"/>
      <c r="E251" s="684"/>
      <c r="F251" s="684" t="s">
        <v>790</v>
      </c>
      <c r="G251" s="721" t="s">
        <v>815</v>
      </c>
      <c r="H251" s="687">
        <v>6415782.5470000003</v>
      </c>
      <c r="I251" s="688">
        <v>3685217.1058340101</v>
      </c>
      <c r="J251" s="688">
        <v>3685217.1058340101</v>
      </c>
      <c r="K251" s="688">
        <v>7658684.6349999998</v>
      </c>
      <c r="L251" s="533">
        <v>1.19372571917687</v>
      </c>
      <c r="M251" s="533">
        <v>2.07821803032328</v>
      </c>
      <c r="N251" s="533">
        <v>2.07821803032328</v>
      </c>
      <c r="AH251" s="413"/>
    </row>
    <row r="252" spans="2:34" s="131" customFormat="1" ht="15.75" customHeight="1">
      <c r="B252" s="405"/>
      <c r="C252" s="722"/>
      <c r="D252" s="723"/>
      <c r="E252" s="724"/>
      <c r="F252" s="720" t="s">
        <v>791</v>
      </c>
      <c r="G252" s="725" t="s">
        <v>815</v>
      </c>
      <c r="H252" s="687">
        <v>1934707431.72612</v>
      </c>
      <c r="I252" s="688">
        <v>2159434152.32198</v>
      </c>
      <c r="J252" s="688">
        <v>2159434152.32198</v>
      </c>
      <c r="K252" s="688">
        <v>1986312262.2942801</v>
      </c>
      <c r="L252" s="533">
        <v>1.0266731960202</v>
      </c>
      <c r="M252" s="533">
        <v>0.919829974976757</v>
      </c>
      <c r="N252" s="533">
        <v>0.919829974976757</v>
      </c>
      <c r="AH252" s="413"/>
    </row>
    <row r="253" spans="2:34" s="131" customFormat="1" ht="15.75" customHeight="1">
      <c r="B253" s="405"/>
      <c r="C253" s="682"/>
      <c r="D253" s="683"/>
      <c r="E253" s="684"/>
      <c r="F253" s="684" t="s">
        <v>792</v>
      </c>
      <c r="G253" s="721" t="s">
        <v>815</v>
      </c>
      <c r="H253" s="687">
        <v>548106508.63499999</v>
      </c>
      <c r="I253" s="688">
        <v>573673010.85893703</v>
      </c>
      <c r="J253" s="688">
        <v>573673010.85893703</v>
      </c>
      <c r="K253" s="688">
        <v>576314540.18700004</v>
      </c>
      <c r="L253" s="533">
        <v>1.05146450755027</v>
      </c>
      <c r="M253" s="533">
        <v>1.0046045905560499</v>
      </c>
      <c r="N253" s="533">
        <v>1.0046045905560499</v>
      </c>
      <c r="AH253" s="413"/>
    </row>
    <row r="254" spans="2:34" s="131" customFormat="1" ht="15.75" customHeight="1">
      <c r="B254" s="405"/>
      <c r="C254" s="682"/>
      <c r="D254" s="683"/>
      <c r="E254" s="684"/>
      <c r="F254" s="684" t="s">
        <v>793</v>
      </c>
      <c r="G254" s="721" t="s">
        <v>815</v>
      </c>
      <c r="H254" s="687">
        <v>0</v>
      </c>
      <c r="I254" s="688">
        <v>0</v>
      </c>
      <c r="J254" s="688">
        <v>0</v>
      </c>
      <c r="K254" s="688">
        <v>0</v>
      </c>
      <c r="L254" s="533">
        <v>0</v>
      </c>
      <c r="M254" s="533">
        <v>0</v>
      </c>
      <c r="N254" s="533">
        <v>0</v>
      </c>
      <c r="AH254" s="413"/>
    </row>
    <row r="255" spans="2:34" s="131" customFormat="1" ht="15.75" customHeight="1">
      <c r="B255" s="405"/>
      <c r="C255" s="682"/>
      <c r="D255" s="683"/>
      <c r="E255" s="684"/>
      <c r="F255" s="684" t="s">
        <v>794</v>
      </c>
      <c r="G255" s="721" t="s">
        <v>815</v>
      </c>
      <c r="H255" s="687">
        <v>0</v>
      </c>
      <c r="I255" s="688">
        <v>0</v>
      </c>
      <c r="J255" s="688">
        <v>0</v>
      </c>
      <c r="K255" s="688">
        <v>0</v>
      </c>
      <c r="L255" s="533">
        <v>0</v>
      </c>
      <c r="M255" s="533">
        <v>0</v>
      </c>
      <c r="N255" s="533">
        <v>0</v>
      </c>
      <c r="AH255" s="413"/>
    </row>
    <row r="256" spans="2:34" s="131" customFormat="1" ht="15.75" customHeight="1">
      <c r="B256" s="405"/>
      <c r="C256" s="713">
        <v>2.2000000000000002</v>
      </c>
      <c r="D256" s="683"/>
      <c r="E256" s="715" t="s">
        <v>795</v>
      </c>
      <c r="F256" s="716"/>
      <c r="G256" s="717" t="s">
        <v>815</v>
      </c>
      <c r="H256" s="718">
        <v>0</v>
      </c>
      <c r="I256" s="719">
        <v>0</v>
      </c>
      <c r="J256" s="719">
        <v>0</v>
      </c>
      <c r="K256" s="719">
        <v>0</v>
      </c>
      <c r="L256" s="533">
        <v>0</v>
      </c>
      <c r="M256" s="533">
        <v>0</v>
      </c>
      <c r="N256" s="533">
        <v>0</v>
      </c>
      <c r="AH256" s="413"/>
    </row>
    <row r="257" spans="2:34" s="131" customFormat="1" ht="15.75" customHeight="1">
      <c r="B257" s="405"/>
      <c r="C257" s="682"/>
      <c r="D257" s="683"/>
      <c r="E257" s="684"/>
      <c r="F257" s="726" t="s">
        <v>796</v>
      </c>
      <c r="G257" s="721" t="s">
        <v>815</v>
      </c>
      <c r="H257" s="687">
        <v>0</v>
      </c>
      <c r="I257" s="688"/>
      <c r="J257" s="688">
        <v>0</v>
      </c>
      <c r="K257" s="688">
        <v>0</v>
      </c>
      <c r="L257" s="533">
        <v>0</v>
      </c>
      <c r="M257" s="533">
        <v>0</v>
      </c>
      <c r="N257" s="533">
        <v>0</v>
      </c>
      <c r="AH257" s="413"/>
    </row>
    <row r="258" spans="2:34" s="131" customFormat="1" ht="15.75" customHeight="1">
      <c r="B258" s="405"/>
      <c r="C258" s="682"/>
      <c r="D258" s="683"/>
      <c r="E258" s="684"/>
      <c r="F258" s="726" t="s">
        <v>797</v>
      </c>
      <c r="G258" s="721" t="s">
        <v>815</v>
      </c>
      <c r="H258" s="687">
        <v>0</v>
      </c>
      <c r="I258" s="688"/>
      <c r="J258" s="688">
        <v>0</v>
      </c>
      <c r="K258" s="688">
        <v>0</v>
      </c>
      <c r="L258" s="533">
        <v>0</v>
      </c>
      <c r="M258" s="533">
        <v>0</v>
      </c>
      <c r="N258" s="533">
        <v>0</v>
      </c>
      <c r="AH258" s="413"/>
    </row>
    <row r="259" spans="2:34" s="131" customFormat="1" ht="15.75" customHeight="1">
      <c r="B259" s="405"/>
      <c r="C259" s="713">
        <v>2.2999999999999998</v>
      </c>
      <c r="D259" s="714"/>
      <c r="E259" s="715" t="s">
        <v>798</v>
      </c>
      <c r="F259" s="716"/>
      <c r="G259" s="717" t="s">
        <v>815</v>
      </c>
      <c r="H259" s="718">
        <v>1279364672.358</v>
      </c>
      <c r="I259" s="719">
        <v>1497774037.48172</v>
      </c>
      <c r="J259" s="719">
        <v>1497774037.48172</v>
      </c>
      <c r="K259" s="719">
        <v>1614889186.9260001</v>
      </c>
      <c r="L259" s="533">
        <v>1.2622586990381699</v>
      </c>
      <c r="M259" s="533">
        <v>1.07819280246117</v>
      </c>
      <c r="N259" s="533">
        <v>1.07819280246117</v>
      </c>
      <c r="AH259" s="413"/>
    </row>
    <row r="260" spans="2:34" s="131" customFormat="1" ht="15.75" customHeight="1">
      <c r="B260" s="405"/>
      <c r="C260" s="713">
        <v>2.4</v>
      </c>
      <c r="D260" s="714"/>
      <c r="E260" s="715" t="s">
        <v>799</v>
      </c>
      <c r="F260" s="716"/>
      <c r="G260" s="717" t="s">
        <v>815</v>
      </c>
      <c r="H260" s="718">
        <v>19279932.530999999</v>
      </c>
      <c r="I260" s="719">
        <v>33497618.803199999</v>
      </c>
      <c r="J260" s="719">
        <v>33497618.803199999</v>
      </c>
      <c r="K260" s="719">
        <v>42015695.994680002</v>
      </c>
      <c r="L260" s="533">
        <v>2.1792449702364598</v>
      </c>
      <c r="M260" s="533">
        <v>1.2542890359319001</v>
      </c>
      <c r="N260" s="533">
        <v>1.2542890359319001</v>
      </c>
      <c r="AH260" s="413"/>
    </row>
    <row r="261" spans="2:34" s="131" customFormat="1" ht="15.75" customHeight="1">
      <c r="B261" s="405"/>
      <c r="C261" s="713">
        <v>2.5</v>
      </c>
      <c r="D261" s="714"/>
      <c r="E261" s="715" t="s">
        <v>800</v>
      </c>
      <c r="F261" s="716"/>
      <c r="G261" s="717" t="s">
        <v>815</v>
      </c>
      <c r="H261" s="718">
        <v>425573916.79103398</v>
      </c>
      <c r="I261" s="719">
        <v>575886199.32612503</v>
      </c>
      <c r="J261" s="719">
        <v>575886199.32612503</v>
      </c>
      <c r="K261" s="719">
        <v>485478772.24752599</v>
      </c>
      <c r="L261" s="533">
        <v>1.1407625164347399</v>
      </c>
      <c r="M261" s="533">
        <v>0.84301164503613801</v>
      </c>
      <c r="N261" s="533">
        <v>0.84301164503613801</v>
      </c>
      <c r="AH261" s="413"/>
    </row>
    <row r="262" spans="2:34" s="131" customFormat="1" ht="15.75" customHeight="1">
      <c r="B262" s="405"/>
      <c r="C262" s="682"/>
      <c r="D262" s="683"/>
      <c r="E262" s="684"/>
      <c r="F262" s="684"/>
      <c r="G262" s="721"/>
      <c r="H262" s="687"/>
      <c r="I262" s="688"/>
      <c r="J262" s="688"/>
      <c r="K262" s="688"/>
      <c r="L262" s="533">
        <v>0</v>
      </c>
      <c r="M262" s="533">
        <v>0</v>
      </c>
      <c r="N262" s="533">
        <v>0</v>
      </c>
      <c r="AH262" s="413"/>
    </row>
    <row r="263" spans="2:34" s="131" customFormat="1" ht="15.75" customHeight="1">
      <c r="B263" s="405"/>
      <c r="C263" s="713">
        <v>2.6</v>
      </c>
      <c r="D263" s="714"/>
      <c r="E263" s="715" t="s">
        <v>801</v>
      </c>
      <c r="F263" s="716"/>
      <c r="G263" s="717" t="s">
        <v>815</v>
      </c>
      <c r="H263" s="718">
        <v>232817412.40099999</v>
      </c>
      <c r="I263" s="719">
        <v>287704320.900599</v>
      </c>
      <c r="J263" s="719">
        <v>311999843.655599</v>
      </c>
      <c r="K263" s="719">
        <v>320904097.44099998</v>
      </c>
      <c r="L263" s="533">
        <v>1.37835093231034</v>
      </c>
      <c r="M263" s="533">
        <v>1.1153954742023899</v>
      </c>
      <c r="N263" s="533">
        <v>1.0285392892543599</v>
      </c>
      <c r="AH263" s="413"/>
    </row>
    <row r="264" spans="2:34" s="131" customFormat="1" ht="15.75" customHeight="1">
      <c r="B264" s="405"/>
      <c r="C264" s="682"/>
      <c r="D264" s="683"/>
      <c r="E264" s="684"/>
      <c r="F264" s="685" t="s">
        <v>802</v>
      </c>
      <c r="G264" s="721" t="s">
        <v>815</v>
      </c>
      <c r="H264" s="687">
        <v>134899377.23899999</v>
      </c>
      <c r="I264" s="688">
        <v>167859585.77028501</v>
      </c>
      <c r="J264" s="688">
        <v>178184607.620285</v>
      </c>
      <c r="K264" s="688">
        <v>182865665.89700001</v>
      </c>
      <c r="L264" s="533">
        <v>1.3555708680034799</v>
      </c>
      <c r="M264" s="533">
        <v>1.08939662312315</v>
      </c>
      <c r="N264" s="533">
        <v>1.0262708341603199</v>
      </c>
      <c r="AH264" s="413"/>
    </row>
    <row r="265" spans="2:34" s="131" customFormat="1" ht="15.75" customHeight="1">
      <c r="B265" s="405"/>
      <c r="C265" s="682"/>
      <c r="D265" s="683"/>
      <c r="E265" s="684"/>
      <c r="F265" s="727" t="s">
        <v>803</v>
      </c>
      <c r="G265" s="721" t="s">
        <v>815</v>
      </c>
      <c r="H265" s="687">
        <v>88353992.836999997</v>
      </c>
      <c r="I265" s="688">
        <v>104459525.13031401</v>
      </c>
      <c r="J265" s="688">
        <v>118430026.03531399</v>
      </c>
      <c r="K265" s="688">
        <v>124598645.435</v>
      </c>
      <c r="L265" s="533">
        <v>1.41022087892356</v>
      </c>
      <c r="M265" s="533">
        <v>1.19279352724955</v>
      </c>
      <c r="N265" s="533">
        <v>1.0520866169348499</v>
      </c>
      <c r="AH265" s="413"/>
    </row>
    <row r="266" spans="2:34" s="131" customFormat="1" ht="15.75" customHeight="1">
      <c r="B266" s="405"/>
      <c r="C266" s="682"/>
      <c r="D266" s="683"/>
      <c r="E266" s="684"/>
      <c r="F266" s="727" t="s">
        <v>804</v>
      </c>
      <c r="G266" s="721" t="s">
        <v>815</v>
      </c>
      <c r="H266" s="687">
        <v>9564042.3249999993</v>
      </c>
      <c r="I266" s="688">
        <v>15385210</v>
      </c>
      <c r="J266" s="688">
        <v>15385210</v>
      </c>
      <c r="K266" s="688">
        <v>13439786.108999999</v>
      </c>
      <c r="L266" s="533">
        <v>1.4052411786038399</v>
      </c>
      <c r="M266" s="533">
        <v>0.87355233428727996</v>
      </c>
      <c r="N266" s="533">
        <v>0.87355233428727996</v>
      </c>
      <c r="AH266" s="413"/>
    </row>
    <row r="267" spans="2:34" s="131" customFormat="1" ht="15.75" customHeight="1">
      <c r="B267" s="405"/>
      <c r="C267" s="713">
        <v>2.7</v>
      </c>
      <c r="D267" s="714"/>
      <c r="E267" s="715" t="s">
        <v>805</v>
      </c>
      <c r="F267" s="716"/>
      <c r="G267" s="717" t="s">
        <v>815</v>
      </c>
      <c r="H267" s="718">
        <v>509682706.36597902</v>
      </c>
      <c r="I267" s="719">
        <v>537900860.34347796</v>
      </c>
      <c r="J267" s="719">
        <v>537900860.34347796</v>
      </c>
      <c r="K267" s="719">
        <v>515695023.29854202</v>
      </c>
      <c r="L267" s="533">
        <v>1.01179619566736</v>
      </c>
      <c r="M267" s="533">
        <v>0.95871760266240102</v>
      </c>
      <c r="N267" s="533">
        <v>0.95871760266240102</v>
      </c>
      <c r="AH267" s="413"/>
    </row>
    <row r="268" spans="2:34" s="131" customFormat="1" ht="15.75" customHeight="1">
      <c r="B268" s="405"/>
      <c r="C268" s="713">
        <v>2.8</v>
      </c>
      <c r="D268" s="683"/>
      <c r="E268" s="715" t="s">
        <v>806</v>
      </c>
      <c r="F268" s="685"/>
      <c r="G268" s="717" t="s">
        <v>815</v>
      </c>
      <c r="H268" s="718">
        <v>121384805.71719299</v>
      </c>
      <c r="I268" s="719">
        <v>137921573.700147</v>
      </c>
      <c r="J268" s="719">
        <v>137921573.69919699</v>
      </c>
      <c r="K268" s="719">
        <v>153517763.51190001</v>
      </c>
      <c r="L268" s="533">
        <v>1.2647197695366601</v>
      </c>
      <c r="M268" s="533">
        <v>1.1130801323777</v>
      </c>
      <c r="N268" s="533">
        <v>1.1130801323853601</v>
      </c>
      <c r="AH268" s="413"/>
    </row>
    <row r="269" spans="2:34" s="131" customFormat="1" ht="15.75" customHeight="1">
      <c r="B269" s="405"/>
      <c r="C269" s="722"/>
      <c r="D269" s="723"/>
      <c r="E269" s="724"/>
      <c r="F269" s="728" t="s">
        <v>807</v>
      </c>
      <c r="G269" s="725" t="s">
        <v>815</v>
      </c>
      <c r="H269" s="687">
        <v>22708066.890000001</v>
      </c>
      <c r="I269" s="729">
        <v>20555476.329070002</v>
      </c>
      <c r="J269" s="729">
        <v>20555476.329070002</v>
      </c>
      <c r="K269" s="729">
        <v>26641932.761999998</v>
      </c>
      <c r="L269" s="533">
        <v>1.1732364930513901</v>
      </c>
      <c r="M269" s="533">
        <v>1.2960990217639701</v>
      </c>
      <c r="N269" s="533">
        <v>1.2960990217639701</v>
      </c>
      <c r="AH269" s="413"/>
    </row>
    <row r="270" spans="2:34" s="131" customFormat="1" ht="15.75" customHeight="1">
      <c r="B270" s="405"/>
      <c r="C270" s="722"/>
      <c r="D270" s="723"/>
      <c r="E270" s="724"/>
      <c r="F270" s="728" t="s">
        <v>808</v>
      </c>
      <c r="G270" s="725" t="s">
        <v>815</v>
      </c>
      <c r="H270" s="687">
        <v>98676738.827192694</v>
      </c>
      <c r="I270" s="729">
        <v>117366097.371077</v>
      </c>
      <c r="J270" s="729">
        <v>117366097.37012701</v>
      </c>
      <c r="K270" s="729">
        <v>126875830.7499</v>
      </c>
      <c r="L270" s="533">
        <v>1.2857724349007</v>
      </c>
      <c r="M270" s="533">
        <v>1.08102623834169</v>
      </c>
      <c r="N270" s="533">
        <v>1.0810262383504401</v>
      </c>
      <c r="AH270" s="413"/>
    </row>
    <row r="271" spans="2:34" s="131" customFormat="1" ht="15.75" customHeight="1">
      <c r="B271" s="405"/>
      <c r="C271" s="713" t="s">
        <v>809</v>
      </c>
      <c r="D271" s="714"/>
      <c r="E271" s="715" t="s">
        <v>810</v>
      </c>
      <c r="F271" s="716"/>
      <c r="G271" s="730" t="s">
        <v>815</v>
      </c>
      <c r="H271" s="718">
        <v>166801772.09150201</v>
      </c>
      <c r="I271" s="719">
        <v>249798895.903326</v>
      </c>
      <c r="J271" s="719">
        <v>249798895.903326</v>
      </c>
      <c r="K271" s="719">
        <v>217650366.80618</v>
      </c>
      <c r="L271" s="731">
        <v>1.3048444514533299</v>
      </c>
      <c r="M271" s="731">
        <v>0.87130235711855197</v>
      </c>
      <c r="N271" s="731">
        <v>0.87130235711855197</v>
      </c>
      <c r="AH271" s="413"/>
    </row>
    <row r="272" spans="2:34" s="131" customFormat="1" ht="15.75" customHeight="1" thickBot="1">
      <c r="B272" s="405"/>
      <c r="C272" s="732"/>
      <c r="D272" s="733"/>
      <c r="E272" s="734"/>
      <c r="F272" s="735"/>
      <c r="G272" s="736"/>
      <c r="H272" s="737"/>
      <c r="I272" s="737"/>
      <c r="J272" s="737"/>
      <c r="K272" s="737"/>
      <c r="L272" s="738"/>
      <c r="M272" s="738"/>
      <c r="N272" s="738"/>
      <c r="AH272" s="413"/>
    </row>
    <row r="273" spans="2:34" s="131" customFormat="1" ht="15.75" customHeight="1">
      <c r="B273" s="405"/>
      <c r="C273" s="662"/>
      <c r="D273" s="663"/>
      <c r="E273" s="663"/>
      <c r="F273" s="663"/>
      <c r="G273" s="663"/>
      <c r="H273" s="664"/>
      <c r="I273" s="664"/>
      <c r="J273" s="664"/>
      <c r="K273" s="664"/>
      <c r="L273" s="665"/>
      <c r="M273" s="665"/>
      <c r="N273" s="665"/>
      <c r="O273" s="665"/>
      <c r="P273" s="665"/>
      <c r="AH273" s="413"/>
    </row>
    <row r="274" spans="2:34" s="131" customFormat="1" ht="39.75" customHeight="1">
      <c r="B274" s="405"/>
      <c r="D274" s="1601" t="s">
        <v>820</v>
      </c>
      <c r="E274" s="1601"/>
      <c r="F274" s="1601"/>
      <c r="G274" s="1601"/>
      <c r="H274" s="1601"/>
      <c r="I274" s="1601"/>
      <c r="J274" s="1601"/>
      <c r="K274" s="407"/>
      <c r="AH274" s="413"/>
    </row>
    <row r="275" spans="2:34" s="131" customFormat="1" ht="15.75" customHeight="1">
      <c r="B275" s="405"/>
      <c r="D275" s="131" t="s">
        <v>764</v>
      </c>
      <c r="AH275" s="413"/>
    </row>
    <row r="276" spans="2:34" s="131" customFormat="1" ht="15.75" customHeight="1">
      <c r="B276" s="405"/>
      <c r="D276" s="131" t="s">
        <v>821</v>
      </c>
      <c r="AH276" s="413"/>
    </row>
    <row r="277" spans="2:34" s="131" customFormat="1" ht="15.75" customHeight="1">
      <c r="B277" s="405"/>
      <c r="AH277" s="413"/>
    </row>
    <row r="278" spans="2:34" s="131" customFormat="1" ht="15.75" customHeight="1">
      <c r="B278" s="405"/>
      <c r="C278" s="83" t="s">
        <v>822</v>
      </c>
      <c r="AH278" s="413"/>
    </row>
    <row r="279" spans="2:34" s="131" customFormat="1" ht="15.75" customHeight="1">
      <c r="B279" s="405"/>
      <c r="AH279" s="413"/>
    </row>
    <row r="280" spans="2:34" s="131" customFormat="1" ht="15.75" customHeight="1">
      <c r="B280" s="405"/>
      <c r="D280" s="131" t="s">
        <v>823</v>
      </c>
      <c r="AH280" s="413"/>
    </row>
    <row r="281" spans="2:34" s="131" customFormat="1" ht="15.75" customHeight="1">
      <c r="B281" s="405"/>
      <c r="D281" s="1607" t="s">
        <v>81</v>
      </c>
      <c r="E281" s="1607" t="s">
        <v>824</v>
      </c>
      <c r="F281" s="430" t="s">
        <v>825</v>
      </c>
      <c r="G281" s="430" t="s">
        <v>826</v>
      </c>
      <c r="H281" s="739" t="s">
        <v>827</v>
      </c>
      <c r="I281" s="430" t="s">
        <v>828</v>
      </c>
      <c r="J281" s="430" t="s">
        <v>829</v>
      </c>
      <c r="K281" s="430" t="s">
        <v>827</v>
      </c>
      <c r="L281" s="430" t="s">
        <v>830</v>
      </c>
      <c r="M281" s="430" t="s">
        <v>831</v>
      </c>
      <c r="N281" s="430" t="s">
        <v>827</v>
      </c>
      <c r="O281" s="430" t="s">
        <v>832</v>
      </c>
      <c r="P281" s="430" t="s">
        <v>833</v>
      </c>
      <c r="Q281" s="430" t="s">
        <v>827</v>
      </c>
      <c r="R281" s="430" t="s">
        <v>834</v>
      </c>
      <c r="S281" s="430" t="s">
        <v>835</v>
      </c>
      <c r="T281" s="430" t="s">
        <v>827</v>
      </c>
      <c r="AH281" s="413"/>
    </row>
    <row r="282" spans="2:34" s="131" customFormat="1" ht="15.75" customHeight="1">
      <c r="B282" s="405"/>
      <c r="D282" s="1607"/>
      <c r="E282" s="1607"/>
      <c r="F282" s="430" t="s">
        <v>836</v>
      </c>
      <c r="G282" s="430" t="s">
        <v>836</v>
      </c>
      <c r="H282" s="430" t="s">
        <v>836</v>
      </c>
      <c r="I282" s="430" t="s">
        <v>836</v>
      </c>
      <c r="J282" s="430" t="s">
        <v>836</v>
      </c>
      <c r="K282" s="430" t="s">
        <v>836</v>
      </c>
      <c r="L282" s="430" t="s">
        <v>836</v>
      </c>
      <c r="M282" s="430" t="s">
        <v>836</v>
      </c>
      <c r="N282" s="430" t="s">
        <v>836</v>
      </c>
      <c r="O282" s="430" t="s">
        <v>836</v>
      </c>
      <c r="P282" s="430" t="s">
        <v>836</v>
      </c>
      <c r="Q282" s="430" t="s">
        <v>836</v>
      </c>
      <c r="R282" s="430" t="s">
        <v>836</v>
      </c>
      <c r="S282" s="430" t="s">
        <v>836</v>
      </c>
      <c r="T282" s="430" t="s">
        <v>836</v>
      </c>
      <c r="AH282" s="413"/>
    </row>
    <row r="283" spans="2:34" s="131" customFormat="1" ht="15.75" customHeight="1">
      <c r="B283" s="405"/>
      <c r="D283" s="740">
        <v>1</v>
      </c>
      <c r="E283" s="740" t="s">
        <v>837</v>
      </c>
      <c r="F283" s="417">
        <v>258338.04863872199</v>
      </c>
      <c r="G283" s="417">
        <v>227355.416322</v>
      </c>
      <c r="H283" s="741">
        <v>0.88006941881003997</v>
      </c>
      <c r="I283" s="417">
        <v>258078.00111586001</v>
      </c>
      <c r="J283" s="417">
        <v>256724.23732173201</v>
      </c>
      <c r="K283" s="741">
        <v>0.99475443940097696</v>
      </c>
      <c r="L283" s="417">
        <v>170848.81636284801</v>
      </c>
      <c r="M283" s="417">
        <v>162155.532117</v>
      </c>
      <c r="N283" s="741">
        <v>0.94911709410157596</v>
      </c>
      <c r="O283" s="417">
        <v>306000.99036653701</v>
      </c>
      <c r="P283" s="417">
        <v>129390.348492</v>
      </c>
      <c r="Q283" s="741">
        <v>0.42284290758998</v>
      </c>
      <c r="R283" s="417">
        <v>485624.23112999997</v>
      </c>
      <c r="S283" s="417">
        <v>62249.510815000001</v>
      </c>
      <c r="T283" s="741">
        <v>0.12818452380383</v>
      </c>
      <c r="AH283" s="413"/>
    </row>
    <row r="284" spans="2:34" s="131" customFormat="1" ht="15.75" customHeight="1">
      <c r="B284" s="405"/>
      <c r="D284" s="740">
        <v>2</v>
      </c>
      <c r="E284" s="740" t="s">
        <v>838</v>
      </c>
      <c r="F284" s="417">
        <v>37638.335543950001</v>
      </c>
      <c r="G284" s="417">
        <v>28085.387630161</v>
      </c>
      <c r="H284" s="741">
        <v>0.74619101042249603</v>
      </c>
      <c r="I284" s="417">
        <v>18115.553759999999</v>
      </c>
      <c r="J284" s="417">
        <v>13683.938691751</v>
      </c>
      <c r="K284" s="741">
        <v>0.75536960520443996</v>
      </c>
      <c r="L284" s="417">
        <v>14326.065085</v>
      </c>
      <c r="M284" s="417">
        <v>10441.337433000001</v>
      </c>
      <c r="N284" s="741">
        <v>0.72883498511622202</v>
      </c>
      <c r="O284" s="417">
        <v>22883.289596193099</v>
      </c>
      <c r="P284" s="417">
        <v>11543.733897</v>
      </c>
      <c r="Q284" s="741">
        <v>0.50446129471351997</v>
      </c>
      <c r="R284" s="417">
        <v>21536.447</v>
      </c>
      <c r="S284" s="417">
        <v>3547.831306</v>
      </c>
      <c r="T284" s="741">
        <v>0.164736147332009</v>
      </c>
      <c r="AH284" s="413"/>
    </row>
    <row r="285" spans="2:34" s="131" customFormat="1" ht="15.75" customHeight="1">
      <c r="B285" s="405"/>
      <c r="D285" s="740">
        <v>3</v>
      </c>
      <c r="E285" s="740" t="s">
        <v>839</v>
      </c>
      <c r="F285" s="417">
        <v>23936.335999999999</v>
      </c>
      <c r="G285" s="417">
        <v>18066.041232</v>
      </c>
      <c r="H285" s="741">
        <v>0.75475382832192905</v>
      </c>
      <c r="I285" s="417">
        <v>4000.0075000000002</v>
      </c>
      <c r="J285" s="417">
        <v>3867.2084960000002</v>
      </c>
      <c r="K285" s="741">
        <v>0.96680031124941601</v>
      </c>
      <c r="L285" s="417">
        <v>6775.9237750000002</v>
      </c>
      <c r="M285" s="417">
        <v>6675</v>
      </c>
      <c r="N285" s="741">
        <v>0.98510553271387702</v>
      </c>
      <c r="O285" s="417">
        <v>9500</v>
      </c>
      <c r="P285" s="417">
        <v>932.97</v>
      </c>
      <c r="Q285" s="741">
        <v>9.8207368421052599E-2</v>
      </c>
      <c r="R285" s="417">
        <v>57671.4930989598</v>
      </c>
      <c r="S285" s="417">
        <v>18336.523495000001</v>
      </c>
      <c r="T285" s="741">
        <v>0.31794778511345201</v>
      </c>
      <c r="AH285" s="413"/>
    </row>
    <row r="286" spans="2:34" s="131" customFormat="1" ht="15.75" customHeight="1">
      <c r="B286" s="405"/>
      <c r="D286" s="740">
        <v>4</v>
      </c>
      <c r="E286" s="740" t="s">
        <v>840</v>
      </c>
      <c r="F286" s="417">
        <v>45748.663</v>
      </c>
      <c r="G286" s="417">
        <v>35160.133779000003</v>
      </c>
      <c r="H286" s="741">
        <v>0.768549974433133</v>
      </c>
      <c r="I286" s="417">
        <v>22784.2478821818</v>
      </c>
      <c r="J286" s="417">
        <v>20082.371412</v>
      </c>
      <c r="K286" s="741">
        <v>0.88141471756481404</v>
      </c>
      <c r="L286" s="417">
        <v>13157.9636184214</v>
      </c>
      <c r="M286" s="417">
        <v>9496.3543260000006</v>
      </c>
      <c r="N286" s="741">
        <v>0.72171915057622704</v>
      </c>
      <c r="O286" s="417">
        <v>41368</v>
      </c>
      <c r="P286" s="417">
        <v>19100.466888250001</v>
      </c>
      <c r="Q286" s="741">
        <v>0.46172082015688498</v>
      </c>
      <c r="R286" s="417">
        <v>25645</v>
      </c>
      <c r="S286" s="417">
        <v>18336.523495000001</v>
      </c>
      <c r="T286" s="741">
        <v>0.71501358919867397</v>
      </c>
      <c r="AH286" s="413"/>
    </row>
    <row r="287" spans="2:34" s="131" customFormat="1" ht="15.75" customHeight="1">
      <c r="B287" s="405"/>
      <c r="D287" s="740">
        <v>5</v>
      </c>
      <c r="E287" s="740" t="s">
        <v>841</v>
      </c>
      <c r="F287" s="417">
        <v>242828.81502067501</v>
      </c>
      <c r="G287" s="417">
        <v>233613.30615300001</v>
      </c>
      <c r="H287" s="741">
        <v>0.96204936029980503</v>
      </c>
      <c r="I287" s="417">
        <v>112385.955992938</v>
      </c>
      <c r="J287" s="417">
        <v>104102.0449925</v>
      </c>
      <c r="K287" s="741">
        <v>0.92629051443973598</v>
      </c>
      <c r="L287" s="417">
        <v>190986.764073083</v>
      </c>
      <c r="M287" s="417">
        <v>167704.26908500001</v>
      </c>
      <c r="N287" s="741">
        <v>0.87809367261087301</v>
      </c>
      <c r="O287" s="417">
        <v>162812.03509425401</v>
      </c>
      <c r="P287" s="417">
        <v>143182.20369674999</v>
      </c>
      <c r="Q287" s="741">
        <v>0.87943255309019297</v>
      </c>
      <c r="R287" s="417">
        <v>207285.75832324801</v>
      </c>
      <c r="S287" s="417">
        <v>193723.42554699999</v>
      </c>
      <c r="T287" s="741">
        <v>0.93457180615805702</v>
      </c>
      <c r="AH287" s="413"/>
    </row>
    <row r="288" spans="2:34" s="131" customFormat="1" ht="15.75" customHeight="1">
      <c r="B288" s="405"/>
      <c r="D288" s="740">
        <v>6</v>
      </c>
      <c r="E288" s="740" t="s">
        <v>842</v>
      </c>
      <c r="F288" s="417">
        <v>16492.646000000001</v>
      </c>
      <c r="G288" s="417">
        <v>10452.295778</v>
      </c>
      <c r="H288" s="741">
        <v>0.63375493404757499</v>
      </c>
      <c r="I288" s="417">
        <v>4329.233397</v>
      </c>
      <c r="J288" s="417">
        <v>2916.5132490000001</v>
      </c>
      <c r="K288" s="741">
        <v>0.67367891299670701</v>
      </c>
      <c r="L288" s="417">
        <v>4861.2827950000001</v>
      </c>
      <c r="M288" s="417">
        <v>4410.0954499999998</v>
      </c>
      <c r="N288" s="741">
        <v>0.90718759553258999</v>
      </c>
      <c r="O288" s="417">
        <v>41183.847162880003</v>
      </c>
      <c r="P288" s="417">
        <v>6492.1288160000004</v>
      </c>
      <c r="Q288" s="741">
        <v>0.15763774545695</v>
      </c>
      <c r="R288" s="417">
        <v>134668.41789991799</v>
      </c>
      <c r="S288" s="417">
        <v>113694.939132</v>
      </c>
      <c r="T288" s="741">
        <v>0.84425837107921398</v>
      </c>
      <c r="AH288" s="413"/>
    </row>
    <row r="289" spans="2:35" s="131" customFormat="1" ht="15.75" customHeight="1">
      <c r="B289" s="405"/>
      <c r="D289" s="1608" t="s">
        <v>470</v>
      </c>
      <c r="E289" s="1608"/>
      <c r="F289" s="417">
        <v>624982.84420334699</v>
      </c>
      <c r="G289" s="417">
        <v>552732.58089416102</v>
      </c>
      <c r="H289" s="741">
        <v>0.88439640547048703</v>
      </c>
      <c r="I289" s="417">
        <v>419692.99964797997</v>
      </c>
      <c r="J289" s="417">
        <v>401376.31416298298</v>
      </c>
      <c r="K289" s="741">
        <v>0.956356943050373</v>
      </c>
      <c r="L289" s="417">
        <v>400956.81570935302</v>
      </c>
      <c r="M289" s="417">
        <v>360882.58841099998</v>
      </c>
      <c r="N289" s="742">
        <v>0.90005350768896297</v>
      </c>
      <c r="O289" s="417">
        <v>583748.16221986397</v>
      </c>
      <c r="P289" s="417">
        <v>310641.85178999999</v>
      </c>
      <c r="Q289" s="742">
        <v>0.53215045784246795</v>
      </c>
      <c r="R289" s="417">
        <v>932431.34745212598</v>
      </c>
      <c r="S289" s="417">
        <v>409888.75378999999</v>
      </c>
      <c r="T289" s="742">
        <v>0.439591348907374</v>
      </c>
      <c r="AH289" s="413"/>
    </row>
    <row r="290" spans="2:35" s="131" customFormat="1" ht="15.75" customHeight="1">
      <c r="B290" s="405"/>
      <c r="D290" s="444"/>
      <c r="E290" s="743"/>
      <c r="F290" s="744"/>
      <c r="G290" s="744"/>
      <c r="H290" s="744"/>
      <c r="I290" s="744"/>
      <c r="J290" s="745"/>
      <c r="K290" s="745"/>
      <c r="L290" s="744"/>
      <c r="M290" s="744"/>
      <c r="N290" s="744"/>
      <c r="O290" s="744"/>
      <c r="P290" s="745"/>
      <c r="Q290" s="745"/>
      <c r="R290" s="744"/>
      <c r="S290" s="744"/>
      <c r="T290" s="744"/>
      <c r="U290" s="744"/>
      <c r="V290" s="745"/>
      <c r="W290" s="745"/>
      <c r="X290" s="744"/>
      <c r="Y290" s="744"/>
      <c r="Z290" s="744"/>
      <c r="AA290" s="744"/>
      <c r="AB290" s="745"/>
      <c r="AC290" s="745"/>
      <c r="AD290" s="744"/>
      <c r="AE290" s="744"/>
      <c r="AF290" s="744"/>
      <c r="AG290" s="744"/>
      <c r="AH290" s="746"/>
      <c r="AI290" s="745"/>
    </row>
    <row r="291" spans="2:35" s="131" customFormat="1" ht="15.75" customHeight="1">
      <c r="B291" s="405"/>
      <c r="D291" s="1609" t="s">
        <v>843</v>
      </c>
      <c r="E291" s="1609"/>
      <c r="F291" s="1609"/>
      <c r="G291" s="747">
        <f>(N289+Q289+T289)/3</f>
        <v>0.62393177147960166</v>
      </c>
      <c r="H291" s="131" t="s">
        <v>844</v>
      </c>
      <c r="I291" s="748"/>
      <c r="AH291" s="413"/>
    </row>
    <row r="292" spans="2:35" s="131" customFormat="1" ht="15.75" customHeight="1">
      <c r="B292" s="405"/>
      <c r="D292" s="749" t="s">
        <v>845</v>
      </c>
      <c r="E292" s="749"/>
      <c r="F292" s="749"/>
      <c r="G292" s="750">
        <f>[6]Laporan!$S$19*10^3</f>
        <v>944981353.31945205</v>
      </c>
      <c r="H292" s="751">
        <f>G292*G291</f>
        <v>589603889.79179704</v>
      </c>
      <c r="I292" s="751">
        <f>G292-H292</f>
        <v>355377463.52765501</v>
      </c>
      <c r="AH292" s="413"/>
    </row>
    <row r="293" spans="2:35" s="131" customFormat="1" ht="15.75" customHeight="1">
      <c r="B293" s="405"/>
      <c r="F293" s="1602" t="s">
        <v>826</v>
      </c>
      <c r="G293" s="1603"/>
      <c r="H293" s="1602" t="s">
        <v>829</v>
      </c>
      <c r="I293" s="1603"/>
      <c r="J293" s="1602" t="s">
        <v>831</v>
      </c>
      <c r="K293" s="1603"/>
      <c r="L293" s="1602" t="s">
        <v>833</v>
      </c>
      <c r="M293" s="1603"/>
      <c r="N293" s="1602" t="s">
        <v>846</v>
      </c>
      <c r="O293" s="1603"/>
      <c r="AD293" s="131">
        <v>2.82815225748918</v>
      </c>
      <c r="AH293" s="413"/>
    </row>
    <row r="294" spans="2:35" s="131" customFormat="1" ht="15.75" customHeight="1">
      <c r="B294" s="405"/>
      <c r="F294" s="752" t="s">
        <v>847</v>
      </c>
      <c r="G294" s="752" t="s">
        <v>836</v>
      </c>
      <c r="H294" s="752" t="s">
        <v>847</v>
      </c>
      <c r="I294" s="752" t="s">
        <v>836</v>
      </c>
      <c r="J294" s="752" t="s">
        <v>847</v>
      </c>
      <c r="K294" s="752" t="s">
        <v>836</v>
      </c>
      <c r="L294" s="752" t="s">
        <v>847</v>
      </c>
      <c r="M294" s="752" t="s">
        <v>836</v>
      </c>
      <c r="N294" s="752" t="s">
        <v>847</v>
      </c>
      <c r="O294" s="752" t="s">
        <v>836</v>
      </c>
      <c r="AD294" s="131">
        <v>0.707038064372294</v>
      </c>
      <c r="AH294" s="413"/>
    </row>
    <row r="295" spans="2:35" s="131" customFormat="1" ht="15.75" customHeight="1">
      <c r="B295" s="405"/>
      <c r="F295" s="417">
        <v>412573.84874775098</v>
      </c>
      <c r="G295" s="417">
        <v>552732.58089416102</v>
      </c>
      <c r="H295" s="417">
        <v>142209.99088325101</v>
      </c>
      <c r="I295" s="417">
        <v>401376.31416298298</v>
      </c>
      <c r="J295" s="417">
        <v>293836.05427443102</v>
      </c>
      <c r="K295" s="417">
        <v>360882.58841099998</v>
      </c>
      <c r="L295" s="417">
        <v>382747.910833375</v>
      </c>
      <c r="M295" s="417">
        <v>310641.85178999999</v>
      </c>
      <c r="N295" s="417">
        <v>1010611.80495483</v>
      </c>
      <c r="O295" s="417">
        <v>409888.75378999999</v>
      </c>
      <c r="AD295" s="131">
        <v>1.9343555029833801</v>
      </c>
      <c r="AH295" s="413"/>
    </row>
    <row r="296" spans="2:35" s="131" customFormat="1" ht="15.75" customHeight="1">
      <c r="B296" s="405"/>
      <c r="F296" s="744"/>
      <c r="G296" s="744"/>
      <c r="H296" s="744"/>
      <c r="I296" s="744"/>
      <c r="J296" s="744"/>
      <c r="K296" s="744"/>
      <c r="L296" s="744"/>
      <c r="M296" s="744"/>
      <c r="N296" s="744"/>
      <c r="O296" s="744"/>
      <c r="AH296" s="413"/>
    </row>
    <row r="297" spans="2:35" s="131" customFormat="1" ht="15.75" customHeight="1">
      <c r="B297" s="405"/>
      <c r="E297" s="753"/>
      <c r="F297" s="744"/>
      <c r="G297" s="744"/>
      <c r="H297" s="744"/>
      <c r="I297" s="744"/>
      <c r="J297" s="744"/>
      <c r="K297" s="744"/>
      <c r="L297" s="744"/>
      <c r="M297" s="744"/>
      <c r="N297" s="744"/>
      <c r="O297" s="744"/>
      <c r="AH297" s="413"/>
    </row>
    <row r="298" spans="2:35" s="131" customFormat="1" ht="15.75" customHeight="1">
      <c r="B298" s="405"/>
      <c r="D298" s="131" t="s">
        <v>848</v>
      </c>
      <c r="F298" s="744"/>
      <c r="G298" s="744"/>
      <c r="H298" s="744"/>
      <c r="I298" s="744"/>
      <c r="J298" s="744"/>
      <c r="K298" s="744"/>
      <c r="L298" s="744"/>
      <c r="M298" s="744"/>
      <c r="N298" s="744"/>
      <c r="O298" s="744"/>
      <c r="AH298" s="413"/>
    </row>
    <row r="299" spans="2:35" s="131" customFormat="1" ht="15.75" customHeight="1">
      <c r="B299" s="405"/>
      <c r="D299" s="131" t="s">
        <v>849</v>
      </c>
      <c r="F299" s="744"/>
      <c r="G299" s="744"/>
      <c r="H299" s="744"/>
      <c r="I299" s="744"/>
      <c r="J299" s="744"/>
      <c r="K299" s="744"/>
      <c r="L299" s="744"/>
      <c r="M299" s="744"/>
      <c r="N299" s="744"/>
      <c r="O299" s="744"/>
      <c r="AH299" s="413"/>
    </row>
    <row r="300" spans="2:35" s="131" customFormat="1" ht="15.75" customHeight="1">
      <c r="B300" s="405"/>
      <c r="F300" s="744"/>
      <c r="G300" s="744"/>
      <c r="H300" s="744"/>
      <c r="I300" s="744"/>
      <c r="J300" s="744"/>
      <c r="K300" s="744"/>
      <c r="L300" s="744"/>
      <c r="M300" s="744"/>
      <c r="N300" s="744"/>
      <c r="O300" s="744"/>
      <c r="AH300" s="413"/>
    </row>
    <row r="301" spans="2:35" s="131" customFormat="1" ht="15.75" customHeight="1">
      <c r="B301" s="405"/>
      <c r="AH301" s="413"/>
    </row>
    <row r="302" spans="2:35" s="131" customFormat="1" ht="15.75" customHeight="1">
      <c r="B302" s="405"/>
      <c r="C302" s="83" t="s">
        <v>850</v>
      </c>
      <c r="AH302" s="413"/>
    </row>
    <row r="303" spans="2:35" s="131" customFormat="1" ht="15.75" customHeight="1">
      <c r="B303" s="405"/>
      <c r="AH303" s="413"/>
    </row>
    <row r="304" spans="2:35" s="131" customFormat="1" ht="49.7" customHeight="1">
      <c r="B304" s="405"/>
      <c r="D304" s="1601" t="s">
        <v>851</v>
      </c>
      <c r="E304" s="1601"/>
      <c r="F304" s="1601"/>
      <c r="G304" s="1601"/>
      <c r="H304" s="1601"/>
      <c r="I304" s="1601"/>
      <c r="J304" s="1601"/>
      <c r="K304" s="407"/>
      <c r="AH304" s="413"/>
    </row>
    <row r="305" spans="2:34" s="131" customFormat="1" ht="15.75" customHeight="1">
      <c r="B305" s="405"/>
      <c r="D305" s="407"/>
      <c r="E305" s="407"/>
      <c r="F305" s="407"/>
      <c r="G305" s="407"/>
      <c r="H305" s="407"/>
      <c r="I305" s="407"/>
      <c r="J305" s="407"/>
      <c r="K305" s="407"/>
      <c r="AH305" s="413"/>
    </row>
    <row r="306" spans="2:34" s="131" customFormat="1" ht="37.700000000000003" customHeight="1">
      <c r="B306" s="405"/>
      <c r="D306" s="1601" t="s">
        <v>852</v>
      </c>
      <c r="E306" s="1601"/>
      <c r="F306" s="1601"/>
      <c r="G306" s="1601"/>
      <c r="H306" s="1601"/>
      <c r="I306" s="1601"/>
      <c r="J306" s="1601"/>
      <c r="K306" s="407"/>
      <c r="AH306" s="413"/>
    </row>
    <row r="307" spans="2:34" ht="15.75" customHeight="1" thickBot="1">
      <c r="B307" s="754"/>
      <c r="C307" s="755"/>
      <c r="D307" s="755"/>
      <c r="E307" s="755"/>
      <c r="F307" s="755"/>
      <c r="G307" s="755"/>
      <c r="H307" s="755"/>
      <c r="I307" s="755"/>
      <c r="J307" s="755"/>
      <c r="K307" s="755"/>
      <c r="L307" s="755"/>
      <c r="M307" s="755"/>
      <c r="N307" s="755"/>
      <c r="O307" s="755"/>
      <c r="P307" s="755"/>
      <c r="Q307" s="755"/>
      <c r="R307" s="755"/>
      <c r="S307" s="755"/>
      <c r="T307" s="755"/>
      <c r="U307" s="755"/>
      <c r="V307" s="755"/>
      <c r="W307" s="755"/>
      <c r="X307" s="755"/>
      <c r="Y307" s="755"/>
      <c r="Z307" s="755"/>
      <c r="AA307" s="755"/>
      <c r="AB307" s="755"/>
      <c r="AC307" s="755"/>
      <c r="AD307" s="755"/>
      <c r="AE307" s="755"/>
      <c r="AF307" s="755"/>
      <c r="AG307" s="755"/>
      <c r="AH307" s="756"/>
    </row>
    <row r="308" spans="2:34" ht="15.75" customHeight="1" thickBot="1"/>
    <row r="309" spans="2:34" ht="15.75" customHeight="1">
      <c r="B309" s="757"/>
      <c r="C309" s="399" t="s">
        <v>853</v>
      </c>
      <c r="D309" s="758"/>
      <c r="E309" s="758"/>
      <c r="F309" s="758"/>
      <c r="G309" s="758"/>
      <c r="H309" s="758"/>
      <c r="I309" s="758"/>
      <c r="J309" s="758"/>
      <c r="K309" s="758"/>
      <c r="L309" s="759"/>
      <c r="M309" s="69"/>
      <c r="N309" s="69"/>
      <c r="O309" s="69"/>
      <c r="P309" s="69"/>
      <c r="Q309" s="69"/>
      <c r="R309" s="69"/>
    </row>
    <row r="310" spans="2:34" ht="15.75" customHeight="1">
      <c r="B310" s="760"/>
      <c r="C310" s="69"/>
      <c r="D310" s="69"/>
      <c r="E310" s="69"/>
      <c r="F310" s="69"/>
      <c r="G310" s="69"/>
      <c r="H310" s="69"/>
      <c r="I310" s="69"/>
      <c r="J310" s="69"/>
      <c r="K310" s="69"/>
      <c r="L310" s="761"/>
      <c r="M310" s="69"/>
      <c r="N310" s="69"/>
      <c r="O310" s="69"/>
      <c r="P310" s="69"/>
      <c r="Q310" s="69"/>
      <c r="R310" s="69"/>
    </row>
    <row r="311" spans="2:34" ht="15.75" customHeight="1">
      <c r="B311" s="760"/>
      <c r="C311" s="145" t="s">
        <v>854</v>
      </c>
      <c r="D311" s="69"/>
      <c r="E311" s="69"/>
      <c r="F311" s="72"/>
      <c r="G311" s="69"/>
      <c r="H311" s="69"/>
      <c r="I311" s="69"/>
      <c r="J311" s="69"/>
      <c r="K311" s="69"/>
      <c r="L311" s="761"/>
      <c r="M311" s="69"/>
      <c r="N311" s="69"/>
      <c r="O311" s="69"/>
      <c r="P311" s="69"/>
      <c r="Q311" s="69"/>
      <c r="R311" s="69"/>
    </row>
    <row r="312" spans="2:34" ht="15.75" customHeight="1">
      <c r="B312" s="760"/>
      <c r="C312" s="69"/>
      <c r="D312" s="69"/>
      <c r="E312" s="69"/>
      <c r="F312" s="72"/>
      <c r="G312" s="69"/>
      <c r="H312" s="69"/>
      <c r="I312" s="69"/>
      <c r="J312" s="69"/>
      <c r="K312" s="69"/>
      <c r="L312" s="761"/>
      <c r="M312" s="69"/>
      <c r="N312" s="69"/>
      <c r="O312" s="69"/>
      <c r="P312" s="69"/>
      <c r="Q312" s="69"/>
      <c r="R312" s="69"/>
    </row>
    <row r="313" spans="2:34" ht="40.5" customHeight="1">
      <c r="B313" s="760"/>
      <c r="C313" s="69"/>
      <c r="D313" s="1585" t="s">
        <v>855</v>
      </c>
      <c r="E313" s="1585"/>
      <c r="F313" s="1585"/>
      <c r="G313" s="1585"/>
      <c r="H313" s="1585"/>
      <c r="I313" s="1585"/>
      <c r="J313" s="1585"/>
      <c r="K313" s="69"/>
      <c r="L313" s="761"/>
      <c r="M313" s="69"/>
      <c r="N313" s="69"/>
      <c r="O313" s="69"/>
      <c r="P313" s="69"/>
      <c r="Q313" s="69"/>
      <c r="R313" s="69"/>
    </row>
    <row r="314" spans="2:34" ht="15.75" customHeight="1">
      <c r="B314" s="760"/>
      <c r="C314" s="69"/>
      <c r="D314" s="69"/>
      <c r="E314" s="69"/>
      <c r="F314" s="72"/>
      <c r="G314" s="69"/>
      <c r="H314" s="69"/>
      <c r="I314" s="69"/>
      <c r="J314" s="69"/>
      <c r="K314" s="69"/>
      <c r="L314" s="761"/>
      <c r="M314" s="69"/>
      <c r="N314" s="69"/>
      <c r="O314" s="69"/>
      <c r="P314" s="69"/>
      <c r="Q314" s="69"/>
      <c r="R314" s="69"/>
    </row>
    <row r="315" spans="2:34" ht="15.75" customHeight="1">
      <c r="B315" s="760"/>
      <c r="C315" s="69"/>
      <c r="D315" s="763" t="s">
        <v>856</v>
      </c>
      <c r="E315" s="763" t="s">
        <v>857</v>
      </c>
      <c r="F315" s="763" t="s">
        <v>858</v>
      </c>
      <c r="G315" s="763" t="s">
        <v>859</v>
      </c>
      <c r="H315" s="69"/>
      <c r="I315" s="764"/>
      <c r="J315" s="69"/>
      <c r="K315" s="69"/>
      <c r="L315" s="761"/>
      <c r="M315" s="69"/>
      <c r="N315" s="69"/>
      <c r="O315" s="69"/>
      <c r="P315" s="69"/>
      <c r="Q315" s="69"/>
      <c r="R315" s="69"/>
    </row>
    <row r="316" spans="2:34" ht="15.75" customHeight="1">
      <c r="B316" s="760"/>
      <c r="C316" s="69"/>
      <c r="D316" s="765">
        <v>2021</v>
      </c>
      <c r="E316" s="766">
        <v>6</v>
      </c>
      <c r="F316" s="767">
        <v>5</v>
      </c>
      <c r="G316" s="768">
        <f>F316/E316</f>
        <v>0.83333333333333337</v>
      </c>
      <c r="H316" s="69"/>
      <c r="I316" s="764"/>
      <c r="J316" s="69"/>
      <c r="K316" s="69"/>
      <c r="L316" s="761"/>
      <c r="M316" s="69"/>
      <c r="N316" s="69"/>
      <c r="O316" s="69"/>
      <c r="P316" s="69"/>
      <c r="Q316" s="69"/>
      <c r="R316" s="69"/>
    </row>
    <row r="317" spans="2:34" ht="15.75" customHeight="1">
      <c r="B317" s="760"/>
      <c r="C317" s="69"/>
      <c r="D317" s="765">
        <v>2022</v>
      </c>
      <c r="E317" s="767">
        <v>11</v>
      </c>
      <c r="F317" s="767">
        <v>5</v>
      </c>
      <c r="G317" s="768">
        <f t="shared" ref="G317:G318" si="1">F317/E317</f>
        <v>0.45454545454545453</v>
      </c>
      <c r="H317" s="69"/>
      <c r="I317" s="764"/>
      <c r="J317" s="69"/>
      <c r="K317" s="69"/>
      <c r="L317" s="761"/>
      <c r="M317" s="69"/>
      <c r="N317" s="69"/>
      <c r="O317" s="69"/>
      <c r="P317" s="69"/>
      <c r="Q317" s="69"/>
      <c r="R317" s="69"/>
    </row>
    <row r="318" spans="2:34" ht="15.75" customHeight="1">
      <c r="B318" s="760"/>
      <c r="C318" s="69"/>
      <c r="D318" s="765">
        <v>2023</v>
      </c>
      <c r="E318" s="767">
        <v>10</v>
      </c>
      <c r="F318" s="767">
        <v>4</v>
      </c>
      <c r="G318" s="768">
        <f t="shared" si="1"/>
        <v>0.4</v>
      </c>
      <c r="H318" s="69"/>
      <c r="I318" s="69"/>
      <c r="J318" s="69"/>
      <c r="K318" s="69"/>
      <c r="L318" s="761"/>
      <c r="M318" s="69"/>
      <c r="N318" s="69"/>
      <c r="O318" s="69"/>
      <c r="P318" s="69"/>
      <c r="Q318" s="69"/>
      <c r="R318" s="69"/>
    </row>
    <row r="319" spans="2:34" ht="15.75" customHeight="1">
      <c r="B319" s="760"/>
      <c r="C319" s="69"/>
      <c r="D319" s="769" t="s">
        <v>860</v>
      </c>
      <c r="E319" s="770">
        <f>AVERAGE(E316:E318)</f>
        <v>9</v>
      </c>
      <c r="F319" s="770">
        <f t="shared" ref="F319:G319" si="2">AVERAGE(F316:F318)</f>
        <v>4.666666666666667</v>
      </c>
      <c r="G319" s="771">
        <f t="shared" si="2"/>
        <v>0.5626262626262627</v>
      </c>
      <c r="H319" s="69"/>
      <c r="I319" s="69"/>
      <c r="J319" s="69"/>
      <c r="K319" s="69"/>
      <c r="L319" s="761"/>
      <c r="M319" s="69"/>
      <c r="N319" s="69"/>
      <c r="O319" s="69"/>
      <c r="P319" s="69"/>
      <c r="Q319" s="69"/>
      <c r="R319" s="69"/>
    </row>
    <row r="320" spans="2:34" ht="15.75" customHeight="1">
      <c r="B320" s="760"/>
      <c r="C320" s="69"/>
      <c r="D320" s="72"/>
      <c r="E320" s="764"/>
      <c r="F320" s="764"/>
      <c r="G320" s="69"/>
      <c r="H320" s="69"/>
      <c r="I320" s="69"/>
      <c r="J320" s="69"/>
      <c r="K320" s="69"/>
      <c r="L320" s="761"/>
      <c r="M320" s="69"/>
      <c r="N320" s="69"/>
      <c r="O320" s="69"/>
      <c r="P320" s="69"/>
      <c r="Q320" s="69"/>
      <c r="R320" s="69"/>
    </row>
    <row r="321" spans="2:18" ht="30" customHeight="1">
      <c r="B321" s="760"/>
      <c r="C321" s="69"/>
      <c r="D321" s="763" t="s">
        <v>856</v>
      </c>
      <c r="E321" s="763" t="s">
        <v>858</v>
      </c>
      <c r="F321" s="763" t="s">
        <v>861</v>
      </c>
      <c r="G321" s="763" t="s">
        <v>862</v>
      </c>
      <c r="H321" s="772" t="s">
        <v>863</v>
      </c>
      <c r="I321" s="772" t="s">
        <v>864</v>
      </c>
      <c r="J321" s="69"/>
      <c r="K321" s="69"/>
      <c r="L321" s="761"/>
      <c r="M321" s="69"/>
      <c r="N321" s="69"/>
      <c r="O321" s="69"/>
      <c r="P321" s="69"/>
      <c r="Q321" s="69"/>
      <c r="R321" s="69"/>
    </row>
    <row r="322" spans="2:18" ht="15.75" customHeight="1">
      <c r="B322" s="760"/>
      <c r="C322" s="69"/>
      <c r="D322" s="765">
        <v>2021</v>
      </c>
      <c r="E322" s="765">
        <f>F316</f>
        <v>5</v>
      </c>
      <c r="F322" s="773">
        <f>E322/$E$325</f>
        <v>0.35714285714285715</v>
      </c>
      <c r="G322" s="774">
        <f>G316</f>
        <v>0.83333333333333337</v>
      </c>
      <c r="H322" s="774">
        <f>F322*G322</f>
        <v>0.29761904761904762</v>
      </c>
      <c r="I322" s="774"/>
      <c r="J322" s="69"/>
      <c r="K322" s="69"/>
      <c r="L322" s="761"/>
      <c r="M322" s="69"/>
      <c r="N322" s="69"/>
      <c r="O322" s="69"/>
      <c r="P322" s="69"/>
      <c r="Q322" s="69"/>
      <c r="R322" s="69"/>
    </row>
    <row r="323" spans="2:18" ht="15.75" customHeight="1">
      <c r="B323" s="760"/>
      <c r="C323" s="69"/>
      <c r="D323" s="765">
        <v>2022</v>
      </c>
      <c r="E323" s="765">
        <f t="shared" ref="E323:E324" si="3">F317</f>
        <v>5</v>
      </c>
      <c r="F323" s="773">
        <f t="shared" ref="F323:F324" si="4">E323/$E$325</f>
        <v>0.35714285714285715</v>
      </c>
      <c r="G323" s="774">
        <f t="shared" ref="G323:G324" si="5">G317</f>
        <v>0.45454545454545453</v>
      </c>
      <c r="H323" s="774">
        <f>F323*G323</f>
        <v>0.16233766233766234</v>
      </c>
      <c r="I323" s="774"/>
      <c r="J323" s="69"/>
      <c r="K323" s="69"/>
      <c r="L323" s="761"/>
      <c r="M323" s="69"/>
      <c r="N323" s="69"/>
      <c r="O323" s="69"/>
      <c r="P323" s="69"/>
      <c r="Q323" s="69"/>
      <c r="R323" s="69"/>
    </row>
    <row r="324" spans="2:18" ht="15.75" customHeight="1">
      <c r="B324" s="760"/>
      <c r="C324" s="69"/>
      <c r="D324" s="765">
        <v>2023</v>
      </c>
      <c r="E324" s="765">
        <f t="shared" si="3"/>
        <v>4</v>
      </c>
      <c r="F324" s="773">
        <f t="shared" si="4"/>
        <v>0.2857142857142857</v>
      </c>
      <c r="G324" s="774">
        <f t="shared" si="5"/>
        <v>0.4</v>
      </c>
      <c r="H324" s="774">
        <f>F324*G324</f>
        <v>0.11428571428571428</v>
      </c>
      <c r="I324" s="774"/>
      <c r="J324" s="69"/>
      <c r="K324" s="69"/>
      <c r="L324" s="761"/>
      <c r="M324" s="69"/>
      <c r="N324" s="69"/>
      <c r="O324" s="69"/>
      <c r="P324" s="69"/>
      <c r="Q324" s="69"/>
      <c r="R324" s="69"/>
    </row>
    <row r="325" spans="2:18" ht="15.75" customHeight="1">
      <c r="B325" s="760"/>
      <c r="C325" s="69"/>
      <c r="D325" s="769" t="s">
        <v>865</v>
      </c>
      <c r="E325" s="775">
        <f>SUM(E322:E324)</f>
        <v>14</v>
      </c>
      <c r="F325" s="776">
        <f>SUM(F322:F324)</f>
        <v>1</v>
      </c>
      <c r="G325" s="777"/>
      <c r="H325" s="777">
        <f>SUM(H322:H324)</f>
        <v>0.57424242424242422</v>
      </c>
      <c r="I325" s="777">
        <f>100%-H325</f>
        <v>0.42575757575757578</v>
      </c>
      <c r="J325" s="69"/>
      <c r="K325" s="69"/>
      <c r="L325" s="761"/>
      <c r="M325" s="69"/>
      <c r="N325" s="69"/>
      <c r="O325" s="69"/>
      <c r="P325" s="69"/>
      <c r="Q325" s="69"/>
      <c r="R325" s="69"/>
    </row>
    <row r="326" spans="2:18" ht="15.75" customHeight="1">
      <c r="B326" s="760"/>
      <c r="C326" s="69"/>
      <c r="D326" s="1585" t="s">
        <v>866</v>
      </c>
      <c r="E326" s="1585"/>
      <c r="F326" s="1585"/>
      <c r="G326" s="1585"/>
      <c r="H326" s="1585"/>
      <c r="I326" s="1585"/>
      <c r="J326" s="1585"/>
      <c r="K326" s="69"/>
      <c r="L326" s="761"/>
      <c r="M326" s="69"/>
      <c r="N326" s="69"/>
      <c r="O326" s="69"/>
      <c r="P326" s="69"/>
      <c r="Q326" s="69"/>
      <c r="R326" s="69"/>
    </row>
    <row r="327" spans="2:18" ht="15.75" customHeight="1">
      <c r="B327" s="760"/>
      <c r="C327" s="69"/>
      <c r="D327" s="762"/>
      <c r="E327" s="762"/>
      <c r="F327" s="762"/>
      <c r="G327" s="762"/>
      <c r="H327" s="762"/>
      <c r="I327" s="762"/>
      <c r="J327" s="762"/>
      <c r="K327" s="69"/>
      <c r="L327" s="761"/>
      <c r="M327" s="69"/>
      <c r="N327" s="69"/>
      <c r="O327" s="69"/>
      <c r="P327" s="69"/>
      <c r="Q327" s="69"/>
      <c r="R327" s="69"/>
    </row>
    <row r="328" spans="2:18" ht="13.5">
      <c r="B328" s="760"/>
      <c r="C328" s="69"/>
      <c r="D328" s="69"/>
      <c r="E328" s="69"/>
      <c r="F328" s="72"/>
      <c r="G328" s="69"/>
      <c r="H328" s="69"/>
      <c r="I328" s="69"/>
      <c r="J328" s="69"/>
      <c r="K328" s="69"/>
      <c r="L328" s="761"/>
      <c r="M328" s="69"/>
      <c r="N328" s="69"/>
      <c r="O328" s="69"/>
      <c r="P328" s="69"/>
      <c r="Q328" s="69"/>
      <c r="R328" s="69"/>
    </row>
    <row r="329" spans="2:18" ht="15.75" customHeight="1">
      <c r="B329" s="760"/>
      <c r="C329" s="145" t="s">
        <v>867</v>
      </c>
      <c r="D329" s="69"/>
      <c r="E329" s="69"/>
      <c r="F329" s="72"/>
      <c r="G329" s="69"/>
      <c r="H329" s="69"/>
      <c r="I329" s="69"/>
      <c r="J329" s="69"/>
      <c r="K329" s="69"/>
      <c r="L329" s="761"/>
      <c r="M329" s="69"/>
      <c r="N329" s="69"/>
      <c r="O329" s="69"/>
      <c r="P329" s="69"/>
      <c r="Q329" s="69"/>
      <c r="R329" s="69"/>
    </row>
    <row r="330" spans="2:18" ht="15.75" customHeight="1">
      <c r="B330" s="760"/>
      <c r="C330" s="69"/>
      <c r="D330" s="69"/>
      <c r="E330" s="69"/>
      <c r="F330" s="72"/>
      <c r="G330" s="69"/>
      <c r="H330" s="69"/>
      <c r="I330" s="69"/>
      <c r="J330" s="69"/>
      <c r="K330" s="69"/>
      <c r="L330" s="761"/>
      <c r="M330" s="69"/>
      <c r="N330" s="69"/>
      <c r="O330" s="69"/>
      <c r="P330" s="69"/>
      <c r="Q330" s="69"/>
      <c r="R330" s="69"/>
    </row>
    <row r="331" spans="2:18" ht="30.75" customHeight="1">
      <c r="B331" s="778"/>
      <c r="C331" s="779"/>
      <c r="D331" s="1585" t="s">
        <v>868</v>
      </c>
      <c r="E331" s="1585"/>
      <c r="F331" s="1585"/>
      <c r="G331" s="1585"/>
      <c r="H331" s="1585"/>
      <c r="I331" s="1585"/>
      <c r="J331" s="1585"/>
      <c r="K331" s="779"/>
      <c r="L331" s="780"/>
      <c r="M331" s="69"/>
      <c r="N331" s="69"/>
      <c r="O331" s="69"/>
      <c r="P331" s="69"/>
      <c r="Q331" s="69"/>
      <c r="R331" s="69"/>
    </row>
    <row r="332" spans="2:18" ht="15.75" customHeight="1">
      <c r="B332" s="760"/>
      <c r="C332" s="69"/>
      <c r="D332" s="69"/>
      <c r="E332" s="69"/>
      <c r="F332" s="72"/>
      <c r="G332" s="69"/>
      <c r="H332" s="69"/>
      <c r="I332" s="69"/>
      <c r="J332" s="69"/>
      <c r="K332" s="69"/>
      <c r="L332" s="761"/>
      <c r="M332" s="69"/>
      <c r="N332" s="69"/>
      <c r="O332" s="69"/>
      <c r="P332" s="69"/>
      <c r="Q332" s="69"/>
      <c r="R332" s="69"/>
    </row>
    <row r="333" spans="2:18" ht="15.75" customHeight="1">
      <c r="B333" s="760"/>
      <c r="C333" s="69"/>
      <c r="D333" s="763" t="s">
        <v>856</v>
      </c>
      <c r="E333" s="763" t="s">
        <v>857</v>
      </c>
      <c r="F333" s="763" t="s">
        <v>858</v>
      </c>
      <c r="G333" s="763" t="s">
        <v>859</v>
      </c>
      <c r="H333" s="69"/>
      <c r="I333" s="764"/>
      <c r="J333" s="69"/>
      <c r="K333" s="69"/>
      <c r="L333" s="761"/>
      <c r="M333" s="69"/>
      <c r="N333" s="69"/>
      <c r="O333" s="69"/>
      <c r="P333" s="69"/>
      <c r="Q333" s="69"/>
      <c r="R333" s="69"/>
    </row>
    <row r="334" spans="2:18" ht="13.5">
      <c r="B334" s="760"/>
      <c r="C334" s="69"/>
      <c r="D334" s="765">
        <v>2021</v>
      </c>
      <c r="E334" s="766">
        <v>3</v>
      </c>
      <c r="F334" s="767">
        <v>2</v>
      </c>
      <c r="G334" s="781">
        <f>F334/E334</f>
        <v>0.66666666666666663</v>
      </c>
      <c r="H334" s="69"/>
      <c r="I334" s="764"/>
      <c r="J334" s="69"/>
      <c r="K334" s="69"/>
      <c r="L334" s="761"/>
      <c r="M334" s="69"/>
      <c r="N334" s="69"/>
      <c r="O334" s="69"/>
      <c r="P334" s="69"/>
      <c r="Q334" s="69"/>
      <c r="R334" s="69"/>
    </row>
    <row r="335" spans="2:18" ht="15.75" customHeight="1">
      <c r="B335" s="760"/>
      <c r="C335" s="69"/>
      <c r="D335" s="765">
        <v>2022</v>
      </c>
      <c r="E335" s="766">
        <v>5</v>
      </c>
      <c r="F335" s="767">
        <v>3</v>
      </c>
      <c r="G335" s="781">
        <f t="shared" ref="G335:G336" si="6">F335/E335</f>
        <v>0.6</v>
      </c>
      <c r="H335" s="69"/>
      <c r="I335" s="764"/>
      <c r="J335" s="69"/>
      <c r="K335" s="69"/>
      <c r="L335" s="761"/>
      <c r="M335" s="69"/>
      <c r="N335" s="69"/>
      <c r="O335" s="69"/>
      <c r="P335" s="69"/>
      <c r="Q335" s="69"/>
      <c r="R335" s="69"/>
    </row>
    <row r="336" spans="2:18" ht="15.75" customHeight="1">
      <c r="B336" s="760"/>
      <c r="C336" s="69"/>
      <c r="D336" s="765">
        <v>2023</v>
      </c>
      <c r="E336" s="766">
        <v>9</v>
      </c>
      <c r="F336" s="767">
        <v>3</v>
      </c>
      <c r="G336" s="781">
        <f t="shared" si="6"/>
        <v>0.33333333333333331</v>
      </c>
      <c r="H336" s="69"/>
      <c r="I336" s="69"/>
      <c r="J336" s="69"/>
      <c r="K336" s="69"/>
      <c r="L336" s="761"/>
      <c r="M336" s="69"/>
      <c r="N336" s="69"/>
      <c r="O336" s="69"/>
      <c r="P336" s="69"/>
      <c r="Q336" s="69"/>
      <c r="R336" s="69"/>
    </row>
    <row r="337" spans="2:18" ht="15.75" customHeight="1">
      <c r="B337" s="760"/>
      <c r="C337" s="69"/>
      <c r="D337" s="72"/>
      <c r="E337" s="764"/>
      <c r="F337" s="764"/>
      <c r="G337" s="69"/>
      <c r="H337" s="69"/>
      <c r="I337" s="69"/>
      <c r="J337" s="69"/>
      <c r="K337" s="69"/>
      <c r="L337" s="761"/>
      <c r="M337" s="69"/>
      <c r="N337" s="69"/>
      <c r="O337" s="69"/>
      <c r="P337" s="69"/>
      <c r="Q337" s="69"/>
      <c r="R337" s="69"/>
    </row>
    <row r="338" spans="2:18" ht="26.45" customHeight="1">
      <c r="B338" s="760"/>
      <c r="C338" s="69"/>
      <c r="D338" s="763" t="s">
        <v>856</v>
      </c>
      <c r="E338" s="763" t="s">
        <v>858</v>
      </c>
      <c r="F338" s="763" t="s">
        <v>861</v>
      </c>
      <c r="G338" s="763" t="s">
        <v>862</v>
      </c>
      <c r="H338" s="772" t="s">
        <v>863</v>
      </c>
      <c r="I338" s="772" t="s">
        <v>869</v>
      </c>
      <c r="J338" s="69"/>
      <c r="K338" s="69"/>
      <c r="L338" s="761"/>
      <c r="M338" s="69"/>
      <c r="N338" s="69"/>
      <c r="O338" s="69"/>
      <c r="P338" s="69"/>
      <c r="Q338" s="69"/>
      <c r="R338" s="69"/>
    </row>
    <row r="339" spans="2:18" ht="15.75" customHeight="1">
      <c r="B339" s="760"/>
      <c r="C339" s="69"/>
      <c r="D339" s="765">
        <v>2021</v>
      </c>
      <c r="E339" s="765">
        <f>F334</f>
        <v>2</v>
      </c>
      <c r="F339" s="773">
        <f>E339/$E$342</f>
        <v>0.25</v>
      </c>
      <c r="G339" s="782">
        <f>G334</f>
        <v>0.66666666666666663</v>
      </c>
      <c r="H339" s="774">
        <f>F339*G339</f>
        <v>0.16666666666666666</v>
      </c>
      <c r="I339" s="774"/>
      <c r="J339" s="69"/>
      <c r="K339" s="69"/>
      <c r="L339" s="761"/>
      <c r="M339" s="69"/>
      <c r="N339" s="69"/>
      <c r="O339" s="69"/>
      <c r="P339" s="69"/>
      <c r="Q339" s="69"/>
      <c r="R339" s="69"/>
    </row>
    <row r="340" spans="2:18" ht="15.75" customHeight="1">
      <c r="B340" s="760"/>
      <c r="C340" s="69"/>
      <c r="D340" s="765">
        <v>2022</v>
      </c>
      <c r="E340" s="765">
        <f>F335</f>
        <v>3</v>
      </c>
      <c r="F340" s="773">
        <f t="shared" ref="F340:F341" si="7">E340/$E$342</f>
        <v>0.375</v>
      </c>
      <c r="G340" s="782">
        <f>G335</f>
        <v>0.6</v>
      </c>
      <c r="H340" s="774">
        <f t="shared" ref="H340:H341" si="8">F340*G340</f>
        <v>0.22499999999999998</v>
      </c>
      <c r="I340" s="774"/>
      <c r="J340" s="69"/>
      <c r="K340" s="69"/>
      <c r="L340" s="761"/>
      <c r="M340" s="69"/>
      <c r="N340" s="69"/>
      <c r="O340" s="69"/>
      <c r="P340" s="69"/>
      <c r="Q340" s="69"/>
      <c r="R340" s="69"/>
    </row>
    <row r="341" spans="2:18" ht="15.75" customHeight="1">
      <c r="B341" s="760"/>
      <c r="C341" s="69"/>
      <c r="D341" s="765">
        <v>2023</v>
      </c>
      <c r="E341" s="765">
        <f>F336</f>
        <v>3</v>
      </c>
      <c r="F341" s="773">
        <f t="shared" si="7"/>
        <v>0.375</v>
      </c>
      <c r="G341" s="782">
        <f>G336</f>
        <v>0.33333333333333331</v>
      </c>
      <c r="H341" s="774">
        <f t="shared" si="8"/>
        <v>0.125</v>
      </c>
      <c r="I341" s="774"/>
      <c r="J341" s="69"/>
      <c r="K341" s="69"/>
      <c r="L341" s="761"/>
      <c r="M341" s="69"/>
      <c r="N341" s="69"/>
      <c r="O341" s="69"/>
      <c r="P341" s="69"/>
      <c r="Q341" s="69"/>
      <c r="R341" s="69"/>
    </row>
    <row r="342" spans="2:18" ht="15.75" customHeight="1">
      <c r="B342" s="760"/>
      <c r="C342" s="69"/>
      <c r="D342" s="769" t="s">
        <v>865</v>
      </c>
      <c r="E342" s="775">
        <f>SUM(E339:E341)</f>
        <v>8</v>
      </c>
      <c r="F342" s="776">
        <f>SUM(F339:F341)</f>
        <v>1</v>
      </c>
      <c r="G342" s="783"/>
      <c r="H342" s="777">
        <f>SUM(H339:H341)</f>
        <v>0.51666666666666661</v>
      </c>
      <c r="I342" s="777">
        <f>100%-H342</f>
        <v>0.48333333333333339</v>
      </c>
      <c r="J342" s="69"/>
      <c r="K342" s="69"/>
      <c r="L342" s="761"/>
      <c r="M342" s="69"/>
      <c r="N342" s="69"/>
      <c r="O342" s="69"/>
      <c r="P342" s="69"/>
      <c r="Q342" s="69"/>
      <c r="R342" s="69"/>
    </row>
    <row r="343" spans="2:18" ht="15.75" customHeight="1">
      <c r="B343" s="760"/>
      <c r="C343" s="69"/>
      <c r="D343" s="72"/>
      <c r="E343" s="784"/>
      <c r="F343" s="72"/>
      <c r="G343" s="69"/>
      <c r="H343" s="69"/>
      <c r="I343" s="69"/>
      <c r="J343" s="69"/>
      <c r="K343" s="69"/>
      <c r="L343" s="761"/>
      <c r="M343" s="69"/>
      <c r="N343" s="69"/>
      <c r="O343" s="69"/>
      <c r="P343" s="69"/>
      <c r="Q343" s="69"/>
      <c r="R343" s="69"/>
    </row>
    <row r="344" spans="2:18" ht="15.75" customHeight="1">
      <c r="B344" s="760"/>
      <c r="C344" s="69"/>
      <c r="D344" s="1585" t="s">
        <v>870</v>
      </c>
      <c r="E344" s="1585"/>
      <c r="F344" s="1585"/>
      <c r="G344" s="1585"/>
      <c r="H344" s="1585"/>
      <c r="I344" s="1585"/>
      <c r="J344" s="1585"/>
      <c r="K344" s="69"/>
      <c r="L344" s="761"/>
      <c r="M344" s="69"/>
      <c r="N344" s="69"/>
      <c r="O344" s="69"/>
      <c r="P344" s="69"/>
      <c r="Q344" s="69"/>
      <c r="R344" s="69"/>
    </row>
    <row r="345" spans="2:18" ht="15.75" customHeight="1">
      <c r="B345" s="760"/>
      <c r="C345" s="69"/>
      <c r="D345" s="72"/>
      <c r="E345" s="784"/>
      <c r="F345" s="72"/>
      <c r="G345" s="69"/>
      <c r="H345" s="69"/>
      <c r="I345" s="69"/>
      <c r="J345" s="69"/>
      <c r="K345" s="69"/>
      <c r="L345" s="761"/>
      <c r="M345" s="69"/>
      <c r="N345" s="69"/>
      <c r="O345" s="69"/>
      <c r="P345" s="69"/>
      <c r="Q345" s="69"/>
      <c r="R345" s="69"/>
    </row>
    <row r="346" spans="2:18" ht="15.75" customHeight="1">
      <c r="B346" s="760"/>
      <c r="C346" s="69"/>
      <c r="D346" s="69"/>
      <c r="E346" s="69"/>
      <c r="F346" s="72"/>
      <c r="G346" s="69"/>
      <c r="H346" s="69"/>
      <c r="I346" s="69"/>
      <c r="J346" s="69"/>
      <c r="K346" s="69"/>
      <c r="L346" s="761"/>
      <c r="M346" s="69"/>
      <c r="N346" s="69"/>
      <c r="O346" s="69"/>
      <c r="P346" s="69"/>
      <c r="Q346" s="69"/>
      <c r="R346" s="69"/>
    </row>
    <row r="347" spans="2:18" ht="15.75" customHeight="1">
      <c r="B347" s="760"/>
      <c r="C347" s="145" t="s">
        <v>871</v>
      </c>
      <c r="D347" s="69"/>
      <c r="E347" s="69"/>
      <c r="F347" s="72"/>
      <c r="G347" s="69"/>
      <c r="H347" s="69"/>
      <c r="I347" s="69"/>
      <c r="J347" s="69"/>
      <c r="K347" s="69"/>
      <c r="L347" s="761"/>
      <c r="M347" s="69"/>
      <c r="N347" s="69"/>
      <c r="O347" s="69"/>
      <c r="P347" s="69"/>
      <c r="Q347" s="69"/>
      <c r="R347" s="69"/>
    </row>
    <row r="348" spans="2:18" ht="15.75" customHeight="1">
      <c r="B348" s="760"/>
      <c r="C348" s="69"/>
      <c r="D348" s="69"/>
      <c r="E348" s="69"/>
      <c r="F348" s="72"/>
      <c r="G348" s="69"/>
      <c r="H348" s="69"/>
      <c r="I348" s="69"/>
      <c r="J348" s="69"/>
      <c r="K348" s="69"/>
      <c r="L348" s="761"/>
      <c r="M348" s="69"/>
      <c r="N348" s="69"/>
      <c r="O348" s="69"/>
      <c r="P348" s="69"/>
      <c r="Q348" s="69"/>
      <c r="R348" s="69"/>
    </row>
    <row r="349" spans="2:18" ht="39" customHeight="1">
      <c r="B349" s="760"/>
      <c r="C349" s="69"/>
      <c r="D349" s="1585" t="s">
        <v>872</v>
      </c>
      <c r="E349" s="1585"/>
      <c r="F349" s="1585"/>
      <c r="G349" s="1585"/>
      <c r="H349" s="1585"/>
      <c r="I349" s="1585"/>
      <c r="J349" s="1585"/>
      <c r="K349" s="69"/>
      <c r="L349" s="761"/>
      <c r="M349" s="69"/>
      <c r="N349" s="69"/>
      <c r="O349" s="69"/>
      <c r="P349" s="69"/>
      <c r="Q349" s="69"/>
      <c r="R349" s="69"/>
    </row>
    <row r="350" spans="2:18" ht="15.75" customHeight="1">
      <c r="B350" s="760"/>
      <c r="C350" s="69"/>
      <c r="D350" s="69"/>
      <c r="E350" s="69"/>
      <c r="F350" s="72"/>
      <c r="G350" s="69"/>
      <c r="H350" s="69"/>
      <c r="I350" s="69"/>
      <c r="J350" s="69"/>
      <c r="K350" s="69"/>
      <c r="L350" s="761"/>
      <c r="M350" s="69"/>
      <c r="N350" s="69"/>
      <c r="O350" s="69"/>
      <c r="P350" s="69"/>
      <c r="Q350" s="69"/>
      <c r="R350" s="69"/>
    </row>
    <row r="351" spans="2:18" ht="15.75" customHeight="1">
      <c r="B351" s="760"/>
      <c r="C351" s="69"/>
      <c r="D351" s="69" t="s">
        <v>873</v>
      </c>
      <c r="E351" s="69"/>
      <c r="F351" s="72"/>
      <c r="G351" s="69"/>
      <c r="H351" s="69"/>
      <c r="I351" s="69"/>
      <c r="J351" s="69"/>
      <c r="K351" s="69"/>
      <c r="L351" s="761"/>
      <c r="M351" s="69"/>
      <c r="N351" s="69"/>
      <c r="O351" s="69"/>
      <c r="P351" s="69"/>
      <c r="Q351" s="69"/>
      <c r="R351" s="69"/>
    </row>
    <row r="352" spans="2:18" ht="15.75" customHeight="1">
      <c r="B352" s="760"/>
      <c r="C352" s="69"/>
      <c r="D352" s="69"/>
      <c r="E352" s="69"/>
      <c r="F352" s="72"/>
      <c r="G352" s="69"/>
      <c r="H352" s="69"/>
      <c r="I352" s="69"/>
      <c r="J352" s="69"/>
      <c r="K352" s="69"/>
      <c r="L352" s="761"/>
      <c r="M352" s="69"/>
      <c r="N352" s="69"/>
      <c r="O352" s="69"/>
      <c r="P352" s="69"/>
      <c r="Q352" s="69"/>
      <c r="R352" s="69"/>
    </row>
    <row r="353" spans="2:18" ht="42" customHeight="1">
      <c r="B353" s="760"/>
      <c r="C353" s="69"/>
      <c r="D353" s="69"/>
      <c r="E353" s="69"/>
      <c r="F353" s="72"/>
      <c r="G353" s="69"/>
      <c r="H353" s="69"/>
      <c r="I353" s="69"/>
      <c r="J353" s="69"/>
      <c r="K353" s="69"/>
      <c r="L353" s="761"/>
      <c r="M353" s="69"/>
      <c r="N353" s="69"/>
      <c r="O353" s="69"/>
      <c r="P353" s="69"/>
      <c r="Q353" s="69"/>
      <c r="R353" s="69"/>
    </row>
    <row r="354" spans="2:18" ht="15.75" customHeight="1">
      <c r="B354" s="760"/>
      <c r="C354" s="69"/>
      <c r="D354" s="69"/>
      <c r="E354" s="69"/>
      <c r="F354" s="72"/>
      <c r="G354" s="69"/>
      <c r="H354" s="69"/>
      <c r="I354" s="69"/>
      <c r="J354" s="69"/>
      <c r="K354" s="69"/>
      <c r="L354" s="761"/>
      <c r="M354" s="69"/>
      <c r="N354" s="69"/>
      <c r="O354" s="69"/>
      <c r="P354" s="69"/>
      <c r="Q354" s="69"/>
      <c r="R354" s="69"/>
    </row>
    <row r="355" spans="2:18" ht="15.75" customHeight="1">
      <c r="B355" s="760"/>
      <c r="C355" s="69"/>
      <c r="D355" s="69"/>
      <c r="E355" s="69"/>
      <c r="F355" s="72"/>
      <c r="G355" s="69"/>
      <c r="H355" s="69"/>
      <c r="I355" s="69"/>
      <c r="J355" s="69"/>
      <c r="K355" s="69"/>
      <c r="L355" s="761"/>
      <c r="M355" s="69"/>
      <c r="N355" s="69"/>
      <c r="O355" s="69"/>
      <c r="P355" s="69"/>
      <c r="Q355" s="69"/>
      <c r="R355" s="69"/>
    </row>
    <row r="356" spans="2:18" ht="15.75" customHeight="1">
      <c r="B356" s="760"/>
      <c r="C356" s="69"/>
      <c r="D356" s="69"/>
      <c r="E356" s="69"/>
      <c r="F356" s="72"/>
      <c r="G356" s="69"/>
      <c r="H356" s="69"/>
      <c r="I356" s="69"/>
      <c r="J356" s="69"/>
      <c r="K356" s="69"/>
      <c r="L356" s="761"/>
      <c r="M356" s="69"/>
      <c r="N356" s="69"/>
      <c r="O356" s="69"/>
      <c r="P356" s="69"/>
      <c r="Q356" s="69"/>
      <c r="R356" s="69"/>
    </row>
    <row r="357" spans="2:18" ht="15.75" customHeight="1">
      <c r="B357" s="760"/>
      <c r="C357" s="69"/>
      <c r="D357" s="69"/>
      <c r="E357" s="69"/>
      <c r="F357" s="72"/>
      <c r="G357" s="69"/>
      <c r="H357" s="69"/>
      <c r="I357" s="69"/>
      <c r="J357" s="69"/>
      <c r="K357" s="69"/>
      <c r="L357" s="761"/>
      <c r="M357" s="69"/>
      <c r="N357" s="69"/>
      <c r="O357" s="69"/>
      <c r="P357" s="69"/>
      <c r="Q357" s="69"/>
      <c r="R357" s="69"/>
    </row>
    <row r="358" spans="2:18" ht="15.75" customHeight="1">
      <c r="B358" s="760"/>
      <c r="C358" s="69"/>
      <c r="D358" s="69"/>
      <c r="E358" s="69"/>
      <c r="F358" s="72"/>
      <c r="G358" s="69"/>
      <c r="H358" s="69"/>
      <c r="I358" s="69"/>
      <c r="J358" s="69"/>
      <c r="K358" s="69"/>
      <c r="L358" s="761"/>
      <c r="M358" s="69"/>
      <c r="N358" s="69"/>
      <c r="O358" s="69"/>
      <c r="P358" s="69"/>
      <c r="Q358" s="69"/>
      <c r="R358" s="69"/>
    </row>
    <row r="359" spans="2:18" ht="15.75" customHeight="1">
      <c r="B359" s="760"/>
      <c r="C359" s="69"/>
      <c r="D359" s="69"/>
      <c r="E359" s="69"/>
      <c r="F359" s="72"/>
      <c r="G359" s="69"/>
      <c r="H359" s="69"/>
      <c r="I359" s="69"/>
      <c r="J359" s="69"/>
      <c r="K359" s="69"/>
      <c r="L359" s="761"/>
      <c r="M359" s="69"/>
      <c r="N359" s="69"/>
      <c r="O359" s="69"/>
      <c r="P359" s="69"/>
      <c r="Q359" s="69"/>
      <c r="R359" s="69"/>
    </row>
    <row r="360" spans="2:18" ht="15.75" customHeight="1">
      <c r="B360" s="760"/>
      <c r="C360" s="69"/>
      <c r="D360" s="69"/>
      <c r="E360" s="69"/>
      <c r="F360" s="72"/>
      <c r="G360" s="69"/>
      <c r="H360" s="69"/>
      <c r="I360" s="69"/>
      <c r="J360" s="69"/>
      <c r="K360" s="69"/>
      <c r="L360" s="761"/>
      <c r="M360" s="69"/>
      <c r="N360" s="69"/>
      <c r="O360" s="69"/>
      <c r="P360" s="69"/>
      <c r="Q360" s="69"/>
      <c r="R360" s="69"/>
    </row>
    <row r="361" spans="2:18" ht="15.75" customHeight="1">
      <c r="B361" s="760"/>
      <c r="C361" s="69"/>
      <c r="D361" s="69"/>
      <c r="E361" s="69"/>
      <c r="F361" s="72"/>
      <c r="G361" s="69"/>
      <c r="H361" s="69"/>
      <c r="I361" s="69"/>
      <c r="J361" s="69"/>
      <c r="K361" s="69"/>
      <c r="L361" s="761"/>
      <c r="M361" s="69"/>
      <c r="N361" s="69"/>
      <c r="O361" s="69"/>
      <c r="P361" s="69"/>
      <c r="Q361" s="69"/>
      <c r="R361" s="69"/>
    </row>
    <row r="362" spans="2:18" ht="15.75" customHeight="1">
      <c r="B362" s="760"/>
      <c r="C362" s="69"/>
      <c r="D362" s="69"/>
      <c r="E362" s="69"/>
      <c r="F362" s="72"/>
      <c r="G362" s="69"/>
      <c r="H362" s="69"/>
      <c r="I362" s="69"/>
      <c r="J362" s="69"/>
      <c r="K362" s="69"/>
      <c r="L362" s="761"/>
      <c r="M362" s="69"/>
      <c r="N362" s="69"/>
      <c r="O362" s="69"/>
      <c r="P362" s="69"/>
      <c r="Q362" s="69"/>
      <c r="R362" s="69"/>
    </row>
    <row r="363" spans="2:18" ht="15.75" customHeight="1">
      <c r="B363" s="760"/>
      <c r="C363" s="69"/>
      <c r="D363" s="69" t="s">
        <v>874</v>
      </c>
      <c r="E363" s="69"/>
      <c r="F363" s="72"/>
      <c r="G363" s="69"/>
      <c r="H363" s="69"/>
      <c r="I363" s="69"/>
      <c r="J363" s="69"/>
      <c r="K363" s="69"/>
      <c r="L363" s="761"/>
      <c r="M363" s="69"/>
      <c r="N363" s="69"/>
      <c r="O363" s="69"/>
      <c r="P363" s="69"/>
      <c r="Q363" s="69"/>
      <c r="R363" s="69"/>
    </row>
    <row r="364" spans="2:18" ht="15.75" customHeight="1">
      <c r="B364" s="760"/>
      <c r="C364" s="69"/>
      <c r="D364" s="69" t="s">
        <v>875</v>
      </c>
      <c r="E364" s="69"/>
      <c r="F364" s="72"/>
      <c r="G364" s="69"/>
      <c r="H364" s="69"/>
      <c r="I364" s="69"/>
      <c r="J364" s="69"/>
      <c r="K364" s="69"/>
      <c r="L364" s="761"/>
      <c r="M364" s="69"/>
      <c r="N364" s="69"/>
      <c r="O364" s="69"/>
      <c r="P364" s="69"/>
      <c r="Q364" s="69"/>
      <c r="R364" s="69"/>
    </row>
    <row r="365" spans="2:18" ht="15.75" customHeight="1">
      <c r="B365" s="760"/>
      <c r="C365" s="69"/>
      <c r="D365" s="785" t="s">
        <v>876</v>
      </c>
      <c r="E365" s="1598" t="s">
        <v>877</v>
      </c>
      <c r="F365" s="1598"/>
      <c r="G365" s="1598" t="s">
        <v>878</v>
      </c>
      <c r="H365" s="1598"/>
      <c r="I365" s="69"/>
      <c r="J365" s="69"/>
      <c r="K365" s="69"/>
      <c r="L365" s="761"/>
      <c r="M365" s="69"/>
      <c r="N365" s="69"/>
      <c r="O365" s="69"/>
      <c r="P365" s="69"/>
      <c r="Q365" s="69"/>
      <c r="R365" s="69"/>
    </row>
    <row r="366" spans="2:18" ht="15.75" customHeight="1">
      <c r="B366" s="760"/>
      <c r="C366" s="69"/>
      <c r="D366" s="786">
        <v>2021</v>
      </c>
      <c r="E366" s="1599">
        <v>1</v>
      </c>
      <c r="F366" s="1599"/>
      <c r="G366" s="1599">
        <v>0.5</v>
      </c>
      <c r="H366" s="1599"/>
      <c r="I366" s="69"/>
      <c r="J366" s="69"/>
      <c r="K366" s="69"/>
      <c r="L366" s="761"/>
      <c r="M366" s="69"/>
      <c r="N366" s="69"/>
      <c r="O366" s="69"/>
      <c r="P366" s="69"/>
      <c r="Q366" s="69"/>
      <c r="R366" s="69"/>
    </row>
    <row r="367" spans="2:18" ht="15.75" customHeight="1">
      <c r="B367" s="760"/>
      <c r="C367" s="69"/>
      <c r="D367" s="787">
        <v>2022</v>
      </c>
      <c r="E367" s="1600">
        <v>1</v>
      </c>
      <c r="F367" s="1600"/>
      <c r="G367" s="1600">
        <v>0.5</v>
      </c>
      <c r="H367" s="1600"/>
      <c r="I367" s="69"/>
      <c r="J367" s="69"/>
      <c r="K367" s="69"/>
      <c r="L367" s="761"/>
      <c r="M367" s="69"/>
      <c r="N367" s="69"/>
      <c r="O367" s="69"/>
      <c r="P367" s="69"/>
      <c r="Q367" s="69"/>
      <c r="R367" s="69"/>
    </row>
    <row r="368" spans="2:18" ht="15.75" customHeight="1">
      <c r="B368" s="760"/>
      <c r="C368" s="69"/>
      <c r="D368" s="765">
        <v>2023</v>
      </c>
      <c r="E368" s="1595">
        <v>1</v>
      </c>
      <c r="F368" s="1595"/>
      <c r="G368" s="1595">
        <v>0</v>
      </c>
      <c r="H368" s="1595"/>
      <c r="I368" s="69"/>
      <c r="J368" s="69"/>
      <c r="K368" s="69"/>
      <c r="L368" s="761"/>
      <c r="M368" s="69"/>
      <c r="N368" s="69"/>
      <c r="O368" s="69"/>
      <c r="P368" s="69"/>
      <c r="Q368" s="69"/>
      <c r="R368" s="69"/>
    </row>
    <row r="369" spans="1:35" ht="15.75" customHeight="1">
      <c r="B369" s="760"/>
      <c r="C369" s="69"/>
      <c r="D369" s="765">
        <v>2024</v>
      </c>
      <c r="E369" s="1596">
        <f>(12/15)</f>
        <v>0.8</v>
      </c>
      <c r="F369" s="1597"/>
      <c r="G369" s="1595">
        <f>3/9</f>
        <v>0.33333333333333331</v>
      </c>
      <c r="H369" s="1595"/>
      <c r="I369" s="69"/>
      <c r="J369" s="69"/>
      <c r="K369" s="69"/>
      <c r="L369" s="761"/>
      <c r="M369" s="69"/>
      <c r="N369" s="69"/>
      <c r="O369" s="69"/>
      <c r="P369" s="69"/>
      <c r="Q369" s="69"/>
      <c r="R369" s="69"/>
    </row>
    <row r="370" spans="1:35" ht="15.75" customHeight="1">
      <c r="B370" s="760"/>
      <c r="C370" s="69"/>
      <c r="D370" s="765" t="s">
        <v>860</v>
      </c>
      <c r="E370" s="1596">
        <f>AVERAGE(E366:F369)</f>
        <v>0.95</v>
      </c>
      <c r="F370" s="1597"/>
      <c r="G370" s="1595">
        <f>AVERAGE(G366:H369)</f>
        <v>0.33333333333333331</v>
      </c>
      <c r="H370" s="1492"/>
      <c r="I370" s="764"/>
      <c r="J370" s="69"/>
      <c r="K370" s="69"/>
      <c r="L370" s="761"/>
      <c r="M370" s="69"/>
      <c r="N370" s="69"/>
      <c r="O370" s="69"/>
      <c r="P370" s="69"/>
      <c r="Q370" s="69"/>
      <c r="R370" s="69"/>
    </row>
    <row r="371" spans="1:35" ht="15.75" customHeight="1">
      <c r="B371" s="789"/>
      <c r="C371" s="71"/>
      <c r="D371" s="790" t="s">
        <v>879</v>
      </c>
      <c r="E371" s="791"/>
      <c r="F371" s="791"/>
      <c r="G371" s="71"/>
      <c r="H371" s="792"/>
      <c r="I371" s="793"/>
      <c r="J371" s="71"/>
      <c r="K371" s="71"/>
      <c r="L371" s="794"/>
      <c r="M371" s="69"/>
      <c r="N371" s="69"/>
      <c r="O371" s="69"/>
      <c r="P371" s="69"/>
      <c r="Q371" s="69"/>
      <c r="R371" s="69"/>
    </row>
    <row r="372" spans="1:35" ht="15.75" customHeight="1">
      <c r="B372" s="760"/>
      <c r="C372" s="69"/>
      <c r="D372" s="72"/>
      <c r="E372" s="784"/>
      <c r="F372" s="784"/>
      <c r="G372" s="784"/>
      <c r="H372" s="784"/>
      <c r="I372" s="69"/>
      <c r="J372" s="69"/>
      <c r="K372" s="69"/>
      <c r="L372" s="761"/>
      <c r="M372" s="69"/>
      <c r="N372" s="69"/>
      <c r="O372" s="69"/>
      <c r="P372" s="69"/>
      <c r="Q372" s="69"/>
      <c r="R372" s="69"/>
    </row>
    <row r="373" spans="1:35" ht="29.45" customHeight="1">
      <c r="B373" s="760"/>
      <c r="C373" s="69"/>
      <c r="D373" s="1585" t="s">
        <v>880</v>
      </c>
      <c r="E373" s="1585"/>
      <c r="F373" s="1585"/>
      <c r="G373" s="1585"/>
      <c r="H373" s="1585"/>
      <c r="I373" s="1585"/>
      <c r="J373" s="1585"/>
      <c r="K373" s="69"/>
      <c r="L373" s="761"/>
      <c r="M373" s="69"/>
      <c r="N373" s="69"/>
      <c r="O373" s="69"/>
      <c r="P373" s="69"/>
      <c r="Q373" s="69"/>
      <c r="R373" s="69"/>
    </row>
    <row r="374" spans="1:35" ht="15.75" customHeight="1" thickBot="1">
      <c r="B374" s="795"/>
      <c r="C374" s="796"/>
      <c r="D374" s="796"/>
      <c r="E374" s="796"/>
      <c r="F374" s="796"/>
      <c r="G374" s="796"/>
      <c r="H374" s="796"/>
      <c r="I374" s="796"/>
      <c r="J374" s="796"/>
      <c r="K374" s="796"/>
      <c r="L374" s="797"/>
      <c r="M374" s="69"/>
      <c r="N374" s="69"/>
      <c r="O374" s="69"/>
      <c r="P374" s="69"/>
      <c r="Q374" s="69"/>
      <c r="R374" s="69"/>
    </row>
    <row r="375" spans="1:35" ht="15.75" customHeight="1" thickBot="1">
      <c r="B375" s="69"/>
      <c r="C375" s="69"/>
      <c r="D375" s="69"/>
      <c r="E375" s="69"/>
      <c r="F375" s="69"/>
      <c r="G375" s="69"/>
      <c r="H375" s="69"/>
      <c r="I375" s="69"/>
      <c r="J375" s="69"/>
      <c r="K375" s="69"/>
      <c r="L375" s="69"/>
      <c r="M375" s="69"/>
      <c r="N375" s="69" t="s">
        <v>881</v>
      </c>
      <c r="O375" s="69"/>
      <c r="P375" s="69"/>
      <c r="Q375" s="69"/>
      <c r="R375" s="69"/>
    </row>
    <row r="376" spans="1:35" s="131" customFormat="1" ht="15.75" customHeight="1">
      <c r="A376" s="373"/>
      <c r="B376" s="798"/>
      <c r="C376" s="799" t="s">
        <v>882</v>
      </c>
      <c r="D376" s="800"/>
      <c r="E376" s="800"/>
      <c r="F376" s="800"/>
      <c r="G376" s="800"/>
      <c r="H376" s="800"/>
      <c r="I376" s="800"/>
      <c r="J376" s="800"/>
      <c r="K376" s="800"/>
      <c r="L376" s="801"/>
      <c r="M376" s="69"/>
      <c r="N376" s="757"/>
      <c r="O376" s="802" t="s">
        <v>883</v>
      </c>
      <c r="P376" s="758"/>
      <c r="Q376" s="758"/>
      <c r="R376" s="758"/>
      <c r="S376" s="758"/>
      <c r="T376" s="758"/>
      <c r="U376" s="758"/>
      <c r="V376" s="758"/>
      <c r="W376" s="758"/>
      <c r="X376" s="759"/>
      <c r="Y376" s="69"/>
      <c r="Z376" s="69" t="s">
        <v>884</v>
      </c>
      <c r="AA376" s="69"/>
      <c r="AB376" s="69"/>
      <c r="AC376" s="69"/>
      <c r="AD376" s="69"/>
      <c r="AE376" s="69"/>
      <c r="AF376" s="69"/>
      <c r="AG376" s="69"/>
      <c r="AH376" s="69"/>
      <c r="AI376" s="69"/>
    </row>
    <row r="377" spans="1:35" s="131" customFormat="1" ht="15.75" customHeight="1">
      <c r="A377" s="69"/>
      <c r="B377" s="803"/>
      <c r="C377" s="69"/>
      <c r="D377" s="69"/>
      <c r="E377" s="69"/>
      <c r="F377" s="69"/>
      <c r="G377" s="69"/>
      <c r="H377" s="69"/>
      <c r="I377" s="69"/>
      <c r="J377" s="69"/>
      <c r="K377" s="69"/>
      <c r="L377" s="804"/>
      <c r="M377" s="69"/>
      <c r="N377" s="760"/>
      <c r="O377" s="69"/>
      <c r="P377" s="69"/>
      <c r="Q377" s="69"/>
      <c r="R377" s="69"/>
      <c r="S377" s="69"/>
      <c r="T377" s="69"/>
      <c r="U377" s="69"/>
      <c r="V377" s="69"/>
      <c r="W377" s="69"/>
      <c r="X377" s="761"/>
      <c r="Y377" s="69"/>
      <c r="Z377" s="69" t="s">
        <v>885</v>
      </c>
      <c r="AA377" s="69"/>
      <c r="AB377" s="69"/>
      <c r="AC377" s="69"/>
      <c r="AD377" s="69"/>
      <c r="AE377" s="69"/>
      <c r="AF377" s="69"/>
      <c r="AG377" s="69"/>
      <c r="AH377" s="69"/>
      <c r="AI377" s="69"/>
    </row>
    <row r="378" spans="1:35" s="131" customFormat="1" ht="15.75" customHeight="1">
      <c r="A378" s="69"/>
      <c r="B378" s="803"/>
      <c r="C378" s="145" t="s">
        <v>886</v>
      </c>
      <c r="D378" s="69"/>
      <c r="E378" s="69"/>
      <c r="F378" s="69"/>
      <c r="G378" s="69"/>
      <c r="H378" s="69"/>
      <c r="I378" s="69"/>
      <c r="J378" s="69"/>
      <c r="K378" s="69"/>
      <c r="L378" s="804"/>
      <c r="M378" s="69"/>
      <c r="N378" s="760"/>
      <c r="O378" s="145" t="s">
        <v>886</v>
      </c>
      <c r="P378" s="69"/>
      <c r="Q378" s="69"/>
      <c r="R378" s="69"/>
      <c r="S378" s="69"/>
      <c r="T378" s="69"/>
      <c r="U378" s="69"/>
      <c r="V378" s="69"/>
      <c r="W378" s="69"/>
      <c r="X378" s="761"/>
      <c r="Y378" s="69"/>
      <c r="Z378" s="69"/>
      <c r="AA378" s="69"/>
      <c r="AB378" s="69"/>
      <c r="AC378" s="69"/>
      <c r="AD378" s="69"/>
      <c r="AE378" s="69"/>
      <c r="AF378" s="69"/>
      <c r="AG378" s="69"/>
      <c r="AH378" s="69"/>
      <c r="AI378" s="69"/>
    </row>
    <row r="379" spans="1:35" s="131" customFormat="1" ht="15.75" customHeight="1">
      <c r="A379" s="69"/>
      <c r="B379" s="803"/>
      <c r="C379" s="69"/>
      <c r="D379" s="69"/>
      <c r="E379" s="69"/>
      <c r="F379" s="69"/>
      <c r="G379" s="69"/>
      <c r="H379" s="69"/>
      <c r="I379" s="69"/>
      <c r="J379" s="69"/>
      <c r="K379" s="69"/>
      <c r="L379" s="804"/>
      <c r="M379" s="69"/>
      <c r="N379" s="760"/>
      <c r="O379" s="69"/>
      <c r="P379" s="69"/>
      <c r="Q379" s="69"/>
      <c r="R379" s="69"/>
      <c r="S379" s="69"/>
      <c r="T379" s="69"/>
      <c r="U379" s="69"/>
      <c r="V379" s="69"/>
      <c r="W379" s="69"/>
      <c r="X379" s="761"/>
      <c r="Y379" s="69"/>
      <c r="Z379" s="69"/>
      <c r="AA379" s="69"/>
      <c r="AB379" s="69"/>
      <c r="AC379" s="69"/>
      <c r="AD379" s="69"/>
      <c r="AE379" s="69"/>
      <c r="AF379" s="69"/>
      <c r="AG379" s="69"/>
      <c r="AH379" s="69"/>
      <c r="AI379" s="69"/>
    </row>
    <row r="380" spans="1:35" s="131" customFormat="1" ht="39.75" customHeight="1">
      <c r="A380" s="69"/>
      <c r="B380" s="803"/>
      <c r="C380" s="69"/>
      <c r="D380" s="1585" t="s">
        <v>887</v>
      </c>
      <c r="E380" s="1555"/>
      <c r="F380" s="1555"/>
      <c r="G380" s="1555"/>
      <c r="H380" s="1555"/>
      <c r="I380" s="1555"/>
      <c r="J380" s="1555"/>
      <c r="K380" s="69"/>
      <c r="L380" s="804"/>
      <c r="M380" s="69"/>
      <c r="N380" s="760"/>
      <c r="O380" s="69"/>
      <c r="P380" s="1585" t="s">
        <v>887</v>
      </c>
      <c r="Q380" s="1555"/>
      <c r="R380" s="1555"/>
      <c r="S380" s="1555"/>
      <c r="T380" s="1555"/>
      <c r="U380" s="1555"/>
      <c r="V380" s="1555"/>
      <c r="W380" s="69"/>
      <c r="X380" s="761"/>
      <c r="Y380" s="69"/>
      <c r="Z380" s="69"/>
      <c r="AA380" s="69"/>
      <c r="AB380" s="69"/>
      <c r="AC380" s="69"/>
      <c r="AD380" s="69"/>
      <c r="AE380" s="69"/>
      <c r="AF380" s="69"/>
      <c r="AG380" s="69"/>
      <c r="AH380" s="69"/>
      <c r="AI380" s="69"/>
    </row>
    <row r="381" spans="1:35" s="131" customFormat="1" ht="15.75" customHeight="1">
      <c r="A381" s="69"/>
      <c r="B381" s="803"/>
      <c r="C381" s="69"/>
      <c r="D381" s="69"/>
      <c r="E381" s="69"/>
      <c r="F381" s="69"/>
      <c r="G381" s="69"/>
      <c r="H381" s="69"/>
      <c r="I381" s="69"/>
      <c r="J381" s="69"/>
      <c r="K381" s="69"/>
      <c r="L381" s="804"/>
      <c r="M381" s="69"/>
      <c r="N381" s="760"/>
      <c r="O381" s="69"/>
      <c r="P381" s="69"/>
      <c r="Q381" s="69"/>
      <c r="R381" s="69"/>
      <c r="S381" s="69"/>
      <c r="T381" s="69"/>
      <c r="U381" s="69"/>
      <c r="V381" s="69"/>
      <c r="W381" s="69"/>
      <c r="X381" s="761"/>
      <c r="Y381" s="69"/>
      <c r="Z381" s="69"/>
      <c r="AA381" s="69"/>
      <c r="AB381" s="69"/>
      <c r="AC381" s="69"/>
      <c r="AD381" s="69"/>
      <c r="AE381" s="69"/>
      <c r="AF381" s="69"/>
      <c r="AG381" s="69"/>
      <c r="AH381" s="69"/>
      <c r="AI381" s="69"/>
    </row>
    <row r="382" spans="1:35" s="131" customFormat="1" ht="39.75" customHeight="1">
      <c r="A382" s="69"/>
      <c r="B382" s="803"/>
      <c r="C382" s="69"/>
      <c r="D382" s="739" t="s">
        <v>570</v>
      </c>
      <c r="E382" s="805" t="s">
        <v>888</v>
      </c>
      <c r="F382" s="805" t="s">
        <v>889</v>
      </c>
      <c r="G382" s="805" t="s">
        <v>890</v>
      </c>
      <c r="H382" s="805" t="s">
        <v>891</v>
      </c>
      <c r="J382" s="69"/>
      <c r="K382" s="69"/>
      <c r="L382" s="804"/>
      <c r="M382" s="69"/>
      <c r="N382" s="760"/>
      <c r="O382" s="69"/>
      <c r="P382" s="739" t="s">
        <v>570</v>
      </c>
      <c r="Q382" s="805" t="s">
        <v>892</v>
      </c>
      <c r="R382" s="805" t="s">
        <v>893</v>
      </c>
      <c r="S382" s="805" t="s">
        <v>894</v>
      </c>
      <c r="T382" s="805" t="s">
        <v>895</v>
      </c>
      <c r="V382" s="69"/>
      <c r="W382" s="69"/>
      <c r="X382" s="761"/>
      <c r="Y382" s="69"/>
      <c r="Z382" s="69"/>
      <c r="AA382" s="69"/>
      <c r="AB382" s="69"/>
      <c r="AC382" s="69"/>
      <c r="AD382" s="69"/>
      <c r="AE382" s="69"/>
      <c r="AF382" s="69"/>
      <c r="AG382" s="69"/>
      <c r="AH382" s="69"/>
      <c r="AI382" s="69"/>
    </row>
    <row r="383" spans="1:35" s="131" customFormat="1" ht="15.75" customHeight="1">
      <c r="A383" s="69"/>
      <c r="B383" s="803"/>
      <c r="C383" s="69"/>
      <c r="D383" s="765">
        <v>2023</v>
      </c>
      <c r="E383" s="431">
        <v>12</v>
      </c>
      <c r="F383" s="431">
        <v>12</v>
      </c>
      <c r="G383" s="765">
        <f t="shared" ref="G383:G385" si="9">E383-F383</f>
        <v>0</v>
      </c>
      <c r="H383" s="806">
        <f>G383/E383</f>
        <v>0</v>
      </c>
      <c r="J383" s="69"/>
      <c r="K383" s="69"/>
      <c r="L383" s="804"/>
      <c r="M383" s="69"/>
      <c r="N383" s="760"/>
      <c r="O383" s="69"/>
      <c r="P383" s="765">
        <v>2023</v>
      </c>
      <c r="Q383" s="557">
        <v>5830000000</v>
      </c>
      <c r="R383" s="557">
        <v>5828632006</v>
      </c>
      <c r="S383" s="807">
        <f t="shared" ref="S383:S385" si="10">Q383-R383</f>
        <v>1367994</v>
      </c>
      <c r="T383" s="788">
        <f>S383/Q383</f>
        <v>2.3464734133790737E-4</v>
      </c>
      <c r="V383" s="69"/>
      <c r="W383" s="69"/>
      <c r="X383" s="761"/>
      <c r="Y383" s="69"/>
      <c r="Z383" s="69"/>
      <c r="AA383" s="69"/>
      <c r="AB383" s="69"/>
      <c r="AC383" s="69"/>
      <c r="AD383" s="69"/>
      <c r="AE383" s="69"/>
      <c r="AF383" s="69"/>
      <c r="AG383" s="69"/>
      <c r="AH383" s="69"/>
      <c r="AI383" s="69"/>
    </row>
    <row r="384" spans="1:35" s="131" customFormat="1" ht="15.75" customHeight="1">
      <c r="A384" s="69"/>
      <c r="B384" s="803"/>
      <c r="C384" s="69"/>
      <c r="D384" s="765">
        <v>2022</v>
      </c>
      <c r="E384" s="431">
        <v>12</v>
      </c>
      <c r="F384" s="431">
        <v>12</v>
      </c>
      <c r="G384" s="765">
        <f t="shared" si="9"/>
        <v>0</v>
      </c>
      <c r="H384" s="806">
        <f>G384/E384</f>
        <v>0</v>
      </c>
      <c r="J384" s="69"/>
      <c r="K384" s="69"/>
      <c r="L384" s="804"/>
      <c r="M384" s="69"/>
      <c r="N384" s="760"/>
      <c r="O384" s="69"/>
      <c r="P384" s="765">
        <v>2022</v>
      </c>
      <c r="Q384" s="557">
        <v>5830000000</v>
      </c>
      <c r="R384" s="557">
        <v>5798746387</v>
      </c>
      <c r="S384" s="807">
        <f t="shared" si="10"/>
        <v>31253613</v>
      </c>
      <c r="T384" s="788">
        <f>S384/Q384</f>
        <v>5.3608255574614065E-3</v>
      </c>
      <c r="V384" s="69"/>
      <c r="W384" s="69"/>
      <c r="X384" s="761"/>
      <c r="Y384" s="69"/>
      <c r="Z384" s="69"/>
      <c r="AA384" s="69"/>
      <c r="AB384" s="69"/>
      <c r="AC384" s="69"/>
      <c r="AD384" s="69"/>
      <c r="AE384" s="69"/>
      <c r="AF384" s="69"/>
      <c r="AG384" s="69"/>
      <c r="AH384" s="69"/>
      <c r="AI384" s="69"/>
    </row>
    <row r="385" spans="1:35" s="131" customFormat="1" ht="15.75" customHeight="1">
      <c r="A385" s="69"/>
      <c r="B385" s="803"/>
      <c r="C385" s="69"/>
      <c r="D385" s="765">
        <v>2021</v>
      </c>
      <c r="E385" s="431">
        <v>10</v>
      </c>
      <c r="F385" s="431">
        <v>10</v>
      </c>
      <c r="G385" s="765">
        <f t="shared" si="9"/>
        <v>0</v>
      </c>
      <c r="H385" s="806">
        <f>G385/E385</f>
        <v>0</v>
      </c>
      <c r="J385" s="69"/>
      <c r="K385" s="69"/>
      <c r="L385" s="804"/>
      <c r="M385" s="69"/>
      <c r="N385" s="760"/>
      <c r="O385" s="69"/>
      <c r="P385" s="765">
        <v>2021</v>
      </c>
      <c r="Q385" s="557">
        <v>4200000000</v>
      </c>
      <c r="R385" s="557">
        <v>3887216078</v>
      </c>
      <c r="S385" s="807">
        <f t="shared" si="10"/>
        <v>312783922</v>
      </c>
      <c r="T385" s="788">
        <f>S385/Q385</f>
        <v>7.4472362380952381E-2</v>
      </c>
      <c r="V385" s="69"/>
      <c r="W385" s="69"/>
      <c r="X385" s="761"/>
      <c r="Y385" s="69"/>
      <c r="Z385" s="69"/>
      <c r="AA385" s="69"/>
      <c r="AB385" s="69"/>
      <c r="AC385" s="69"/>
      <c r="AD385" s="69"/>
      <c r="AE385" s="69"/>
      <c r="AF385" s="69"/>
      <c r="AG385" s="69"/>
      <c r="AH385" s="69"/>
      <c r="AI385" s="69"/>
    </row>
    <row r="386" spans="1:35" s="131" customFormat="1" ht="15.75" customHeight="1">
      <c r="A386" s="69"/>
      <c r="B386" s="803"/>
      <c r="C386" s="69"/>
      <c r="D386" s="1492" t="s">
        <v>700</v>
      </c>
      <c r="E386" s="1492"/>
      <c r="F386" s="1492"/>
      <c r="G386" s="1492"/>
      <c r="H386" s="808">
        <f>AVERAGE(H383:H385)</f>
        <v>0</v>
      </c>
      <c r="J386" s="764"/>
      <c r="K386" s="69"/>
      <c r="L386" s="804"/>
      <c r="M386" s="69"/>
      <c r="N386" s="760"/>
      <c r="O386" s="69"/>
      <c r="P386" s="1492" t="s">
        <v>700</v>
      </c>
      <c r="Q386" s="1492"/>
      <c r="R386" s="1492"/>
      <c r="S386" s="1492"/>
      <c r="T386" s="809">
        <f>AVERAGE(T383:T385)</f>
        <v>2.66892784265839E-2</v>
      </c>
      <c r="V386" s="764"/>
      <c r="W386" s="69"/>
      <c r="X386" s="761"/>
      <c r="Y386" s="69"/>
      <c r="Z386" s="69"/>
      <c r="AA386" s="69"/>
      <c r="AB386" s="69"/>
      <c r="AC386" s="69"/>
      <c r="AD386" s="69"/>
      <c r="AE386" s="69"/>
      <c r="AF386" s="69"/>
      <c r="AG386" s="69"/>
      <c r="AH386" s="69"/>
      <c r="AI386" s="69"/>
    </row>
    <row r="387" spans="1:35" s="131" customFormat="1" ht="15.75" customHeight="1">
      <c r="A387" s="69"/>
      <c r="B387" s="803"/>
      <c r="C387" s="69"/>
      <c r="D387" s="69"/>
      <c r="E387" s="69"/>
      <c r="F387" s="69"/>
      <c r="G387" s="69"/>
      <c r="H387" s="69"/>
      <c r="I387" s="69"/>
      <c r="J387" s="69"/>
      <c r="K387" s="69"/>
      <c r="L387" s="804"/>
      <c r="M387" s="69"/>
      <c r="N387" s="760"/>
      <c r="O387" s="69"/>
      <c r="P387" s="69"/>
      <c r="Q387" s="69"/>
      <c r="R387" s="69"/>
      <c r="S387" s="69"/>
      <c r="T387" s="69"/>
      <c r="U387" s="69"/>
      <c r="V387" s="69"/>
      <c r="W387" s="69"/>
      <c r="X387" s="761"/>
      <c r="Y387" s="69"/>
      <c r="Z387" s="69"/>
      <c r="AA387" s="69"/>
      <c r="AB387" s="69"/>
      <c r="AC387" s="69"/>
      <c r="AD387" s="69"/>
      <c r="AE387" s="69"/>
      <c r="AF387" s="69"/>
      <c r="AG387" s="69"/>
      <c r="AH387" s="69"/>
      <c r="AI387" s="69"/>
    </row>
    <row r="388" spans="1:35" s="131" customFormat="1" ht="33.75" customHeight="1">
      <c r="A388" s="69"/>
      <c r="B388" s="803"/>
      <c r="C388" s="69"/>
      <c r="D388" s="1585" t="s">
        <v>896</v>
      </c>
      <c r="E388" s="1585"/>
      <c r="F388" s="1585"/>
      <c r="G388" s="1585"/>
      <c r="H388" s="1585"/>
      <c r="I388" s="1585"/>
      <c r="J388" s="1585"/>
      <c r="K388" s="69"/>
      <c r="L388" s="804"/>
      <c r="M388" s="69"/>
      <c r="N388" s="760"/>
      <c r="O388" s="69"/>
      <c r="P388" s="1585" t="s">
        <v>896</v>
      </c>
      <c r="Q388" s="1585"/>
      <c r="R388" s="1585"/>
      <c r="S388" s="1585"/>
      <c r="T388" s="1585"/>
      <c r="U388" s="1585"/>
      <c r="V388" s="1585"/>
      <c r="W388" s="69"/>
      <c r="X388" s="761"/>
      <c r="Y388" s="69"/>
      <c r="Z388" s="69"/>
      <c r="AA388" s="69"/>
      <c r="AB388" s="69"/>
      <c r="AC388" s="69"/>
      <c r="AD388" s="69"/>
      <c r="AE388" s="69"/>
      <c r="AF388" s="69"/>
      <c r="AG388" s="69"/>
      <c r="AH388" s="69"/>
      <c r="AI388" s="69"/>
    </row>
    <row r="389" spans="1:35" ht="15.75" customHeight="1" thickBot="1">
      <c r="B389" s="795"/>
      <c r="C389" s="796"/>
      <c r="D389" s="796"/>
      <c r="E389" s="796"/>
      <c r="F389" s="796"/>
      <c r="G389" s="796"/>
      <c r="H389" s="796"/>
      <c r="I389" s="796"/>
      <c r="J389" s="796"/>
      <c r="K389" s="796"/>
      <c r="L389" s="797"/>
      <c r="M389" s="69"/>
      <c r="N389" s="795"/>
      <c r="O389" s="796"/>
      <c r="P389" s="796"/>
      <c r="Q389" s="796"/>
      <c r="R389" s="796"/>
      <c r="S389" s="755"/>
      <c r="T389" s="755"/>
      <c r="U389" s="755"/>
      <c r="V389" s="755"/>
      <c r="W389" s="755"/>
      <c r="X389" s="756"/>
    </row>
    <row r="390" spans="1:35" ht="15.75" customHeight="1" thickBot="1">
      <c r="B390" s="69"/>
      <c r="C390" s="69"/>
      <c r="D390" s="69"/>
      <c r="E390" s="69"/>
      <c r="F390" s="69"/>
      <c r="G390" s="69"/>
      <c r="H390" s="69"/>
      <c r="I390" s="69"/>
      <c r="J390" s="69"/>
      <c r="K390" s="69"/>
      <c r="L390" s="69"/>
      <c r="M390" s="69"/>
      <c r="N390" s="69"/>
      <c r="O390" s="69"/>
      <c r="P390" s="69"/>
      <c r="Q390" s="69"/>
      <c r="R390" s="69"/>
    </row>
    <row r="391" spans="1:35" ht="15.75" customHeight="1">
      <c r="B391" s="810"/>
      <c r="C391" s="811" t="s">
        <v>897</v>
      </c>
      <c r="D391" s="812"/>
      <c r="E391" s="812"/>
      <c r="F391" s="812"/>
      <c r="G391" s="812"/>
      <c r="H391" s="812"/>
      <c r="I391" s="812"/>
      <c r="J391" s="812"/>
      <c r="K391" s="812"/>
      <c r="L391" s="813"/>
      <c r="M391" s="69"/>
      <c r="N391" s="69"/>
      <c r="O391" s="69"/>
      <c r="P391" s="69"/>
      <c r="Q391" s="69"/>
      <c r="R391" s="69"/>
    </row>
    <row r="392" spans="1:35" ht="15.75" customHeight="1">
      <c r="B392" s="814"/>
      <c r="C392" s="69"/>
      <c r="D392" s="69"/>
      <c r="E392" s="69"/>
      <c r="F392" s="69"/>
      <c r="G392" s="69"/>
      <c r="H392" s="69"/>
      <c r="I392" s="69"/>
      <c r="J392" s="69"/>
      <c r="K392" s="69"/>
      <c r="L392" s="815"/>
      <c r="M392" s="69"/>
      <c r="N392" s="69"/>
      <c r="O392" s="69"/>
      <c r="P392" s="69"/>
      <c r="Q392" s="69"/>
      <c r="R392" s="69"/>
    </row>
    <row r="393" spans="1:35" ht="15.75" customHeight="1">
      <c r="B393" s="814"/>
      <c r="C393" s="145" t="s">
        <v>898</v>
      </c>
      <c r="D393" s="69"/>
      <c r="E393" s="69"/>
      <c r="F393" s="69"/>
      <c r="G393" s="69"/>
      <c r="H393" s="69"/>
      <c r="I393" s="69"/>
      <c r="J393" s="69"/>
      <c r="K393" s="69"/>
      <c r="L393" s="815"/>
      <c r="M393" s="69"/>
      <c r="N393" s="69"/>
      <c r="O393" s="69"/>
      <c r="P393" s="69"/>
      <c r="Q393" s="69"/>
      <c r="R393" s="69"/>
    </row>
    <row r="394" spans="1:35" ht="15.75" customHeight="1">
      <c r="B394" s="814"/>
      <c r="C394" s="69"/>
      <c r="D394" s="69"/>
      <c r="E394" s="69"/>
      <c r="F394" s="69"/>
      <c r="G394" s="69"/>
      <c r="H394" s="69"/>
      <c r="I394" s="69"/>
      <c r="J394" s="69"/>
      <c r="K394" s="69"/>
      <c r="L394" s="815"/>
      <c r="M394" s="69"/>
      <c r="N394" s="69"/>
      <c r="O394" s="69"/>
      <c r="P394" s="69"/>
      <c r="Q394" s="69"/>
      <c r="R394" s="69"/>
    </row>
    <row r="395" spans="1:35" ht="48" customHeight="1">
      <c r="B395" s="814"/>
      <c r="C395" s="69"/>
      <c r="D395" s="1585" t="s">
        <v>899</v>
      </c>
      <c r="E395" s="1585"/>
      <c r="F395" s="1585"/>
      <c r="G395" s="1585"/>
      <c r="H395" s="1585"/>
      <c r="I395" s="1585"/>
      <c r="J395" s="1585"/>
      <c r="K395" s="69"/>
      <c r="L395" s="815"/>
      <c r="M395" s="69"/>
      <c r="N395" s="69"/>
      <c r="O395" s="69"/>
      <c r="P395" s="69"/>
      <c r="Q395" s="69"/>
      <c r="R395" s="69"/>
    </row>
    <row r="396" spans="1:35" ht="48" customHeight="1">
      <c r="B396" s="814"/>
      <c r="C396" s="69"/>
      <c r="D396" s="762"/>
      <c r="E396" s="762"/>
      <c r="F396" s="762"/>
      <c r="G396" s="762"/>
      <c r="H396" s="762"/>
      <c r="I396" s="762"/>
      <c r="J396" s="762"/>
      <c r="K396" s="69"/>
      <c r="L396" s="815"/>
      <c r="M396" s="69"/>
      <c r="N396" s="69"/>
      <c r="O396" s="69"/>
      <c r="P396" s="69"/>
      <c r="Q396" s="69"/>
      <c r="R396" s="69"/>
    </row>
    <row r="397" spans="1:35" ht="48" customHeight="1">
      <c r="B397" s="814"/>
      <c r="C397" s="69"/>
      <c r="D397" s="762"/>
      <c r="E397" s="762"/>
      <c r="F397" s="762"/>
      <c r="G397" s="762"/>
      <c r="H397" s="762"/>
      <c r="I397" s="762"/>
      <c r="J397" s="762"/>
      <c r="K397" s="69"/>
      <c r="L397" s="815"/>
      <c r="M397" s="69"/>
      <c r="N397" s="69"/>
      <c r="O397" s="69"/>
      <c r="P397" s="69"/>
      <c r="Q397" s="69"/>
      <c r="R397" s="69"/>
    </row>
    <row r="398" spans="1:35" ht="48" customHeight="1">
      <c r="B398" s="814"/>
      <c r="C398" s="69"/>
      <c r="D398" s="762"/>
      <c r="E398" s="762"/>
      <c r="F398" s="762"/>
      <c r="G398" s="762"/>
      <c r="H398" s="762"/>
      <c r="I398" s="762"/>
      <c r="J398" s="762"/>
      <c r="K398" s="69"/>
      <c r="L398" s="815"/>
      <c r="M398" s="69"/>
      <c r="N398" s="69"/>
      <c r="O398" s="69"/>
      <c r="P398" s="69"/>
      <c r="Q398" s="69"/>
      <c r="R398" s="69"/>
    </row>
    <row r="399" spans="1:35" ht="48" customHeight="1">
      <c r="B399" s="814"/>
      <c r="C399" s="69"/>
      <c r="D399" s="762"/>
      <c r="E399" s="762"/>
      <c r="F399" s="762"/>
      <c r="G399" s="762"/>
      <c r="H399" s="762"/>
      <c r="I399" s="762"/>
      <c r="J399" s="762"/>
      <c r="K399" s="69"/>
      <c r="L399" s="815"/>
      <c r="M399" s="69"/>
      <c r="N399" s="69"/>
      <c r="O399" s="69"/>
      <c r="P399" s="69"/>
      <c r="Q399" s="69"/>
      <c r="R399" s="69"/>
    </row>
    <row r="400" spans="1:35" ht="48" customHeight="1">
      <c r="B400" s="814"/>
      <c r="C400" s="69"/>
      <c r="D400" s="762"/>
      <c r="E400" s="762"/>
      <c r="F400" s="762"/>
      <c r="G400" s="762"/>
      <c r="H400" s="762"/>
      <c r="I400" s="762"/>
      <c r="J400" s="762"/>
      <c r="K400" s="69"/>
      <c r="L400" s="815"/>
      <c r="M400" s="69"/>
      <c r="N400" s="69"/>
      <c r="O400" s="69"/>
      <c r="P400" s="69"/>
      <c r="Q400" s="69"/>
      <c r="R400" s="69"/>
    </row>
    <row r="401" spans="2:18" ht="48" customHeight="1">
      <c r="B401" s="814"/>
      <c r="C401" s="69"/>
      <c r="D401" s="762"/>
      <c r="E401" s="762"/>
      <c r="F401" s="762"/>
      <c r="G401" s="762"/>
      <c r="H401" s="762"/>
      <c r="I401" s="762"/>
      <c r="J401" s="762"/>
      <c r="K401" s="69"/>
      <c r="L401" s="815"/>
      <c r="M401" s="69"/>
      <c r="N401" s="69"/>
      <c r="O401" s="69"/>
      <c r="P401" s="69"/>
      <c r="Q401" s="69"/>
      <c r="R401" s="69"/>
    </row>
    <row r="402" spans="2:18" ht="15.75" customHeight="1">
      <c r="B402" s="814"/>
      <c r="C402" s="69"/>
      <c r="D402" s="72"/>
      <c r="E402" s="69"/>
      <c r="F402" s="69"/>
      <c r="G402" s="69"/>
      <c r="H402" s="69"/>
      <c r="I402" s="69"/>
      <c r="J402" s="69"/>
      <c r="K402" s="69"/>
      <c r="L402" s="815"/>
      <c r="M402" s="69"/>
      <c r="N402" s="69"/>
      <c r="O402" s="69"/>
      <c r="P402" s="69"/>
      <c r="Q402" s="69"/>
      <c r="R402" s="69"/>
    </row>
    <row r="403" spans="2:18" ht="15.75" customHeight="1">
      <c r="B403" s="814"/>
      <c r="C403" s="69"/>
      <c r="D403" s="69"/>
      <c r="E403" s="816"/>
      <c r="F403" s="816"/>
      <c r="G403" s="1594"/>
      <c r="H403" s="1594"/>
      <c r="I403" s="816"/>
      <c r="J403" s="779"/>
      <c r="K403" s="817"/>
      <c r="L403" s="815"/>
      <c r="M403" s="69"/>
      <c r="N403" s="69"/>
      <c r="O403" s="69"/>
      <c r="P403" s="69"/>
      <c r="Q403" s="69"/>
      <c r="R403" s="69"/>
    </row>
    <row r="404" spans="2:18" ht="15.75" customHeight="1">
      <c r="B404" s="814"/>
      <c r="C404" s="69"/>
      <c r="D404" s="69"/>
      <c r="E404" s="816"/>
      <c r="F404" s="816"/>
      <c r="G404" s="816"/>
      <c r="H404" s="816"/>
      <c r="I404" s="816"/>
      <c r="J404" s="779"/>
      <c r="K404" s="817"/>
      <c r="L404" s="815"/>
      <c r="M404" s="69"/>
      <c r="N404" s="69"/>
      <c r="O404" s="69"/>
      <c r="P404" s="69"/>
      <c r="Q404" s="69"/>
      <c r="R404" s="69"/>
    </row>
    <row r="405" spans="2:18" ht="15.75" customHeight="1">
      <c r="B405" s="814"/>
      <c r="C405" s="69"/>
      <c r="D405" s="69"/>
      <c r="E405" s="816"/>
      <c r="F405" s="816"/>
      <c r="G405" s="816"/>
      <c r="H405" s="816"/>
      <c r="I405" s="816"/>
      <c r="J405" s="779"/>
      <c r="K405" s="817"/>
      <c r="L405" s="815"/>
      <c r="M405" s="69"/>
      <c r="N405" s="69"/>
      <c r="O405" s="69"/>
      <c r="P405" s="69"/>
      <c r="Q405" s="69"/>
      <c r="R405" s="69"/>
    </row>
    <row r="406" spans="2:18" ht="15.75" customHeight="1">
      <c r="B406" s="814"/>
      <c r="C406" s="69"/>
      <c r="D406" s="69"/>
      <c r="E406" s="816"/>
      <c r="F406" s="816"/>
      <c r="G406" s="816"/>
      <c r="H406" s="816"/>
      <c r="I406" s="816"/>
      <c r="J406" s="818"/>
      <c r="K406" s="817"/>
      <c r="L406" s="815"/>
      <c r="M406" s="69"/>
      <c r="N406" s="69"/>
      <c r="O406" s="69"/>
      <c r="P406" s="69"/>
      <c r="Q406" s="69"/>
      <c r="R406" s="69"/>
    </row>
    <row r="407" spans="2:18" ht="15.75" customHeight="1">
      <c r="B407" s="814"/>
      <c r="C407" s="69"/>
      <c r="D407" s="69"/>
      <c r="E407" s="816"/>
      <c r="F407" s="816"/>
      <c r="G407" s="816"/>
      <c r="H407" s="816"/>
      <c r="I407" s="816"/>
      <c r="J407" s="818"/>
      <c r="K407" s="817"/>
      <c r="L407" s="815"/>
      <c r="M407" s="69"/>
      <c r="N407" s="69"/>
      <c r="O407" s="69"/>
      <c r="P407" s="69"/>
      <c r="Q407" s="69"/>
      <c r="R407" s="69"/>
    </row>
    <row r="408" spans="2:18" ht="15.75" customHeight="1">
      <c r="B408" s="814"/>
      <c r="C408" s="69"/>
      <c r="D408" s="69"/>
      <c r="E408" s="816"/>
      <c r="F408" s="816"/>
      <c r="G408" s="816"/>
      <c r="H408" s="816"/>
      <c r="I408" s="816"/>
      <c r="J408" s="818"/>
      <c r="K408" s="817"/>
      <c r="L408" s="815"/>
      <c r="M408" s="69"/>
      <c r="N408" s="69"/>
      <c r="O408" s="69"/>
      <c r="P408" s="69"/>
      <c r="Q408" s="69"/>
      <c r="R408" s="69"/>
    </row>
    <row r="409" spans="2:18" ht="15.75" customHeight="1">
      <c r="B409" s="814"/>
      <c r="C409" s="69"/>
      <c r="D409" s="69"/>
      <c r="E409" s="816"/>
      <c r="F409" s="816"/>
      <c r="G409" s="816"/>
      <c r="H409" s="816"/>
      <c r="I409" s="816"/>
      <c r="J409" s="818"/>
      <c r="K409" s="817"/>
      <c r="L409" s="815"/>
      <c r="M409" s="69"/>
      <c r="N409" s="69"/>
      <c r="O409" s="69"/>
      <c r="P409" s="69"/>
      <c r="Q409" s="69"/>
      <c r="R409" s="69"/>
    </row>
    <row r="410" spans="2:18" ht="15.75" customHeight="1">
      <c r="B410" s="814"/>
      <c r="C410" s="69"/>
      <c r="D410" s="69"/>
      <c r="E410" s="816"/>
      <c r="F410" s="816"/>
      <c r="G410" s="816"/>
      <c r="H410" s="816"/>
      <c r="I410" s="816"/>
      <c r="J410" s="818"/>
      <c r="K410" s="817"/>
      <c r="L410" s="815"/>
      <c r="M410" s="69"/>
      <c r="N410" s="69"/>
      <c r="O410" s="69"/>
      <c r="P410" s="69"/>
      <c r="Q410" s="69"/>
      <c r="R410" s="69"/>
    </row>
    <row r="411" spans="2:18" ht="15.75" customHeight="1">
      <c r="B411" s="814"/>
      <c r="C411" s="69"/>
      <c r="D411" s="69"/>
      <c r="E411" s="816"/>
      <c r="F411" s="816"/>
      <c r="G411" s="816"/>
      <c r="H411" s="816"/>
      <c r="I411" s="816"/>
      <c r="J411" s="818"/>
      <c r="K411" s="817"/>
      <c r="L411" s="815"/>
      <c r="M411" s="69"/>
      <c r="N411" s="69"/>
      <c r="O411" s="69"/>
      <c r="P411" s="69"/>
      <c r="Q411" s="69"/>
      <c r="R411" s="69"/>
    </row>
    <row r="412" spans="2:18" ht="15.75" customHeight="1">
      <c r="B412" s="814"/>
      <c r="C412" s="69"/>
      <c r="D412" s="69" t="s">
        <v>900</v>
      </c>
      <c r="E412" s="69"/>
      <c r="F412" s="69"/>
      <c r="G412" s="69"/>
      <c r="H412" s="69"/>
      <c r="I412" s="69"/>
      <c r="J412" s="69"/>
      <c r="K412" s="69"/>
      <c r="L412" s="815"/>
      <c r="M412" s="69"/>
      <c r="N412" s="69"/>
      <c r="O412" s="69"/>
      <c r="P412" s="69"/>
      <c r="Q412" s="69"/>
      <c r="R412" s="69"/>
    </row>
    <row r="413" spans="2:18" ht="15.75" customHeight="1">
      <c r="B413" s="814"/>
      <c r="C413" s="69"/>
      <c r="D413" s="69"/>
      <c r="E413" s="819"/>
      <c r="F413" s="69"/>
      <c r="G413" s="69"/>
      <c r="H413" s="69"/>
      <c r="I413" s="69"/>
      <c r="J413" s="69"/>
      <c r="K413" s="69"/>
      <c r="L413" s="815"/>
      <c r="M413" s="69"/>
      <c r="N413" s="69"/>
      <c r="O413" s="69"/>
      <c r="P413" s="69"/>
      <c r="Q413" s="69"/>
      <c r="R413" s="69"/>
    </row>
    <row r="414" spans="2:18" ht="36" customHeight="1">
      <c r="B414" s="814"/>
      <c r="C414" s="69"/>
      <c r="D414" s="1585" t="s">
        <v>901</v>
      </c>
      <c r="E414" s="1585"/>
      <c r="F414" s="1585"/>
      <c r="G414" s="1585"/>
      <c r="H414" s="1585"/>
      <c r="I414" s="1585"/>
      <c r="J414" s="1585"/>
      <c r="K414" s="69"/>
      <c r="L414" s="815"/>
      <c r="M414" s="69"/>
      <c r="N414" s="69"/>
      <c r="O414" s="69"/>
      <c r="P414" s="69"/>
      <c r="Q414" s="69"/>
      <c r="R414" s="69"/>
    </row>
    <row r="415" spans="2:18" ht="15.75" customHeight="1">
      <c r="B415" s="814"/>
      <c r="C415" s="69"/>
      <c r="D415" s="69"/>
      <c r="E415" s="819"/>
      <c r="F415" s="69"/>
      <c r="G415" s="69"/>
      <c r="H415" s="69"/>
      <c r="I415" s="69"/>
      <c r="J415" s="69"/>
      <c r="K415" s="69"/>
      <c r="L415" s="815"/>
      <c r="M415" s="69"/>
      <c r="N415" s="69"/>
      <c r="O415" s="69"/>
      <c r="P415" s="69"/>
      <c r="Q415" s="69"/>
      <c r="R415" s="69"/>
    </row>
    <row r="416" spans="2:18" ht="15.75" customHeight="1" thickBot="1">
      <c r="B416" s="820"/>
      <c r="C416" s="821"/>
      <c r="D416" s="821"/>
      <c r="E416" s="821"/>
      <c r="F416" s="821"/>
      <c r="G416" s="821"/>
      <c r="H416" s="821"/>
      <c r="I416" s="821"/>
      <c r="J416" s="821"/>
      <c r="K416" s="821"/>
      <c r="L416" s="822"/>
      <c r="M416" s="69"/>
      <c r="N416" s="69"/>
      <c r="O416" s="69"/>
      <c r="P416" s="69"/>
      <c r="Q416" s="69"/>
      <c r="R416" s="69"/>
    </row>
    <row r="417" spans="2:18" ht="15.75" customHeight="1" thickBot="1">
      <c r="B417" s="69"/>
      <c r="C417" s="69"/>
      <c r="D417" s="69"/>
      <c r="E417" s="69"/>
      <c r="F417" s="69"/>
      <c r="G417" s="69"/>
      <c r="H417" s="69"/>
      <c r="I417" s="69"/>
      <c r="J417" s="69"/>
      <c r="K417" s="69"/>
      <c r="L417" s="69"/>
      <c r="M417" s="69"/>
      <c r="N417" s="69"/>
      <c r="O417" s="69"/>
      <c r="P417" s="69"/>
      <c r="Q417" s="69"/>
      <c r="R417" s="69"/>
    </row>
    <row r="418" spans="2:18" ht="15.75" customHeight="1">
      <c r="B418" s="757"/>
      <c r="C418" s="399" t="s">
        <v>902</v>
      </c>
      <c r="D418" s="758"/>
      <c r="E418" s="758"/>
      <c r="F418" s="758"/>
      <c r="G418" s="758"/>
      <c r="H418" s="758"/>
      <c r="I418" s="758"/>
      <c r="J418" s="758"/>
      <c r="K418" s="758"/>
      <c r="L418" s="758"/>
      <c r="M418" s="758"/>
      <c r="N418" s="758"/>
      <c r="O418" s="758"/>
      <c r="P418" s="758"/>
      <c r="Q418" s="758"/>
      <c r="R418" s="759"/>
    </row>
    <row r="419" spans="2:18" ht="15.75" customHeight="1">
      <c r="B419" s="760"/>
      <c r="C419" s="407"/>
      <c r="D419" s="407"/>
      <c r="E419" s="407"/>
      <c r="F419" s="69"/>
      <c r="G419" s="69"/>
      <c r="H419" s="69"/>
      <c r="I419" s="69"/>
      <c r="J419" s="69"/>
      <c r="K419" s="69"/>
      <c r="L419" s="69"/>
      <c r="M419" s="69"/>
      <c r="N419" s="69"/>
      <c r="O419" s="69"/>
      <c r="P419" s="69"/>
      <c r="Q419" s="69"/>
      <c r="R419" s="761"/>
    </row>
    <row r="420" spans="2:18" ht="15.75" customHeight="1">
      <c r="B420" s="760"/>
      <c r="C420" s="406" t="s">
        <v>903</v>
      </c>
      <c r="D420" s="407"/>
      <c r="E420" s="407"/>
      <c r="F420" s="69"/>
      <c r="G420" s="69"/>
      <c r="H420" s="69"/>
      <c r="I420" s="69"/>
      <c r="J420" s="69"/>
      <c r="K420" s="69"/>
      <c r="L420" s="69"/>
      <c r="M420" s="69"/>
      <c r="N420" s="69"/>
      <c r="O420" s="69"/>
      <c r="P420" s="69"/>
      <c r="Q420" s="69"/>
      <c r="R420" s="761"/>
    </row>
    <row r="421" spans="2:18" ht="15.75" customHeight="1">
      <c r="B421" s="760"/>
      <c r="C421" s="407"/>
      <c r="D421" s="407"/>
      <c r="E421" s="407"/>
      <c r="F421" s="69"/>
      <c r="G421" s="69"/>
      <c r="H421" s="69"/>
      <c r="I421" s="69"/>
      <c r="J421" s="69"/>
      <c r="K421" s="69"/>
      <c r="L421" s="69"/>
      <c r="M421" s="69"/>
      <c r="N421" s="69"/>
      <c r="O421" s="69"/>
      <c r="P421" s="69"/>
      <c r="Q421" s="69"/>
      <c r="R421" s="761"/>
    </row>
    <row r="422" spans="2:18" ht="59.25" customHeight="1">
      <c r="B422" s="760"/>
      <c r="C422" s="407"/>
      <c r="D422" s="1585" t="s">
        <v>904</v>
      </c>
      <c r="E422" s="1585"/>
      <c r="F422" s="1585"/>
      <c r="G422" s="1585"/>
      <c r="H422" s="1585"/>
      <c r="I422" s="1585"/>
      <c r="J422" s="1585"/>
      <c r="K422" s="69"/>
      <c r="L422" s="69"/>
      <c r="M422" s="69"/>
      <c r="N422" s="69"/>
      <c r="O422" s="69"/>
      <c r="P422" s="69"/>
      <c r="Q422" s="69"/>
      <c r="R422" s="761"/>
    </row>
    <row r="423" spans="2:18" ht="34.5" customHeight="1">
      <c r="B423" s="760"/>
      <c r="C423" s="407"/>
      <c r="D423" s="1521" t="s">
        <v>905</v>
      </c>
      <c r="E423" s="1521"/>
      <c r="F423" s="1521"/>
      <c r="G423" s="762"/>
      <c r="H423" s="762"/>
      <c r="I423" s="762"/>
      <c r="J423" s="762"/>
      <c r="K423" s="69"/>
      <c r="L423" s="69"/>
      <c r="M423" s="69"/>
      <c r="N423" s="69"/>
      <c r="O423" s="69"/>
      <c r="P423" s="69"/>
      <c r="Q423" s="69"/>
      <c r="R423" s="761"/>
    </row>
    <row r="424" spans="2:18" s="1" customFormat="1" ht="27" customHeight="1">
      <c r="B424" s="823"/>
      <c r="C424" s="824"/>
      <c r="D424" s="825" t="s">
        <v>906</v>
      </c>
      <c r="E424" s="826" t="s">
        <v>907</v>
      </c>
      <c r="F424" s="826" t="s">
        <v>908</v>
      </c>
      <c r="G424" s="826" t="s">
        <v>909</v>
      </c>
      <c r="H424" s="826" t="s">
        <v>910</v>
      </c>
      <c r="I424" s="826" t="s">
        <v>911</v>
      </c>
      <c r="J424" s="826" t="s">
        <v>912</v>
      </c>
      <c r="K424" s="827"/>
      <c r="L424" s="72"/>
      <c r="M424" s="72"/>
      <c r="N424" s="72"/>
      <c r="O424" s="72"/>
      <c r="P424" s="72"/>
      <c r="Q424" s="72"/>
      <c r="R424" s="828"/>
    </row>
    <row r="425" spans="2:18" ht="15.75" customHeight="1">
      <c r="B425" s="760"/>
      <c r="C425" s="407"/>
      <c r="D425" s="765" t="s">
        <v>453</v>
      </c>
      <c r="E425" s="829">
        <v>283772502</v>
      </c>
      <c r="F425" s="829">
        <v>129574489</v>
      </c>
      <c r="G425" s="829">
        <v>347699</v>
      </c>
      <c r="H425" s="830">
        <v>1189</v>
      </c>
      <c r="I425" s="830">
        <v>816</v>
      </c>
      <c r="J425" s="830">
        <v>373</v>
      </c>
      <c r="K425" s="831"/>
      <c r="L425" s="69"/>
      <c r="M425" s="69"/>
      <c r="N425" s="69"/>
      <c r="O425" s="69"/>
      <c r="P425" s="69"/>
      <c r="Q425" s="69"/>
      <c r="R425" s="761"/>
    </row>
    <row r="426" spans="2:18" ht="15.75" customHeight="1">
      <c r="B426" s="760"/>
      <c r="C426" s="407"/>
      <c r="D426" s="765" t="s">
        <v>454</v>
      </c>
      <c r="E426" s="829">
        <v>255865231</v>
      </c>
      <c r="F426" s="829">
        <v>125115229</v>
      </c>
      <c r="G426" s="829">
        <v>326758</v>
      </c>
      <c r="H426" s="829">
        <v>1166</v>
      </c>
      <c r="I426" s="829">
        <v>783</v>
      </c>
      <c r="J426" s="829">
        <v>383</v>
      </c>
      <c r="K426" s="831"/>
      <c r="L426" s="69"/>
      <c r="M426" s="69"/>
      <c r="N426" s="69"/>
      <c r="O426" s="69"/>
      <c r="P426" s="69"/>
      <c r="Q426" s="69"/>
      <c r="R426" s="761"/>
    </row>
    <row r="427" spans="2:18" ht="15.75" customHeight="1">
      <c r="B427" s="760"/>
      <c r="C427" s="407"/>
      <c r="D427" s="765" t="s">
        <v>455</v>
      </c>
      <c r="E427" s="829">
        <v>287028397</v>
      </c>
      <c r="F427" s="829">
        <v>133743865</v>
      </c>
      <c r="G427" s="829">
        <v>359008</v>
      </c>
      <c r="H427" s="829">
        <v>1172</v>
      </c>
      <c r="I427" s="829">
        <v>800</v>
      </c>
      <c r="J427" s="829">
        <v>373</v>
      </c>
      <c r="K427" s="831"/>
      <c r="L427" s="69"/>
      <c r="M427" s="69"/>
      <c r="N427" s="69"/>
      <c r="O427" s="69"/>
      <c r="P427" s="69"/>
      <c r="Q427" s="69"/>
      <c r="R427" s="761"/>
    </row>
    <row r="428" spans="2:18" ht="15.75" customHeight="1">
      <c r="B428" s="760"/>
      <c r="C428" s="407"/>
      <c r="D428" s="765" t="s">
        <v>456</v>
      </c>
      <c r="E428" s="829">
        <v>288579800</v>
      </c>
      <c r="F428" s="829">
        <v>129429547</v>
      </c>
      <c r="G428" s="829">
        <v>352372</v>
      </c>
      <c r="H428" s="829">
        <v>1186</v>
      </c>
      <c r="I428" s="829">
        <v>819</v>
      </c>
      <c r="J428" s="829">
        <v>367</v>
      </c>
      <c r="K428" s="831"/>
      <c r="L428" s="69"/>
      <c r="M428" s="69"/>
      <c r="N428" s="69"/>
      <c r="O428" s="69"/>
      <c r="P428" s="69"/>
      <c r="Q428" s="69"/>
      <c r="R428" s="761"/>
    </row>
    <row r="429" spans="2:18" ht="15.75" customHeight="1">
      <c r="B429" s="760"/>
      <c r="C429" s="407"/>
      <c r="D429" s="765" t="s">
        <v>913</v>
      </c>
      <c r="E429" s="829">
        <v>294873904</v>
      </c>
      <c r="F429" s="829">
        <v>133743865</v>
      </c>
      <c r="G429" s="829">
        <v>372103</v>
      </c>
      <c r="H429" s="829">
        <v>1152</v>
      </c>
      <c r="I429" s="829">
        <v>792</v>
      </c>
      <c r="J429" s="829">
        <v>359</v>
      </c>
      <c r="K429" s="831"/>
      <c r="L429" s="69"/>
      <c r="M429" s="69"/>
      <c r="N429" s="69"/>
      <c r="O429" s="69"/>
      <c r="P429" s="69"/>
      <c r="Q429" s="69"/>
      <c r="R429" s="761"/>
    </row>
    <row r="430" spans="2:18" ht="15.75" customHeight="1">
      <c r="B430" s="760"/>
      <c r="C430" s="407"/>
      <c r="D430" s="765" t="s">
        <v>457</v>
      </c>
      <c r="E430" s="829">
        <v>282461971</v>
      </c>
      <c r="F430" s="829">
        <v>129429547</v>
      </c>
      <c r="G430" s="829">
        <v>356366</v>
      </c>
      <c r="H430" s="829">
        <v>1156</v>
      </c>
      <c r="I430" s="829">
        <v>793</v>
      </c>
      <c r="J430" s="829">
        <v>363</v>
      </c>
      <c r="K430" s="831"/>
      <c r="L430" s="69"/>
      <c r="M430" s="69"/>
      <c r="N430" s="69"/>
      <c r="O430" s="69"/>
      <c r="P430" s="69"/>
      <c r="Q430" s="69"/>
      <c r="R430" s="761"/>
    </row>
    <row r="431" spans="2:18" ht="15.75" customHeight="1">
      <c r="B431" s="760"/>
      <c r="C431" s="407"/>
      <c r="D431" s="765" t="s">
        <v>458</v>
      </c>
      <c r="E431" s="829">
        <v>302514333</v>
      </c>
      <c r="F431" s="829">
        <v>144167305</v>
      </c>
      <c r="G431" s="832">
        <v>386210</v>
      </c>
      <c r="H431" s="832">
        <v>1157</v>
      </c>
      <c r="I431" s="832">
        <v>783</v>
      </c>
      <c r="J431" s="832">
        <v>373</v>
      </c>
      <c r="K431" s="72"/>
      <c r="L431" s="69"/>
      <c r="M431" s="69"/>
      <c r="N431" s="69"/>
      <c r="O431" s="69"/>
      <c r="P431" s="69"/>
      <c r="Q431" s="69"/>
      <c r="R431" s="761"/>
    </row>
    <row r="432" spans="2:18" ht="15.75" customHeight="1">
      <c r="B432" s="760"/>
      <c r="C432" s="407"/>
      <c r="D432" s="765" t="s">
        <v>914</v>
      </c>
      <c r="E432" s="829">
        <v>299346974</v>
      </c>
      <c r="F432" s="829">
        <v>144167305</v>
      </c>
      <c r="G432" s="832">
        <v>381831</v>
      </c>
      <c r="H432" s="832">
        <v>1162</v>
      </c>
      <c r="I432" s="832">
        <v>784</v>
      </c>
      <c r="J432" s="832">
        <v>378</v>
      </c>
      <c r="K432" s="72"/>
      <c r="L432" s="69"/>
      <c r="M432" s="69"/>
      <c r="N432" s="69"/>
      <c r="O432" s="69"/>
      <c r="P432" s="69"/>
      <c r="Q432" s="69"/>
      <c r="R432" s="761"/>
    </row>
    <row r="433" spans="2:18" ht="15.75" customHeight="1">
      <c r="B433" s="760"/>
      <c r="C433" s="407"/>
      <c r="D433" s="765" t="s">
        <v>460</v>
      </c>
      <c r="E433" s="829">
        <v>291397085</v>
      </c>
      <c r="F433" s="829">
        <v>139381513</v>
      </c>
      <c r="G433" s="832">
        <v>362289</v>
      </c>
      <c r="H433" s="832">
        <v>1189</v>
      </c>
      <c r="I433" s="832">
        <v>804</v>
      </c>
      <c r="J433" s="832">
        <v>385</v>
      </c>
      <c r="K433" s="72"/>
      <c r="L433" s="69"/>
      <c r="M433" s="69"/>
      <c r="N433" s="69"/>
      <c r="O433" s="69"/>
      <c r="P433" s="69"/>
      <c r="Q433" s="69"/>
      <c r="R433" s="761"/>
    </row>
    <row r="434" spans="2:18" ht="15.75" customHeight="1">
      <c r="B434" s="760"/>
      <c r="C434" s="407"/>
      <c r="D434" s="765" t="s">
        <v>915</v>
      </c>
      <c r="E434" s="829">
        <v>310040174</v>
      </c>
      <c r="F434" s="829">
        <v>144167305</v>
      </c>
      <c r="G434" s="832">
        <v>385582</v>
      </c>
      <c r="H434" s="832">
        <v>1178</v>
      </c>
      <c r="I434" s="832">
        <v>804</v>
      </c>
      <c r="J434" s="832">
        <v>374</v>
      </c>
      <c r="K434" s="72"/>
      <c r="L434" s="69"/>
      <c r="M434" s="69"/>
      <c r="N434" s="69"/>
      <c r="O434" s="69"/>
      <c r="P434" s="69"/>
      <c r="Q434" s="69"/>
      <c r="R434" s="761"/>
    </row>
    <row r="435" spans="2:18" ht="15.75" customHeight="1">
      <c r="B435" s="760"/>
      <c r="C435" s="407"/>
      <c r="D435" s="765" t="s">
        <v>462</v>
      </c>
      <c r="E435" s="829">
        <v>286505037</v>
      </c>
      <c r="F435" s="829">
        <v>139381513</v>
      </c>
      <c r="G435" s="832">
        <v>363371</v>
      </c>
      <c r="H435" s="832">
        <v>1172</v>
      </c>
      <c r="I435" s="832">
        <v>788</v>
      </c>
      <c r="J435" s="832">
        <v>384</v>
      </c>
      <c r="K435" s="72"/>
      <c r="L435" s="69"/>
      <c r="M435" s="69"/>
      <c r="N435" s="69"/>
      <c r="O435" s="69"/>
      <c r="P435" s="69"/>
      <c r="Q435" s="69"/>
      <c r="R435" s="761"/>
    </row>
    <row r="436" spans="2:18" ht="15.75" customHeight="1">
      <c r="B436" s="760"/>
      <c r="C436" s="407"/>
      <c r="D436" s="765" t="s">
        <v>916</v>
      </c>
      <c r="E436" s="829">
        <v>292470397</v>
      </c>
      <c r="F436" s="829">
        <v>153649716</v>
      </c>
      <c r="G436" s="832">
        <v>378686</v>
      </c>
      <c r="H436" s="832">
        <v>1178</v>
      </c>
      <c r="I436" s="832">
        <v>772</v>
      </c>
      <c r="J436" s="832">
        <v>406</v>
      </c>
      <c r="K436" s="72"/>
      <c r="L436" s="69"/>
      <c r="M436" s="69"/>
      <c r="N436" s="69"/>
      <c r="O436" s="69"/>
      <c r="P436" s="69"/>
      <c r="Q436" s="69"/>
      <c r="R436" s="761"/>
    </row>
    <row r="437" spans="2:18" ht="15.75" customHeight="1">
      <c r="B437" s="760"/>
      <c r="C437" s="407"/>
      <c r="D437" s="769" t="s">
        <v>910</v>
      </c>
      <c r="E437" s="833">
        <f>SUM(E425:E436)</f>
        <v>3474855805</v>
      </c>
      <c r="F437" s="833">
        <f t="shared" ref="F437:G437" si="11">SUM(F425:F436)</f>
        <v>1645951199</v>
      </c>
      <c r="G437" s="833">
        <f t="shared" si="11"/>
        <v>4372275</v>
      </c>
      <c r="H437" s="833">
        <f>AVERAGE(H425:H436)</f>
        <v>1171.4166666666667</v>
      </c>
      <c r="I437" s="833">
        <f>AVERAGE(I425:I436)</f>
        <v>794.83333333333337</v>
      </c>
      <c r="J437" s="833">
        <f>AVERAGE(J425:J436)</f>
        <v>376.5</v>
      </c>
      <c r="K437" s="72"/>
      <c r="L437" s="69"/>
      <c r="M437" s="69"/>
      <c r="N437" s="69"/>
      <c r="O437" s="69"/>
      <c r="P437" s="69"/>
      <c r="Q437" s="69"/>
      <c r="R437" s="761"/>
    </row>
    <row r="438" spans="2:18" ht="13.5">
      <c r="B438" s="760"/>
      <c r="C438" s="407"/>
      <c r="D438" s="818"/>
      <c r="E438" s="834"/>
      <c r="F438" s="835"/>
      <c r="G438" s="835"/>
      <c r="H438" s="835"/>
      <c r="I438" s="835"/>
      <c r="J438" s="835"/>
      <c r="K438" s="72"/>
      <c r="L438" s="69"/>
      <c r="M438" s="69"/>
      <c r="N438" s="69"/>
      <c r="O438" s="69"/>
      <c r="P438" s="69"/>
      <c r="Q438" s="69"/>
      <c r="R438" s="761"/>
    </row>
    <row r="439" spans="2:18" ht="29.25" customHeight="1">
      <c r="B439" s="760"/>
      <c r="C439" s="407"/>
      <c r="D439" s="1521" t="s">
        <v>917</v>
      </c>
      <c r="E439" s="1521"/>
      <c r="F439" s="1521"/>
      <c r="G439" s="1521"/>
      <c r="H439" s="1521"/>
      <c r="I439" s="1521"/>
      <c r="J439" s="1521"/>
      <c r="K439" s="72"/>
      <c r="L439" s="69"/>
      <c r="M439" s="69"/>
      <c r="N439" s="69"/>
      <c r="O439" s="69"/>
      <c r="P439" s="69"/>
      <c r="Q439" s="69"/>
      <c r="R439" s="761"/>
    </row>
    <row r="440" spans="2:18" s="1" customFormat="1" ht="27" customHeight="1">
      <c r="B440" s="823"/>
      <c r="C440" s="824"/>
      <c r="D440" s="825" t="s">
        <v>906</v>
      </c>
      <c r="E440" s="826" t="s">
        <v>907</v>
      </c>
      <c r="F440" s="826" t="s">
        <v>908</v>
      </c>
      <c r="G440" s="826" t="s">
        <v>909</v>
      </c>
      <c r="H440" s="826" t="s">
        <v>910</v>
      </c>
      <c r="I440" s="826" t="s">
        <v>911</v>
      </c>
      <c r="J440" s="826" t="s">
        <v>912</v>
      </c>
      <c r="K440" s="827"/>
      <c r="L440" s="72"/>
      <c r="M440" s="72"/>
      <c r="N440" s="72"/>
      <c r="O440" s="72"/>
      <c r="P440" s="72"/>
      <c r="Q440" s="72"/>
      <c r="R440" s="828"/>
    </row>
    <row r="441" spans="2:18" ht="15.75" customHeight="1">
      <c r="B441" s="760"/>
      <c r="C441" s="407"/>
      <c r="D441" s="765" t="s">
        <v>453</v>
      </c>
      <c r="E441" s="829">
        <v>323483958</v>
      </c>
      <c r="F441" s="829">
        <v>129574489</v>
      </c>
      <c r="G441" s="829">
        <v>347699</v>
      </c>
      <c r="H441" s="830">
        <v>1303</v>
      </c>
      <c r="I441" s="830">
        <v>930</v>
      </c>
      <c r="J441" s="830">
        <v>373</v>
      </c>
      <c r="K441" s="831"/>
      <c r="L441" s="69"/>
      <c r="M441" s="69"/>
      <c r="N441" s="69"/>
      <c r="O441" s="69"/>
      <c r="P441" s="69"/>
      <c r="Q441" s="69"/>
      <c r="R441" s="761"/>
    </row>
    <row r="442" spans="2:18" ht="15.75" customHeight="1">
      <c r="B442" s="760"/>
      <c r="C442" s="407"/>
      <c r="D442" s="765" t="s">
        <v>454</v>
      </c>
      <c r="E442" s="829">
        <v>295051580</v>
      </c>
      <c r="F442" s="829">
        <v>125115229</v>
      </c>
      <c r="G442" s="829">
        <v>326758</v>
      </c>
      <c r="H442" s="829">
        <v>1286</v>
      </c>
      <c r="I442" s="829">
        <v>903</v>
      </c>
      <c r="J442" s="829">
        <v>383</v>
      </c>
      <c r="K442" s="831"/>
      <c r="L442" s="69"/>
      <c r="M442" s="69"/>
      <c r="N442" s="69"/>
      <c r="O442" s="69"/>
      <c r="P442" s="69"/>
      <c r="Q442" s="69"/>
      <c r="R442" s="761"/>
    </row>
    <row r="443" spans="2:18" ht="15.75" customHeight="1">
      <c r="B443" s="760"/>
      <c r="C443" s="407"/>
      <c r="D443" s="765" t="s">
        <v>455</v>
      </c>
      <c r="E443" s="829">
        <v>329975760</v>
      </c>
      <c r="F443" s="829">
        <v>133743865</v>
      </c>
      <c r="G443" s="829">
        <v>359008</v>
      </c>
      <c r="H443" s="829">
        <v>1292</v>
      </c>
      <c r="I443" s="829">
        <v>919</v>
      </c>
      <c r="J443" s="829">
        <v>373</v>
      </c>
      <c r="K443" s="831"/>
      <c r="L443" s="69"/>
      <c r="M443" s="69"/>
      <c r="N443" s="69"/>
      <c r="O443" s="69"/>
      <c r="P443" s="69"/>
      <c r="Q443" s="69"/>
      <c r="R443" s="761"/>
    </row>
    <row r="444" spans="2:18" ht="15.75" customHeight="1">
      <c r="B444" s="760"/>
      <c r="C444" s="407"/>
      <c r="D444" s="765" t="s">
        <v>456</v>
      </c>
      <c r="E444" s="829">
        <v>331092389</v>
      </c>
      <c r="F444" s="829">
        <v>129429547</v>
      </c>
      <c r="G444" s="829">
        <v>352372</v>
      </c>
      <c r="H444" s="829">
        <v>1307</v>
      </c>
      <c r="I444" s="829">
        <v>940</v>
      </c>
      <c r="J444" s="829">
        <v>367</v>
      </c>
      <c r="K444" s="831"/>
      <c r="L444" s="69"/>
      <c r="M444" s="69"/>
      <c r="N444" s="69"/>
      <c r="O444" s="69"/>
      <c r="P444" s="69"/>
      <c r="Q444" s="69"/>
      <c r="R444" s="761"/>
    </row>
    <row r="445" spans="2:18" ht="15.75" customHeight="1">
      <c r="B445" s="760"/>
      <c r="C445" s="407"/>
      <c r="D445" s="765" t="s">
        <v>913</v>
      </c>
      <c r="E445" s="829">
        <v>337799670</v>
      </c>
      <c r="F445" s="829">
        <v>133743865</v>
      </c>
      <c r="G445" s="829">
        <v>372103</v>
      </c>
      <c r="H445" s="829">
        <v>1267</v>
      </c>
      <c r="I445" s="829">
        <v>908</v>
      </c>
      <c r="J445" s="829">
        <v>359</v>
      </c>
      <c r="K445" s="831"/>
      <c r="L445" s="69"/>
      <c r="M445" s="69"/>
      <c r="N445" s="69"/>
      <c r="O445" s="69"/>
      <c r="P445" s="69"/>
      <c r="Q445" s="69"/>
      <c r="R445" s="761"/>
    </row>
    <row r="446" spans="2:18" ht="15.75" customHeight="1">
      <c r="B446" s="760"/>
      <c r="C446" s="407"/>
      <c r="D446" s="765" t="s">
        <v>457</v>
      </c>
      <c r="E446" s="829">
        <v>324002712</v>
      </c>
      <c r="F446" s="829">
        <v>129429547</v>
      </c>
      <c r="G446" s="829">
        <v>356366</v>
      </c>
      <c r="H446" s="829">
        <v>1272</v>
      </c>
      <c r="I446" s="829">
        <v>909</v>
      </c>
      <c r="J446" s="829">
        <v>363</v>
      </c>
      <c r="K446" s="831"/>
      <c r="L446" s="69"/>
      <c r="M446" s="69"/>
      <c r="N446" s="69"/>
      <c r="O446" s="69"/>
      <c r="P446" s="69"/>
      <c r="Q446" s="69"/>
      <c r="R446" s="761"/>
    </row>
    <row r="447" spans="2:18" ht="15.75" customHeight="1">
      <c r="B447" s="760"/>
      <c r="C447" s="407"/>
      <c r="D447" s="765" t="s">
        <v>458</v>
      </c>
      <c r="E447" s="829">
        <v>347022897</v>
      </c>
      <c r="F447" s="829">
        <v>144167305</v>
      </c>
      <c r="G447" s="832">
        <v>386210</v>
      </c>
      <c r="H447" s="832">
        <v>1272</v>
      </c>
      <c r="I447" s="832">
        <v>899</v>
      </c>
      <c r="J447" s="832">
        <v>373</v>
      </c>
      <c r="K447" s="72"/>
      <c r="L447" s="69"/>
      <c r="M447" s="69"/>
      <c r="N447" s="69"/>
      <c r="O447" s="69"/>
      <c r="P447" s="69"/>
      <c r="Q447" s="69"/>
      <c r="R447" s="761"/>
    </row>
    <row r="448" spans="2:18" ht="15.75" customHeight="1">
      <c r="B448" s="760"/>
      <c r="C448" s="407"/>
      <c r="D448" s="765" t="s">
        <v>914</v>
      </c>
      <c r="E448" s="829">
        <v>344011201</v>
      </c>
      <c r="F448" s="829">
        <v>144167305</v>
      </c>
      <c r="G448" s="832">
        <v>381831</v>
      </c>
      <c r="H448" s="832">
        <v>1279</v>
      </c>
      <c r="I448" s="832">
        <v>901</v>
      </c>
      <c r="J448" s="832">
        <v>378</v>
      </c>
      <c r="K448" s="72"/>
      <c r="L448" s="69"/>
      <c r="M448" s="69"/>
      <c r="N448" s="69"/>
      <c r="O448" s="69"/>
      <c r="P448" s="69"/>
      <c r="Q448" s="69"/>
      <c r="R448" s="761"/>
    </row>
    <row r="449" spans="2:18" ht="15.75" customHeight="1">
      <c r="B449" s="760"/>
      <c r="C449" s="407"/>
      <c r="D449" s="765" t="s">
        <v>460</v>
      </c>
      <c r="E449" s="829">
        <v>334858675</v>
      </c>
      <c r="F449" s="829">
        <v>139381513</v>
      </c>
      <c r="G449" s="832">
        <v>362289</v>
      </c>
      <c r="H449" s="832">
        <v>1309</v>
      </c>
      <c r="I449" s="832">
        <v>924</v>
      </c>
      <c r="J449" s="832">
        <v>385</v>
      </c>
      <c r="K449" s="72"/>
      <c r="L449" s="69"/>
      <c r="M449" s="69"/>
      <c r="N449" s="69"/>
      <c r="O449" s="69"/>
      <c r="P449" s="69"/>
      <c r="Q449" s="69"/>
      <c r="R449" s="761"/>
    </row>
    <row r="450" spans="2:18" ht="15.75" customHeight="1">
      <c r="B450" s="760"/>
      <c r="C450" s="407"/>
      <c r="D450" s="765" t="s">
        <v>915</v>
      </c>
      <c r="E450" s="829">
        <v>356375944</v>
      </c>
      <c r="F450" s="829">
        <v>144167305</v>
      </c>
      <c r="G450" s="832">
        <v>385582</v>
      </c>
      <c r="H450" s="832">
        <v>1298</v>
      </c>
      <c r="I450" s="832">
        <v>924</v>
      </c>
      <c r="J450" s="832">
        <v>374</v>
      </c>
      <c r="K450" s="72"/>
      <c r="L450" s="69"/>
      <c r="M450" s="69"/>
      <c r="N450" s="69"/>
      <c r="O450" s="69"/>
      <c r="P450" s="69"/>
      <c r="Q450" s="69"/>
      <c r="R450" s="761"/>
    </row>
    <row r="451" spans="2:18" ht="15.75" customHeight="1">
      <c r="B451" s="760"/>
      <c r="C451" s="407"/>
      <c r="D451" s="765" t="s">
        <v>462</v>
      </c>
      <c r="E451" s="829">
        <v>329964910</v>
      </c>
      <c r="F451" s="829">
        <v>139381513</v>
      </c>
      <c r="G451" s="832">
        <v>363371</v>
      </c>
      <c r="H451" s="832">
        <v>1292</v>
      </c>
      <c r="I451" s="832">
        <v>908</v>
      </c>
      <c r="J451" s="832">
        <v>384</v>
      </c>
      <c r="K451" s="72"/>
      <c r="L451" s="69"/>
      <c r="M451" s="69"/>
      <c r="N451" s="69"/>
      <c r="O451" s="69"/>
      <c r="P451" s="69"/>
      <c r="Q451" s="69"/>
      <c r="R451" s="761"/>
    </row>
    <row r="452" spans="2:18" ht="15.75" customHeight="1">
      <c r="B452" s="760"/>
      <c r="C452" s="407"/>
      <c r="D452" s="765" t="s">
        <v>916</v>
      </c>
      <c r="E452" s="829">
        <v>337317311</v>
      </c>
      <c r="F452" s="829">
        <v>153649716</v>
      </c>
      <c r="G452" s="832">
        <v>378686</v>
      </c>
      <c r="H452" s="832">
        <v>1297</v>
      </c>
      <c r="I452" s="832">
        <v>891</v>
      </c>
      <c r="J452" s="832">
        <v>406</v>
      </c>
      <c r="K452" s="72"/>
      <c r="L452" s="69"/>
      <c r="M452" s="69"/>
      <c r="N452" s="69"/>
      <c r="O452" s="69"/>
      <c r="P452" s="69"/>
      <c r="Q452" s="69"/>
      <c r="R452" s="761"/>
    </row>
    <row r="453" spans="2:18" ht="15.75" customHeight="1">
      <c r="B453" s="760"/>
      <c r="C453" s="407"/>
      <c r="D453" s="769" t="s">
        <v>910</v>
      </c>
      <c r="E453" s="833">
        <f>SUM(E441:E452)</f>
        <v>3990957007</v>
      </c>
      <c r="F453" s="833">
        <f t="shared" ref="F453:G453" si="12">SUM(F441:F452)</f>
        <v>1645951199</v>
      </c>
      <c r="G453" s="833">
        <f t="shared" si="12"/>
        <v>4372275</v>
      </c>
      <c r="H453" s="833">
        <f>AVERAGE(H441:H452)</f>
        <v>1289.5</v>
      </c>
      <c r="I453" s="833">
        <f>AVERAGE(I441:I452)</f>
        <v>913</v>
      </c>
      <c r="J453" s="833">
        <f>AVERAGE(J441:J452)</f>
        <v>376.5</v>
      </c>
      <c r="K453" s="72"/>
      <c r="L453" s="69"/>
      <c r="M453" s="69"/>
      <c r="N453" s="69"/>
      <c r="O453" s="69"/>
      <c r="P453" s="69"/>
      <c r="Q453" s="69"/>
      <c r="R453" s="761"/>
    </row>
    <row r="454" spans="2:18" ht="13.5">
      <c r="B454" s="760"/>
      <c r="C454" s="407"/>
      <c r="D454" s="818"/>
      <c r="E454" s="836"/>
      <c r="F454" s="835"/>
      <c r="G454" s="835"/>
      <c r="H454" s="835"/>
      <c r="I454" s="835"/>
      <c r="J454" s="835"/>
      <c r="K454" s="72"/>
      <c r="L454" s="69"/>
      <c r="M454" s="69"/>
      <c r="N454" s="69"/>
      <c r="O454" s="69"/>
      <c r="P454" s="69"/>
      <c r="Q454" s="69"/>
      <c r="R454" s="761"/>
    </row>
    <row r="455" spans="2:18" ht="19.5" customHeight="1">
      <c r="B455" s="760"/>
      <c r="C455" s="407"/>
      <c r="D455" s="837" t="s">
        <v>918</v>
      </c>
      <c r="E455" s="836">
        <f>H453-H437</f>
        <v>118.08333333333326</v>
      </c>
      <c r="F455" s="835"/>
      <c r="G455" s="835"/>
      <c r="H455" s="838"/>
      <c r="I455" s="835"/>
      <c r="J455" s="835"/>
      <c r="K455" s="72"/>
      <c r="L455" s="69"/>
      <c r="M455" s="69"/>
      <c r="N455" s="69"/>
      <c r="O455" s="69"/>
      <c r="P455" s="69"/>
      <c r="Q455" s="69"/>
      <c r="R455" s="761"/>
    </row>
    <row r="456" spans="2:18" ht="15.75" customHeight="1">
      <c r="B456" s="760"/>
      <c r="C456" s="407"/>
      <c r="D456" s="837" t="s">
        <v>919</v>
      </c>
      <c r="E456" s="839">
        <v>4372000000</v>
      </c>
      <c r="F456" s="835"/>
      <c r="G456" s="835"/>
      <c r="H456" s="838"/>
      <c r="I456" s="835"/>
      <c r="J456" s="835"/>
      <c r="K456" s="72"/>
      <c r="L456" s="69"/>
      <c r="M456" s="69"/>
      <c r="N456" s="69"/>
      <c r="O456" s="69"/>
      <c r="P456" s="69"/>
      <c r="Q456" s="69"/>
      <c r="R456" s="761"/>
    </row>
    <row r="457" spans="2:18" ht="15.75" customHeight="1">
      <c r="B457" s="760"/>
      <c r="C457" s="407"/>
      <c r="D457" s="71"/>
      <c r="E457" s="835">
        <f>E455*E456</f>
        <v>516260333333.33301</v>
      </c>
      <c r="F457" s="835"/>
      <c r="G457" s="835"/>
      <c r="H457" s="838"/>
      <c r="I457" s="835"/>
      <c r="J457" s="835"/>
      <c r="K457" s="72"/>
      <c r="L457" s="69"/>
      <c r="M457" s="69"/>
      <c r="N457" s="69"/>
      <c r="O457" s="69"/>
      <c r="P457" s="69"/>
      <c r="Q457" s="69"/>
      <c r="R457" s="761"/>
    </row>
    <row r="458" spans="2:18" ht="15.75" customHeight="1">
      <c r="B458" s="760"/>
      <c r="C458" s="407"/>
      <c r="D458" s="407"/>
      <c r="E458" s="407"/>
      <c r="F458" s="69"/>
      <c r="G458" s="69"/>
      <c r="H458" s="69"/>
      <c r="I458" s="69"/>
      <c r="J458" s="69"/>
      <c r="K458" s="69"/>
      <c r="L458" s="69"/>
      <c r="M458" s="69"/>
      <c r="N458" s="69"/>
      <c r="O458" s="69"/>
      <c r="P458" s="69"/>
      <c r="Q458" s="69"/>
      <c r="R458" s="761"/>
    </row>
    <row r="459" spans="2:18" ht="15.75" customHeight="1">
      <c r="B459" s="760"/>
      <c r="C459" s="407"/>
      <c r="D459" s="407" t="s">
        <v>920</v>
      </c>
      <c r="E459" s="407"/>
      <c r="F459" s="69"/>
      <c r="G459" s="69"/>
      <c r="H459" s="69"/>
      <c r="I459" s="69"/>
      <c r="J459" s="69"/>
      <c r="K459" s="69"/>
      <c r="L459" s="69"/>
      <c r="M459" s="69"/>
      <c r="N459" s="69"/>
      <c r="O459" s="69"/>
      <c r="P459" s="69"/>
      <c r="Q459" s="69"/>
      <c r="R459" s="761"/>
    </row>
    <row r="460" spans="2:18" ht="28.5" customHeight="1">
      <c r="B460" s="760"/>
      <c r="C460" s="407"/>
      <c r="D460" s="840" t="s">
        <v>496</v>
      </c>
      <c r="E460" s="841" t="s">
        <v>921</v>
      </c>
      <c r="F460" s="842" t="s">
        <v>922</v>
      </c>
      <c r="G460" s="842" t="s">
        <v>923</v>
      </c>
      <c r="H460" s="843" t="s">
        <v>924</v>
      </c>
      <c r="I460" s="844" t="s">
        <v>925</v>
      </c>
      <c r="J460" s="845" t="s">
        <v>926</v>
      </c>
      <c r="K460" s="769" t="s">
        <v>646</v>
      </c>
      <c r="L460" s="69"/>
      <c r="M460" s="69"/>
      <c r="N460" s="69"/>
      <c r="O460" s="69"/>
      <c r="P460" s="69"/>
      <c r="Q460" s="69"/>
      <c r="R460" s="761"/>
    </row>
    <row r="461" spans="2:18" ht="15.75" customHeight="1">
      <c r="B461" s="760"/>
      <c r="C461" s="407"/>
      <c r="D461" s="846" t="s">
        <v>453</v>
      </c>
      <c r="E461" s="847">
        <v>5.74</v>
      </c>
      <c r="F461" s="766">
        <v>5.44</v>
      </c>
      <c r="G461" s="768">
        <f>F461/E461</f>
        <v>0.94773519163763065</v>
      </c>
      <c r="H461" s="766">
        <v>5.93</v>
      </c>
      <c r="I461" s="848">
        <v>6.3677519354736596</v>
      </c>
      <c r="J461" s="768">
        <f>I461/H461</f>
        <v>1.0738198879382226</v>
      </c>
      <c r="K461" s="849" t="s">
        <v>927</v>
      </c>
      <c r="L461" s="69"/>
      <c r="M461" s="69"/>
      <c r="N461" s="69"/>
      <c r="O461" s="69"/>
      <c r="P461" s="69"/>
      <c r="Q461" s="69"/>
      <c r="R461" s="761"/>
    </row>
    <row r="462" spans="2:18" ht="15.75" customHeight="1">
      <c r="B462" s="760"/>
      <c r="C462" s="407"/>
      <c r="D462" s="846" t="s">
        <v>454</v>
      </c>
      <c r="E462" s="847">
        <v>5.74</v>
      </c>
      <c r="F462" s="766">
        <v>5.47</v>
      </c>
      <c r="G462" s="768">
        <f t="shared" ref="G462:G472" si="13">F462/E462</f>
        <v>0.95296167247386754</v>
      </c>
      <c r="H462" s="766">
        <v>5.93</v>
      </c>
      <c r="I462" s="848">
        <v>6.4058020555959301</v>
      </c>
      <c r="J462" s="768">
        <f t="shared" ref="J462:J472" si="14">I462/H462</f>
        <v>1.0802364343332092</v>
      </c>
      <c r="K462" s="849" t="s">
        <v>927</v>
      </c>
      <c r="L462" s="69"/>
      <c r="M462" s="69"/>
      <c r="N462" s="69"/>
      <c r="O462" s="69"/>
      <c r="P462" s="69"/>
      <c r="Q462" s="69"/>
      <c r="R462" s="761"/>
    </row>
    <row r="463" spans="2:18" ht="15.75" customHeight="1">
      <c r="B463" s="760"/>
      <c r="C463" s="407"/>
      <c r="D463" s="846" t="s">
        <v>455</v>
      </c>
      <c r="E463" s="847">
        <v>5.74</v>
      </c>
      <c r="F463" s="766">
        <v>5.42</v>
      </c>
      <c r="G463" s="768">
        <f t="shared" si="13"/>
        <v>0.94425087108013928</v>
      </c>
      <c r="H463" s="766">
        <v>5.93</v>
      </c>
      <c r="I463" s="848">
        <v>6.3848727072682898</v>
      </c>
      <c r="J463" s="768">
        <f t="shared" si="14"/>
        <v>1.0767070332661535</v>
      </c>
      <c r="K463" s="849" t="s">
        <v>927</v>
      </c>
      <c r="L463" s="69"/>
      <c r="M463" s="69"/>
      <c r="N463" s="69"/>
      <c r="O463" s="69"/>
      <c r="P463" s="69"/>
      <c r="Q463" s="69"/>
      <c r="R463" s="761"/>
    </row>
    <row r="464" spans="2:18" ht="15.75" customHeight="1">
      <c r="B464" s="760"/>
      <c r="C464" s="407"/>
      <c r="D464" s="846" t="s">
        <v>456</v>
      </c>
      <c r="E464" s="847">
        <v>5.74</v>
      </c>
      <c r="F464" s="766">
        <v>5.44</v>
      </c>
      <c r="G464" s="768">
        <f t="shared" si="13"/>
        <v>0.94773519163763065</v>
      </c>
      <c r="H464" s="766">
        <v>5.93</v>
      </c>
      <c r="I464" s="850">
        <v>6.3848727072682898</v>
      </c>
      <c r="J464" s="768">
        <f t="shared" si="14"/>
        <v>1.0767070332661535</v>
      </c>
      <c r="K464" s="851" t="s">
        <v>928</v>
      </c>
      <c r="L464" s="69"/>
      <c r="M464" s="69"/>
      <c r="N464" s="69"/>
      <c r="O464" s="69"/>
      <c r="P464" s="69"/>
      <c r="Q464" s="69"/>
      <c r="R464" s="761"/>
    </row>
    <row r="465" spans="2:18" ht="15.75" customHeight="1">
      <c r="B465" s="760"/>
      <c r="C465" s="407"/>
      <c r="D465" s="846" t="s">
        <v>324</v>
      </c>
      <c r="E465" s="847">
        <v>5.74</v>
      </c>
      <c r="F465" s="766">
        <v>5.45</v>
      </c>
      <c r="G465" s="768">
        <f t="shared" si="13"/>
        <v>0.94947735191637628</v>
      </c>
      <c r="H465" s="766">
        <v>5.93</v>
      </c>
      <c r="I465" s="850">
        <v>6.3848727072682898</v>
      </c>
      <c r="J465" s="768">
        <f t="shared" si="14"/>
        <v>1.0767070332661535</v>
      </c>
      <c r="K465" s="851" t="s">
        <v>928</v>
      </c>
      <c r="L465" s="69"/>
      <c r="M465" s="69"/>
      <c r="N465" s="69"/>
      <c r="O465" s="69"/>
      <c r="P465" s="69"/>
      <c r="Q465" s="69"/>
      <c r="R465" s="761"/>
    </row>
    <row r="466" spans="2:18" ht="15.75" customHeight="1">
      <c r="B466" s="760"/>
      <c r="C466" s="407"/>
      <c r="D466" s="846" t="s">
        <v>457</v>
      </c>
      <c r="E466" s="847">
        <v>5.74</v>
      </c>
      <c r="F466" s="766">
        <v>5.47</v>
      </c>
      <c r="G466" s="768">
        <f t="shared" si="13"/>
        <v>0.95296167247386754</v>
      </c>
      <c r="H466" s="766">
        <v>5.93</v>
      </c>
      <c r="I466" s="850">
        <v>6.3848727072682898</v>
      </c>
      <c r="J466" s="768">
        <f t="shared" si="14"/>
        <v>1.0767070332661535</v>
      </c>
      <c r="K466" s="851" t="s">
        <v>928</v>
      </c>
      <c r="L466" s="69"/>
      <c r="M466" s="69"/>
      <c r="N466" s="69"/>
      <c r="O466" s="69"/>
      <c r="P466" s="69"/>
      <c r="Q466" s="69"/>
      <c r="R466" s="761"/>
    </row>
    <row r="467" spans="2:18" ht="15.75" customHeight="1">
      <c r="B467" s="760"/>
      <c r="C467" s="407"/>
      <c r="D467" s="846" t="s">
        <v>458</v>
      </c>
      <c r="E467" s="847">
        <v>5.74</v>
      </c>
      <c r="F467" s="766">
        <v>5.45</v>
      </c>
      <c r="G467" s="768">
        <f t="shared" si="13"/>
        <v>0.94947735191637628</v>
      </c>
      <c r="H467" s="766">
        <v>5.93</v>
      </c>
      <c r="I467" s="766">
        <v>5.64</v>
      </c>
      <c r="J467" s="768">
        <f t="shared" si="14"/>
        <v>0.95109612141652611</v>
      </c>
      <c r="K467" s="765" t="s">
        <v>929</v>
      </c>
      <c r="L467" s="69"/>
      <c r="M467" s="69"/>
      <c r="N467" s="69"/>
      <c r="O467" s="69"/>
      <c r="P467" s="69"/>
      <c r="Q467" s="69"/>
      <c r="R467" s="761"/>
    </row>
    <row r="468" spans="2:18" ht="15.75" customHeight="1">
      <c r="B468" s="760"/>
      <c r="C468" s="407"/>
      <c r="D468" s="846" t="s">
        <v>459</v>
      </c>
      <c r="E468" s="847">
        <v>5.74</v>
      </c>
      <c r="F468" s="766">
        <v>5.42</v>
      </c>
      <c r="G468" s="768">
        <f t="shared" si="13"/>
        <v>0.94425087108013928</v>
      </c>
      <c r="H468" s="766">
        <v>5.93</v>
      </c>
      <c r="I468" s="766">
        <v>5.64</v>
      </c>
      <c r="J468" s="768">
        <f t="shared" si="14"/>
        <v>0.95109612141652611</v>
      </c>
      <c r="K468" s="765" t="s">
        <v>929</v>
      </c>
      <c r="L468" s="69"/>
      <c r="M468" s="69"/>
      <c r="N468" s="69"/>
      <c r="O468" s="69"/>
      <c r="P468" s="69"/>
      <c r="Q468" s="69"/>
      <c r="R468" s="761"/>
    </row>
    <row r="469" spans="2:18" ht="15.75" customHeight="1">
      <c r="B469" s="760"/>
      <c r="C469" s="407"/>
      <c r="D469" s="846" t="s">
        <v>930</v>
      </c>
      <c r="E469" s="847">
        <v>5.74</v>
      </c>
      <c r="F469" s="766">
        <v>5.49</v>
      </c>
      <c r="G469" s="768">
        <f t="shared" si="13"/>
        <v>0.95644599303135891</v>
      </c>
      <c r="H469" s="766">
        <v>5.93</v>
      </c>
      <c r="I469" s="766">
        <v>5.64</v>
      </c>
      <c r="J469" s="768">
        <f t="shared" si="14"/>
        <v>0.95109612141652611</v>
      </c>
      <c r="K469" s="765" t="s">
        <v>929</v>
      </c>
      <c r="L469" s="69"/>
      <c r="M469" s="69"/>
      <c r="N469" s="69"/>
      <c r="O469" s="69"/>
      <c r="P469" s="69"/>
      <c r="Q469" s="69"/>
      <c r="R469" s="761"/>
    </row>
    <row r="470" spans="2:18" ht="15.75" customHeight="1">
      <c r="B470" s="760"/>
      <c r="C470" s="407"/>
      <c r="D470" s="846" t="s">
        <v>461</v>
      </c>
      <c r="E470" s="847">
        <v>5.74</v>
      </c>
      <c r="F470" s="766">
        <v>5.48</v>
      </c>
      <c r="G470" s="768">
        <f t="shared" si="13"/>
        <v>0.95470383275261328</v>
      </c>
      <c r="H470" s="766">
        <v>5.93</v>
      </c>
      <c r="I470" s="766">
        <v>5.64</v>
      </c>
      <c r="J470" s="768">
        <f t="shared" si="14"/>
        <v>0.95109612141652611</v>
      </c>
      <c r="K470" s="765" t="s">
        <v>929</v>
      </c>
      <c r="L470" s="69"/>
      <c r="M470" s="69"/>
      <c r="N470" s="69"/>
      <c r="O470" s="69"/>
      <c r="P470" s="69"/>
      <c r="Q470" s="69"/>
      <c r="R470" s="761"/>
    </row>
    <row r="471" spans="2:18" ht="15.75" customHeight="1">
      <c r="B471" s="760"/>
      <c r="C471" s="407"/>
      <c r="D471" s="846" t="s">
        <v>462</v>
      </c>
      <c r="E471" s="847">
        <v>5.74</v>
      </c>
      <c r="F471" s="766">
        <v>5.45</v>
      </c>
      <c r="G471" s="768">
        <f t="shared" si="13"/>
        <v>0.94947735191637628</v>
      </c>
      <c r="H471" s="766">
        <v>5.93</v>
      </c>
      <c r="I471" s="766">
        <v>5.64</v>
      </c>
      <c r="J471" s="768">
        <f t="shared" si="14"/>
        <v>0.95109612141652611</v>
      </c>
      <c r="K471" s="765" t="s">
        <v>929</v>
      </c>
      <c r="L471" s="69"/>
      <c r="M471" s="69"/>
      <c r="N471" s="69"/>
      <c r="O471" s="69"/>
      <c r="P471" s="69"/>
      <c r="Q471" s="69"/>
      <c r="R471" s="761"/>
    </row>
    <row r="472" spans="2:18" ht="15.75" customHeight="1">
      <c r="B472" s="760"/>
      <c r="C472" s="407"/>
      <c r="D472" s="846" t="s">
        <v>463</v>
      </c>
      <c r="E472" s="847">
        <v>5.74</v>
      </c>
      <c r="F472" s="766">
        <v>5.47</v>
      </c>
      <c r="G472" s="768">
        <f t="shared" si="13"/>
        <v>0.95296167247386754</v>
      </c>
      <c r="H472" s="766">
        <v>5.93</v>
      </c>
      <c r="I472" s="766">
        <v>5.64</v>
      </c>
      <c r="J472" s="768">
        <f t="shared" si="14"/>
        <v>0.95109612141652611</v>
      </c>
      <c r="K472" s="765" t="s">
        <v>929</v>
      </c>
      <c r="L472" s="69"/>
      <c r="M472" s="69"/>
      <c r="N472" s="69"/>
      <c r="O472" s="69"/>
      <c r="P472" s="69"/>
      <c r="Q472" s="69"/>
      <c r="R472" s="761"/>
    </row>
    <row r="473" spans="2:18" ht="15.75" customHeight="1">
      <c r="B473" s="760"/>
      <c r="C473" s="407"/>
      <c r="D473" s="847"/>
      <c r="E473" s="847"/>
      <c r="F473" s="766"/>
      <c r="G473" s="766"/>
      <c r="H473" s="766"/>
      <c r="I473" s="766"/>
      <c r="J473" s="852"/>
      <c r="K473" s="766"/>
      <c r="L473" s="69"/>
      <c r="M473" s="69"/>
      <c r="N473" s="69"/>
      <c r="O473" s="69"/>
      <c r="P473" s="69"/>
      <c r="Q473" s="69"/>
      <c r="R473" s="761"/>
    </row>
    <row r="474" spans="2:18" ht="39.75" customHeight="1">
      <c r="B474" s="760"/>
      <c r="C474" s="407"/>
      <c r="D474" s="407"/>
      <c r="E474" s="407"/>
      <c r="F474" s="853" t="s">
        <v>931</v>
      </c>
      <c r="G474" s="69">
        <v>0</v>
      </c>
      <c r="H474" s="69" t="s">
        <v>932</v>
      </c>
      <c r="I474" s="854" t="s">
        <v>933</v>
      </c>
      <c r="J474" s="69">
        <v>6</v>
      </c>
      <c r="K474" s="69" t="s">
        <v>932</v>
      </c>
      <c r="L474" s="69"/>
      <c r="M474" s="69"/>
      <c r="N474" s="69"/>
      <c r="O474" s="69"/>
      <c r="P474" s="69"/>
      <c r="Q474" s="69"/>
      <c r="R474" s="761"/>
    </row>
    <row r="475" spans="2:18" ht="39.75" customHeight="1">
      <c r="B475" s="760"/>
      <c r="C475" s="407"/>
      <c r="D475" s="407"/>
      <c r="E475" s="407"/>
      <c r="F475" s="853" t="s">
        <v>934</v>
      </c>
      <c r="G475" s="764">
        <v>0</v>
      </c>
      <c r="H475" s="69"/>
      <c r="I475" s="854" t="s">
        <v>935</v>
      </c>
      <c r="J475" s="793">
        <f>6/12*100%</f>
        <v>0.5</v>
      </c>
      <c r="K475" s="69"/>
      <c r="L475" s="69"/>
      <c r="M475" s="69"/>
      <c r="N475" s="69"/>
      <c r="O475" s="69"/>
      <c r="P475" s="69"/>
      <c r="Q475" s="69"/>
      <c r="R475" s="761"/>
    </row>
    <row r="476" spans="2:18" ht="15.75" customHeight="1">
      <c r="B476" s="760"/>
      <c r="C476" s="407"/>
      <c r="D476" s="407" t="s">
        <v>936</v>
      </c>
      <c r="E476" s="407"/>
      <c r="F476" s="69"/>
      <c r="G476" s="764"/>
      <c r="H476" s="69"/>
      <c r="I476" s="69"/>
      <c r="J476" s="764"/>
      <c r="K476" s="69"/>
      <c r="L476" s="69"/>
      <c r="M476" s="69"/>
      <c r="N476" s="69"/>
      <c r="O476" s="69"/>
      <c r="P476" s="69"/>
      <c r="Q476" s="69"/>
      <c r="R476" s="761"/>
    </row>
    <row r="477" spans="2:18" ht="38.25" customHeight="1">
      <c r="B477" s="760"/>
      <c r="C477" s="407"/>
      <c r="D477" s="1585" t="s">
        <v>937</v>
      </c>
      <c r="E477" s="1585"/>
      <c r="F477" s="1585"/>
      <c r="G477" s="1585"/>
      <c r="H477" s="1585"/>
      <c r="I477" s="1585"/>
      <c r="J477" s="1585"/>
      <c r="K477" s="69"/>
      <c r="L477" s="69"/>
      <c r="M477" s="69"/>
      <c r="N477" s="69"/>
      <c r="O477" s="69"/>
      <c r="P477" s="69"/>
      <c r="Q477" s="69"/>
      <c r="R477" s="761"/>
    </row>
    <row r="478" spans="2:18" ht="15.75" customHeight="1">
      <c r="B478" s="760"/>
      <c r="C478" s="407"/>
      <c r="D478" s="69"/>
      <c r="E478" s="69"/>
      <c r="F478" s="69"/>
      <c r="G478" s="69"/>
      <c r="H478" s="69"/>
      <c r="I478" s="69"/>
      <c r="J478" s="69"/>
      <c r="K478" s="69"/>
      <c r="L478" s="69"/>
      <c r="M478" s="69"/>
      <c r="N478" s="69"/>
      <c r="O478" s="69"/>
      <c r="P478" s="69"/>
      <c r="Q478" s="69"/>
      <c r="R478" s="761"/>
    </row>
    <row r="479" spans="2:18" ht="15.75" customHeight="1">
      <c r="B479" s="760"/>
      <c r="C479" s="406" t="s">
        <v>938</v>
      </c>
      <c r="D479" s="407"/>
      <c r="E479" s="407"/>
      <c r="F479" s="69"/>
      <c r="G479" s="69"/>
      <c r="H479" s="69"/>
      <c r="I479" s="69"/>
      <c r="J479" s="69"/>
      <c r="K479" s="69"/>
      <c r="L479" s="69"/>
      <c r="M479" s="69"/>
      <c r="N479" s="69"/>
      <c r="O479" s="69"/>
      <c r="P479" s="69"/>
      <c r="Q479" s="69"/>
      <c r="R479" s="761"/>
    </row>
    <row r="480" spans="2:18" ht="15.75" customHeight="1">
      <c r="B480" s="760"/>
      <c r="C480" s="407"/>
      <c r="D480" s="407"/>
      <c r="E480" s="407"/>
      <c r="F480" s="69"/>
      <c r="G480" s="69"/>
      <c r="H480" s="69"/>
      <c r="I480" s="69"/>
      <c r="J480" s="69"/>
      <c r="K480" s="69"/>
      <c r="L480" s="69"/>
      <c r="M480" s="69"/>
      <c r="N480" s="69"/>
      <c r="O480" s="69"/>
      <c r="P480" s="69"/>
      <c r="Q480" s="69"/>
      <c r="R480" s="761"/>
    </row>
    <row r="481" spans="2:18" ht="15.75" customHeight="1">
      <c r="B481" s="760"/>
      <c r="C481" s="407"/>
      <c r="D481" s="407" t="s">
        <v>920</v>
      </c>
      <c r="E481" s="407"/>
      <c r="F481" s="69"/>
      <c r="G481" s="69"/>
      <c r="H481" s="69"/>
      <c r="I481" s="69"/>
      <c r="J481" s="69"/>
      <c r="K481" s="69"/>
      <c r="L481" s="69"/>
      <c r="M481" s="69"/>
      <c r="N481" s="69"/>
      <c r="O481" s="69"/>
      <c r="P481" s="69"/>
      <c r="Q481" s="69"/>
      <c r="R481" s="761"/>
    </row>
    <row r="482" spans="2:18" ht="36.75" customHeight="1">
      <c r="B482" s="760"/>
      <c r="C482" s="407"/>
      <c r="D482" s="826" t="s">
        <v>939</v>
      </c>
      <c r="E482" s="826" t="s">
        <v>646</v>
      </c>
      <c r="F482" s="826" t="s">
        <v>454</v>
      </c>
      <c r="G482" s="826" t="s">
        <v>455</v>
      </c>
      <c r="H482" s="826" t="s">
        <v>456</v>
      </c>
      <c r="I482" s="826" t="s">
        <v>913</v>
      </c>
      <c r="J482" s="826" t="s">
        <v>457</v>
      </c>
      <c r="K482" s="826" t="s">
        <v>458</v>
      </c>
      <c r="L482" s="826" t="s">
        <v>914</v>
      </c>
      <c r="M482" s="826" t="s">
        <v>460</v>
      </c>
      <c r="N482" s="826" t="s">
        <v>915</v>
      </c>
      <c r="O482" s="826" t="s">
        <v>462</v>
      </c>
      <c r="P482" s="826" t="s">
        <v>916</v>
      </c>
      <c r="Q482" s="805" t="s">
        <v>940</v>
      </c>
      <c r="R482" s="761"/>
    </row>
    <row r="483" spans="2:18" ht="15.75" customHeight="1">
      <c r="B483" s="760"/>
      <c r="C483" s="407"/>
      <c r="D483" s="1588" t="s">
        <v>941</v>
      </c>
      <c r="E483" s="847" t="s">
        <v>942</v>
      </c>
      <c r="F483" s="855"/>
      <c r="G483" s="766"/>
      <c r="H483" s="766"/>
      <c r="I483" s="766"/>
      <c r="J483" s="766"/>
      <c r="K483" s="766"/>
      <c r="L483" s="766"/>
      <c r="M483" s="766"/>
      <c r="N483" s="766"/>
      <c r="O483" s="766"/>
      <c r="P483" s="766"/>
      <c r="Q483" s="774">
        <v>0</v>
      </c>
      <c r="R483" s="761"/>
    </row>
    <row r="484" spans="2:18" ht="19.5" customHeight="1">
      <c r="B484" s="760"/>
      <c r="C484" s="407"/>
      <c r="D484" s="1589"/>
      <c r="E484" s="847" t="s">
        <v>572</v>
      </c>
      <c r="F484" s="856" t="s">
        <v>943</v>
      </c>
      <c r="G484" s="766"/>
      <c r="H484" s="766"/>
      <c r="I484" s="766"/>
      <c r="J484" s="766"/>
      <c r="K484" s="766"/>
      <c r="L484" s="766"/>
      <c r="M484" s="766"/>
      <c r="N484" s="766"/>
      <c r="O484" s="766"/>
      <c r="P484" s="766"/>
      <c r="Q484" s="766"/>
      <c r="R484" s="761"/>
    </row>
    <row r="485" spans="2:18" ht="15.75" customHeight="1">
      <c r="B485" s="760"/>
      <c r="C485" s="407"/>
      <c r="D485" s="1588" t="s">
        <v>944</v>
      </c>
      <c r="E485" s="847" t="s">
        <v>942</v>
      </c>
      <c r="F485" s="855"/>
      <c r="G485" s="855"/>
      <c r="H485" s="855"/>
      <c r="I485" s="855"/>
      <c r="J485" s="855"/>
      <c r="K485" s="855"/>
      <c r="L485" s="855"/>
      <c r="M485" s="855"/>
      <c r="N485" s="855"/>
      <c r="O485" s="766"/>
      <c r="P485" s="766"/>
      <c r="Q485" s="774">
        <v>0.2</v>
      </c>
      <c r="R485" s="761"/>
    </row>
    <row r="486" spans="2:18" ht="15.75" customHeight="1">
      <c r="B486" s="760"/>
      <c r="C486" s="407"/>
      <c r="D486" s="1589"/>
      <c r="E486" s="847" t="s">
        <v>572</v>
      </c>
      <c r="F486" s="847"/>
      <c r="G486" s="766"/>
      <c r="H486" s="766"/>
      <c r="I486" s="856" t="s">
        <v>943</v>
      </c>
      <c r="J486" s="766"/>
      <c r="K486" s="766"/>
      <c r="L486" s="766"/>
      <c r="M486" s="766"/>
      <c r="N486" s="766"/>
      <c r="O486" s="766"/>
      <c r="P486" s="766"/>
      <c r="Q486" s="766"/>
      <c r="R486" s="761"/>
    </row>
    <row r="487" spans="2:18" ht="15.75" customHeight="1">
      <c r="B487" s="760"/>
      <c r="C487" s="407"/>
      <c r="D487" s="1592" t="s">
        <v>945</v>
      </c>
      <c r="E487" s="847" t="s">
        <v>942</v>
      </c>
      <c r="F487" s="847"/>
      <c r="G487" s="766"/>
      <c r="H487" s="766"/>
      <c r="I487" s="855"/>
      <c r="J487" s="855"/>
      <c r="K487" s="855"/>
      <c r="L487" s="855"/>
      <c r="M487" s="766"/>
      <c r="N487" s="766"/>
      <c r="O487" s="766"/>
      <c r="P487" s="766"/>
      <c r="Q487" s="766"/>
      <c r="R487" s="761"/>
    </row>
    <row r="488" spans="2:18" ht="15.75" customHeight="1">
      <c r="B488" s="760"/>
      <c r="C488" s="407"/>
      <c r="D488" s="1593"/>
      <c r="E488" s="847" t="s">
        <v>572</v>
      </c>
      <c r="F488" s="847"/>
      <c r="G488" s="766"/>
      <c r="H488" s="766"/>
      <c r="I488" s="766"/>
      <c r="J488" s="766"/>
      <c r="K488" s="766"/>
      <c r="L488" s="766"/>
      <c r="M488" s="766"/>
      <c r="N488" s="766"/>
      <c r="O488" s="766"/>
      <c r="P488" s="766"/>
      <c r="Q488" s="766"/>
      <c r="R488" s="761"/>
    </row>
    <row r="489" spans="2:18" ht="15.75" customHeight="1">
      <c r="B489" s="760"/>
      <c r="C489" s="407"/>
      <c r="D489" s="1588" t="s">
        <v>946</v>
      </c>
      <c r="E489" s="847" t="s">
        <v>942</v>
      </c>
      <c r="F489" s="855"/>
      <c r="G489" s="855"/>
      <c r="H489" s="855"/>
      <c r="I489" s="855"/>
      <c r="J489" s="855"/>
      <c r="K489" s="855"/>
      <c r="L489" s="855"/>
      <c r="M489" s="766"/>
      <c r="N489" s="766"/>
      <c r="O489" s="766"/>
      <c r="P489" s="766"/>
      <c r="Q489" s="766"/>
      <c r="R489" s="761"/>
    </row>
    <row r="490" spans="2:18" ht="15.75" customHeight="1">
      <c r="B490" s="760"/>
      <c r="C490" s="407"/>
      <c r="D490" s="1589"/>
      <c r="E490" s="847" t="s">
        <v>572</v>
      </c>
      <c r="F490" s="847"/>
      <c r="G490" s="766"/>
      <c r="H490" s="766"/>
      <c r="I490" s="766"/>
      <c r="J490" s="766"/>
      <c r="K490" s="766"/>
      <c r="L490" s="766"/>
      <c r="M490" s="766"/>
      <c r="N490" s="766"/>
      <c r="O490" s="766"/>
      <c r="P490" s="766"/>
      <c r="Q490" s="766"/>
      <c r="R490" s="761"/>
    </row>
    <row r="491" spans="2:18" ht="15.75" customHeight="1">
      <c r="B491" s="760"/>
      <c r="C491" s="407"/>
      <c r="D491" s="1592" t="s">
        <v>947</v>
      </c>
      <c r="E491" s="847" t="s">
        <v>942</v>
      </c>
      <c r="F491" s="847"/>
      <c r="G491" s="766"/>
      <c r="H491" s="766"/>
      <c r="I491" s="766"/>
      <c r="J491" s="766"/>
      <c r="K491" s="766"/>
      <c r="L491" s="855"/>
      <c r="M491" s="855"/>
      <c r="N491" s="855"/>
      <c r="O491" s="855"/>
      <c r="P491" s="766"/>
      <c r="Q491" s="766"/>
      <c r="R491" s="761"/>
    </row>
    <row r="492" spans="2:18" ht="15.75" customHeight="1">
      <c r="B492" s="760"/>
      <c r="C492" s="407"/>
      <c r="D492" s="1593"/>
      <c r="E492" s="847" t="s">
        <v>572</v>
      </c>
      <c r="F492" s="847"/>
      <c r="G492" s="766"/>
      <c r="H492" s="766"/>
      <c r="I492" s="766"/>
      <c r="J492" s="766"/>
      <c r="K492" s="766"/>
      <c r="L492" s="766"/>
      <c r="M492" s="766"/>
      <c r="N492" s="766"/>
      <c r="O492" s="766"/>
      <c r="P492" s="766"/>
      <c r="Q492" s="766"/>
      <c r="R492" s="761"/>
    </row>
    <row r="493" spans="2:18" ht="15.75" customHeight="1">
      <c r="B493" s="760"/>
      <c r="C493" s="407"/>
      <c r="D493" s="1588" t="s">
        <v>948</v>
      </c>
      <c r="E493" s="847" t="s">
        <v>942</v>
      </c>
      <c r="F493" s="847"/>
      <c r="G493" s="766"/>
      <c r="H493" s="766"/>
      <c r="I493" s="766"/>
      <c r="J493" s="766"/>
      <c r="K493" s="766"/>
      <c r="L493" s="766"/>
      <c r="M493" s="766"/>
      <c r="N493" s="766"/>
      <c r="O493" s="855"/>
      <c r="P493" s="855"/>
      <c r="Q493" s="766"/>
      <c r="R493" s="761"/>
    </row>
    <row r="494" spans="2:18" ht="15.75" customHeight="1">
      <c r="B494" s="760"/>
      <c r="C494" s="407"/>
      <c r="D494" s="1589"/>
      <c r="E494" s="847" t="s">
        <v>572</v>
      </c>
      <c r="F494" s="847"/>
      <c r="G494" s="766"/>
      <c r="H494" s="766"/>
      <c r="I494" s="766"/>
      <c r="J494" s="766"/>
      <c r="K494" s="766"/>
      <c r="L494" s="766"/>
      <c r="M494" s="766"/>
      <c r="N494" s="766"/>
      <c r="O494" s="766"/>
      <c r="P494" s="766"/>
      <c r="Q494" s="766"/>
      <c r="R494" s="761"/>
    </row>
    <row r="495" spans="2:18" ht="15.75" customHeight="1">
      <c r="B495" s="760"/>
      <c r="C495" s="407"/>
      <c r="D495" s="1588" t="s">
        <v>949</v>
      </c>
      <c r="E495" s="847" t="s">
        <v>942</v>
      </c>
      <c r="F495" s="847"/>
      <c r="G495" s="766"/>
      <c r="H495" s="766"/>
      <c r="I495" s="766"/>
      <c r="J495" s="766"/>
      <c r="K495" s="766"/>
      <c r="L495" s="766"/>
      <c r="M495" s="766"/>
      <c r="N495" s="766"/>
      <c r="O495" s="766"/>
      <c r="P495" s="855"/>
      <c r="Q495" s="766"/>
      <c r="R495" s="761"/>
    </row>
    <row r="496" spans="2:18" ht="15.75" customHeight="1">
      <c r="B496" s="760"/>
      <c r="C496" s="407"/>
      <c r="D496" s="1589"/>
      <c r="E496" s="847" t="s">
        <v>572</v>
      </c>
      <c r="F496" s="847"/>
      <c r="G496" s="766"/>
      <c r="H496" s="766"/>
      <c r="I496" s="766"/>
      <c r="J496" s="766"/>
      <c r="K496" s="766"/>
      <c r="L496" s="766"/>
      <c r="M496" s="766"/>
      <c r="N496" s="766"/>
      <c r="O496" s="766"/>
      <c r="P496" s="766"/>
      <c r="Q496" s="766"/>
      <c r="R496" s="761"/>
    </row>
    <row r="497" spans="2:18" ht="15.75" customHeight="1">
      <c r="B497" s="760"/>
      <c r="C497" s="407"/>
      <c r="D497" s="407"/>
      <c r="E497" s="407"/>
      <c r="F497" s="69"/>
      <c r="G497" s="69"/>
      <c r="H497" s="69"/>
      <c r="I497" s="69"/>
      <c r="J497" s="69"/>
      <c r="K497" s="69"/>
      <c r="L497" s="69"/>
      <c r="M497" s="69"/>
      <c r="N497" s="69"/>
      <c r="O497" s="69"/>
      <c r="P497" s="69"/>
      <c r="Q497" s="793">
        <f>AVERAGE(Q483:Q496)</f>
        <v>0.1</v>
      </c>
      <c r="R497" s="761"/>
    </row>
    <row r="498" spans="2:18" ht="22.5" customHeight="1">
      <c r="B498" s="760"/>
      <c r="C498" s="407"/>
      <c r="D498" s="1590" t="s">
        <v>950</v>
      </c>
      <c r="E498" s="1590"/>
      <c r="F498" s="69"/>
      <c r="G498" s="69"/>
      <c r="H498" s="69"/>
      <c r="I498" s="69"/>
      <c r="J498" s="69"/>
      <c r="K498" s="69"/>
      <c r="L498" s="69"/>
      <c r="M498" s="69"/>
      <c r="N498" s="69"/>
      <c r="O498" s="69"/>
      <c r="P498" s="69"/>
      <c r="Q498" s="69"/>
      <c r="R498" s="761"/>
    </row>
    <row r="499" spans="2:18" ht="15.75" customHeight="1">
      <c r="B499" s="760"/>
      <c r="C499" s="407"/>
      <c r="D499" s="1591" t="s">
        <v>951</v>
      </c>
      <c r="E499" s="847" t="s">
        <v>942</v>
      </c>
      <c r="F499" s="847"/>
      <c r="G499" s="766"/>
      <c r="H499" s="855"/>
      <c r="I499" s="855"/>
      <c r="J499" s="855"/>
      <c r="K499" s="855"/>
      <c r="L499" s="766"/>
      <c r="M499" s="766"/>
      <c r="N499" s="766"/>
      <c r="O499" s="766"/>
      <c r="P499" s="766"/>
      <c r="Q499" s="766"/>
      <c r="R499" s="761"/>
    </row>
    <row r="500" spans="2:18" ht="15.75" customHeight="1">
      <c r="B500" s="760"/>
      <c r="C500" s="407"/>
      <c r="D500" s="1591"/>
      <c r="E500" s="847" t="s">
        <v>572</v>
      </c>
      <c r="F500" s="847"/>
      <c r="G500" s="766"/>
      <c r="H500" s="766"/>
      <c r="I500" s="766"/>
      <c r="J500" s="766"/>
      <c r="K500" s="766"/>
      <c r="L500" s="766"/>
      <c r="M500" s="766"/>
      <c r="N500" s="766"/>
      <c r="O500" s="766"/>
      <c r="P500" s="766"/>
      <c r="Q500" s="766"/>
      <c r="R500" s="761"/>
    </row>
    <row r="501" spans="2:18" ht="15.75" customHeight="1">
      <c r="B501" s="760"/>
      <c r="C501" s="407"/>
      <c r="D501" s="1591" t="s">
        <v>952</v>
      </c>
      <c r="E501" s="847" t="s">
        <v>942</v>
      </c>
      <c r="F501" s="847"/>
      <c r="G501" s="766"/>
      <c r="H501" s="766"/>
      <c r="I501" s="766"/>
      <c r="J501" s="766"/>
      <c r="K501" s="855"/>
      <c r="L501" s="855"/>
      <c r="M501" s="855"/>
      <c r="N501" s="766"/>
      <c r="O501" s="766"/>
      <c r="P501" s="766"/>
      <c r="Q501" s="766"/>
      <c r="R501" s="761"/>
    </row>
    <row r="502" spans="2:18" ht="15.75" customHeight="1">
      <c r="B502" s="760"/>
      <c r="C502" s="407"/>
      <c r="D502" s="1591"/>
      <c r="E502" s="847" t="s">
        <v>572</v>
      </c>
      <c r="F502" s="847"/>
      <c r="G502" s="766"/>
      <c r="H502" s="766"/>
      <c r="I502" s="766"/>
      <c r="J502" s="766"/>
      <c r="K502" s="766"/>
      <c r="L502" s="766"/>
      <c r="M502" s="766"/>
      <c r="N502" s="766"/>
      <c r="O502" s="766"/>
      <c r="P502" s="766"/>
      <c r="Q502" s="766"/>
      <c r="R502" s="761"/>
    </row>
    <row r="503" spans="2:18" ht="15.75" customHeight="1">
      <c r="B503" s="760"/>
      <c r="C503" s="407"/>
      <c r="D503" s="1591" t="s">
        <v>953</v>
      </c>
      <c r="E503" s="847" t="s">
        <v>942</v>
      </c>
      <c r="F503" s="847"/>
      <c r="G503" s="766"/>
      <c r="H503" s="766"/>
      <c r="I503" s="766"/>
      <c r="J503" s="766"/>
      <c r="K503" s="766"/>
      <c r="L503" s="766"/>
      <c r="M503" s="855"/>
      <c r="N503" s="766"/>
      <c r="O503" s="766"/>
      <c r="P503" s="766"/>
      <c r="Q503" s="766"/>
      <c r="R503" s="761"/>
    </row>
    <row r="504" spans="2:18" ht="15.75" customHeight="1">
      <c r="B504" s="760"/>
      <c r="C504" s="407"/>
      <c r="D504" s="1591"/>
      <c r="E504" s="847" t="s">
        <v>572</v>
      </c>
      <c r="F504" s="847"/>
      <c r="G504" s="766"/>
      <c r="H504" s="766"/>
      <c r="I504" s="766"/>
      <c r="J504" s="766"/>
      <c r="K504" s="766"/>
      <c r="L504" s="766"/>
      <c r="M504" s="766"/>
      <c r="N504" s="766"/>
      <c r="O504" s="766"/>
      <c r="P504" s="766"/>
      <c r="Q504" s="766"/>
      <c r="R504" s="761"/>
    </row>
    <row r="505" spans="2:18" ht="36.75" customHeight="1">
      <c r="B505" s="760"/>
      <c r="C505" s="407"/>
      <c r="D505" s="1585" t="s">
        <v>954</v>
      </c>
      <c r="E505" s="1585"/>
      <c r="F505" s="1585"/>
      <c r="G505" s="1585"/>
      <c r="H505" s="1585"/>
      <c r="I505" s="1585"/>
      <c r="J505" s="1585"/>
      <c r="K505" s="69"/>
      <c r="L505" s="69"/>
      <c r="M505" s="69"/>
      <c r="N505" s="69"/>
      <c r="O505" s="69"/>
      <c r="P505" s="69"/>
      <c r="Q505" s="69"/>
      <c r="R505" s="761"/>
    </row>
    <row r="506" spans="2:18" ht="15.75" customHeight="1" thickBot="1">
      <c r="B506" s="795"/>
      <c r="C506" s="796"/>
      <c r="D506" s="796"/>
      <c r="E506" s="857"/>
      <c r="F506" s="857"/>
      <c r="G506" s="857"/>
      <c r="H506" s="857"/>
      <c r="I506" s="857"/>
      <c r="J506" s="857"/>
      <c r="K506" s="857"/>
      <c r="L506" s="857"/>
      <c r="M506" s="857"/>
      <c r="N506" s="796"/>
      <c r="O506" s="796"/>
      <c r="P506" s="796"/>
      <c r="Q506" s="796"/>
      <c r="R506" s="797"/>
    </row>
    <row r="507" spans="2:18" ht="15.75" customHeight="1">
      <c r="C507" s="858"/>
      <c r="D507" s="858"/>
      <c r="E507" s="858"/>
    </row>
    <row r="508" spans="2:18" ht="15.75" customHeight="1" thickBot="1"/>
    <row r="509" spans="2:18" ht="15.75" customHeight="1">
      <c r="B509" s="810"/>
      <c r="C509" s="811" t="s">
        <v>955</v>
      </c>
      <c r="D509" s="812"/>
      <c r="E509" s="812"/>
      <c r="F509" s="812"/>
      <c r="G509" s="812"/>
      <c r="H509" s="812"/>
      <c r="I509" s="812"/>
      <c r="J509" s="812"/>
      <c r="K509" s="812"/>
      <c r="L509" s="813"/>
    </row>
    <row r="510" spans="2:18" ht="15.75" customHeight="1">
      <c r="B510" s="814"/>
      <c r="C510" s="407"/>
      <c r="D510" s="407"/>
      <c r="E510" s="407"/>
      <c r="F510" s="69"/>
      <c r="G510" s="69"/>
      <c r="H510" s="69"/>
      <c r="I510" s="69"/>
      <c r="J510" s="69"/>
      <c r="K510" s="69"/>
      <c r="L510" s="815"/>
    </row>
    <row r="511" spans="2:18" ht="21.75" customHeight="1">
      <c r="B511" s="814"/>
      <c r="C511" s="859" t="s">
        <v>956</v>
      </c>
      <c r="D511" s="860"/>
      <c r="E511" s="860"/>
      <c r="F511" s="69"/>
      <c r="G511" s="69"/>
      <c r="H511" s="69"/>
      <c r="I511" s="69"/>
      <c r="J511" s="69"/>
      <c r="K511" s="69"/>
      <c r="L511" s="815"/>
    </row>
    <row r="512" spans="2:18" ht="15.75" customHeight="1">
      <c r="B512" s="814"/>
      <c r="C512" s="407"/>
      <c r="D512" s="407"/>
      <c r="E512" s="407"/>
      <c r="F512" s="69"/>
      <c r="G512" s="69"/>
      <c r="H512" s="69"/>
      <c r="I512" s="69"/>
      <c r="J512" s="69"/>
      <c r="K512" s="69"/>
      <c r="L512" s="815"/>
    </row>
    <row r="513" spans="2:12" ht="15.75" customHeight="1">
      <c r="B513" s="814"/>
      <c r="C513" s="861" t="s">
        <v>957</v>
      </c>
      <c r="D513" s="862"/>
      <c r="E513" s="862"/>
      <c r="F513" s="863"/>
      <c r="G513" s="863"/>
      <c r="H513" s="863"/>
      <c r="I513" s="864"/>
      <c r="J513" s="864"/>
      <c r="K513" s="864"/>
      <c r="L513" s="865"/>
    </row>
    <row r="514" spans="2:12" ht="15.75" customHeight="1">
      <c r="B514" s="814"/>
      <c r="C514" s="866"/>
      <c r="D514" s="866"/>
      <c r="E514" s="866"/>
      <c r="F514" s="864"/>
      <c r="G514" s="864"/>
      <c r="H514" s="864"/>
      <c r="I514" s="864"/>
      <c r="J514" s="864"/>
      <c r="K514" s="864"/>
      <c r="L514" s="865"/>
    </row>
    <row r="515" spans="2:12" ht="48" customHeight="1">
      <c r="B515" s="814"/>
      <c r="C515" s="866"/>
      <c r="D515" s="1545" t="s">
        <v>958</v>
      </c>
      <c r="E515" s="1545"/>
      <c r="F515" s="1545"/>
      <c r="G515" s="1545"/>
      <c r="H515" s="1545"/>
      <c r="I515" s="1545"/>
      <c r="J515" s="1545"/>
      <c r="K515" s="867"/>
      <c r="L515" s="865"/>
    </row>
    <row r="516" spans="2:12" ht="15.75" customHeight="1">
      <c r="B516" s="814"/>
      <c r="C516" s="866"/>
      <c r="D516" s="868"/>
      <c r="E516" s="868"/>
      <c r="F516" s="867"/>
      <c r="G516" s="867"/>
      <c r="H516" s="867"/>
      <c r="I516" s="867"/>
      <c r="J516" s="867"/>
      <c r="K516" s="867"/>
      <c r="L516" s="865"/>
    </row>
    <row r="517" spans="2:12" ht="15.75" customHeight="1">
      <c r="B517" s="814"/>
      <c r="C517" s="866"/>
      <c r="D517" s="869"/>
      <c r="E517" s="869"/>
      <c r="F517" s="870"/>
      <c r="G517" s="870"/>
      <c r="H517" s="870"/>
      <c r="I517" s="870"/>
      <c r="J517" s="870"/>
      <c r="K517" s="870"/>
      <c r="L517" s="865"/>
    </row>
    <row r="518" spans="2:12" ht="15.75" customHeight="1">
      <c r="B518" s="814"/>
      <c r="C518" s="866"/>
      <c r="D518" s="869"/>
      <c r="E518" s="869"/>
      <c r="F518" s="870"/>
      <c r="G518" s="870"/>
      <c r="H518" s="870"/>
      <c r="I518" s="870"/>
      <c r="J518" s="870"/>
      <c r="K518" s="870"/>
      <c r="L518" s="865"/>
    </row>
    <row r="519" spans="2:12" ht="15.75" customHeight="1">
      <c r="B519" s="814"/>
      <c r="C519" s="866"/>
      <c r="D519" s="869"/>
      <c r="E519" s="869"/>
      <c r="F519" s="870"/>
      <c r="G519" s="870"/>
      <c r="H519" s="870"/>
      <c r="I519" s="870"/>
      <c r="J519" s="870"/>
      <c r="K519" s="870"/>
      <c r="L519" s="865"/>
    </row>
    <row r="520" spans="2:12" ht="15.75" customHeight="1">
      <c r="B520" s="814"/>
      <c r="C520" s="866"/>
      <c r="D520" s="869"/>
      <c r="E520" s="869"/>
      <c r="F520" s="870"/>
      <c r="G520" s="870"/>
      <c r="H520" s="870"/>
      <c r="I520" s="870"/>
      <c r="J520" s="870"/>
      <c r="K520" s="870"/>
      <c r="L520" s="865"/>
    </row>
    <row r="521" spans="2:12" ht="15.75" customHeight="1">
      <c r="B521" s="814"/>
      <c r="C521" s="866"/>
      <c r="D521" s="869"/>
      <c r="E521" s="869"/>
      <c r="F521" s="870"/>
      <c r="G521" s="870"/>
      <c r="H521" s="870"/>
      <c r="I521" s="870"/>
      <c r="J521" s="870"/>
      <c r="K521" s="870"/>
      <c r="L521" s="865"/>
    </row>
    <row r="522" spans="2:12" ht="15.75" customHeight="1">
      <c r="B522" s="814"/>
      <c r="C522" s="866"/>
      <c r="D522" s="869"/>
      <c r="E522" s="869"/>
      <c r="F522" s="870"/>
      <c r="G522" s="870"/>
      <c r="H522" s="870"/>
      <c r="I522" s="870"/>
      <c r="J522" s="870"/>
      <c r="K522" s="870"/>
      <c r="L522" s="865"/>
    </row>
    <row r="523" spans="2:12" ht="15.75" customHeight="1">
      <c r="B523" s="814"/>
      <c r="C523" s="866"/>
      <c r="D523" s="869"/>
      <c r="E523" s="869"/>
      <c r="F523" s="870"/>
      <c r="G523" s="870"/>
      <c r="H523" s="870"/>
      <c r="I523" s="870"/>
      <c r="J523" s="870"/>
      <c r="K523" s="870"/>
      <c r="L523" s="865"/>
    </row>
    <row r="524" spans="2:12" ht="15.75" customHeight="1">
      <c r="B524" s="814"/>
      <c r="C524" s="866"/>
      <c r="D524" s="869"/>
      <c r="E524" s="869"/>
      <c r="F524" s="870"/>
      <c r="G524" s="870"/>
      <c r="H524" s="870"/>
      <c r="I524" s="870"/>
      <c r="J524" s="870"/>
      <c r="K524" s="870"/>
      <c r="L524" s="865"/>
    </row>
    <row r="525" spans="2:12" ht="15.75" customHeight="1">
      <c r="B525" s="814"/>
      <c r="C525" s="866"/>
      <c r="D525" s="869"/>
      <c r="E525" s="869"/>
      <c r="F525" s="870"/>
      <c r="G525" s="870"/>
      <c r="H525" s="870"/>
      <c r="I525" s="870"/>
      <c r="J525" s="870"/>
      <c r="K525" s="870"/>
      <c r="L525" s="865"/>
    </row>
    <row r="526" spans="2:12" ht="15.75" customHeight="1">
      <c r="B526" s="814"/>
      <c r="C526" s="866"/>
      <c r="D526" s="869"/>
      <c r="E526" s="869"/>
      <c r="F526" s="870"/>
      <c r="G526" s="870"/>
      <c r="H526" s="870"/>
      <c r="I526" s="870"/>
      <c r="J526" s="870"/>
      <c r="K526" s="870"/>
      <c r="L526" s="865"/>
    </row>
    <row r="527" spans="2:12" ht="15.75" customHeight="1">
      <c r="B527" s="814"/>
      <c r="C527" s="866"/>
      <c r="D527" s="868"/>
      <c r="E527" s="868"/>
      <c r="F527" s="867"/>
      <c r="G527" s="867"/>
      <c r="H527" s="867"/>
      <c r="I527" s="867"/>
      <c r="J527" s="867"/>
      <c r="K527" s="867"/>
      <c r="L527" s="865"/>
    </row>
    <row r="528" spans="2:12" ht="43.5" customHeight="1">
      <c r="B528" s="814"/>
      <c r="C528" s="866"/>
      <c r="D528" s="1545" t="s">
        <v>959</v>
      </c>
      <c r="E528" s="1545"/>
      <c r="F528" s="1545"/>
      <c r="G528" s="1545"/>
      <c r="H528" s="1545"/>
      <c r="I528" s="1545"/>
      <c r="J528" s="1545"/>
      <c r="K528" s="867"/>
      <c r="L528" s="865"/>
    </row>
    <row r="529" spans="2:15" ht="15.75" customHeight="1" thickBot="1">
      <c r="B529" s="820"/>
      <c r="C529" s="821"/>
      <c r="D529" s="821"/>
      <c r="E529" s="871"/>
      <c r="F529" s="871"/>
      <c r="G529" s="871"/>
      <c r="H529" s="871"/>
      <c r="I529" s="871"/>
      <c r="J529" s="871"/>
      <c r="K529" s="871"/>
      <c r="L529" s="872"/>
      <c r="M529" s="873"/>
    </row>
    <row r="530" spans="2:15" ht="15.75" customHeight="1"/>
    <row r="531" spans="2:15" ht="15.75" customHeight="1" thickBot="1"/>
    <row r="532" spans="2:15" ht="15.75" customHeight="1">
      <c r="B532" s="874"/>
      <c r="C532" s="399" t="s">
        <v>960</v>
      </c>
      <c r="D532" s="875"/>
      <c r="E532" s="875"/>
      <c r="F532" s="875"/>
      <c r="G532" s="875"/>
      <c r="H532" s="875"/>
      <c r="I532" s="875"/>
      <c r="J532" s="875"/>
      <c r="K532" s="875"/>
      <c r="L532" s="875"/>
      <c r="M532" s="876"/>
      <c r="N532" s="877"/>
      <c r="O532" s="877"/>
    </row>
    <row r="533" spans="2:15" ht="15.75" customHeight="1">
      <c r="B533" s="778"/>
      <c r="C533" s="779"/>
      <c r="D533" s="779"/>
      <c r="E533" s="779"/>
      <c r="F533" s="779"/>
      <c r="G533" s="779"/>
      <c r="H533" s="779"/>
      <c r="I533" s="779"/>
      <c r="J533" s="779"/>
      <c r="K533" s="779"/>
      <c r="L533" s="779"/>
      <c r="M533" s="780"/>
      <c r="N533" s="877"/>
      <c r="O533" s="877"/>
    </row>
    <row r="534" spans="2:15" ht="15.75" customHeight="1">
      <c r="B534" s="778"/>
      <c r="C534" s="878">
        <v>1</v>
      </c>
      <c r="D534" s="145" t="s">
        <v>961</v>
      </c>
      <c r="E534" s="779"/>
      <c r="F534" s="779"/>
      <c r="G534" s="779"/>
      <c r="H534" s="779"/>
      <c r="I534" s="779"/>
      <c r="J534" s="779"/>
      <c r="K534" s="779"/>
      <c r="L534" s="779"/>
      <c r="M534" s="780"/>
      <c r="N534" s="877"/>
      <c r="O534" s="877"/>
    </row>
    <row r="535" spans="2:15" ht="30" customHeight="1">
      <c r="B535" s="778"/>
      <c r="D535" s="1543" t="s">
        <v>962</v>
      </c>
      <c r="E535" s="1555"/>
      <c r="F535" s="1555"/>
      <c r="G535" s="1555"/>
      <c r="H535" s="1555"/>
      <c r="I535" s="1555"/>
      <c r="J535" s="1555"/>
      <c r="K535" s="1555"/>
      <c r="L535" s="1555"/>
      <c r="M535" s="879"/>
      <c r="N535" s="877"/>
      <c r="O535" s="877"/>
    </row>
    <row r="536" spans="2:15" ht="15.75" customHeight="1">
      <c r="B536" s="778"/>
      <c r="C536" s="854"/>
      <c r="D536" s="71" t="s">
        <v>963</v>
      </c>
      <c r="E536" s="779"/>
      <c r="F536" s="779"/>
      <c r="G536" s="779"/>
      <c r="H536" s="779"/>
      <c r="I536" s="854"/>
      <c r="J536" s="69"/>
      <c r="K536" s="779"/>
      <c r="L536" s="779"/>
      <c r="M536" s="879"/>
      <c r="N536" s="877"/>
      <c r="O536" s="877"/>
    </row>
    <row r="537" spans="2:15" ht="26.25">
      <c r="B537" s="778"/>
      <c r="C537" s="854"/>
      <c r="D537" s="1587" t="s">
        <v>964</v>
      </c>
      <c r="E537" s="1578"/>
      <c r="F537" s="880" t="s">
        <v>965</v>
      </c>
      <c r="G537" s="880" t="s">
        <v>966</v>
      </c>
      <c r="H537" s="779"/>
      <c r="I537" s="854"/>
      <c r="J537" s="69"/>
      <c r="K537" s="779"/>
      <c r="L537" s="779"/>
      <c r="M537" s="879"/>
      <c r="N537" s="877"/>
      <c r="O537" s="877"/>
    </row>
    <row r="538" spans="2:15" ht="15.75" customHeight="1">
      <c r="B538" s="778"/>
      <c r="C538" s="779"/>
      <c r="D538" s="1552" t="s">
        <v>967</v>
      </c>
      <c r="E538" s="1554"/>
      <c r="F538" s="881">
        <v>0.2</v>
      </c>
      <c r="G538" s="882">
        <v>678396</v>
      </c>
      <c r="H538" s="883"/>
      <c r="I538" s="779"/>
      <c r="J538" s="779"/>
      <c r="K538" s="779"/>
      <c r="L538" s="779"/>
      <c r="M538" s="879"/>
      <c r="N538" s="877"/>
      <c r="O538" s="877"/>
    </row>
    <row r="539" spans="2:15" ht="15.75" customHeight="1">
      <c r="B539" s="778"/>
      <c r="C539" s="779"/>
      <c r="D539" s="1552" t="s">
        <v>968</v>
      </c>
      <c r="E539" s="1554"/>
      <c r="F539" s="881">
        <v>0.8</v>
      </c>
      <c r="G539" s="884">
        <v>2713585</v>
      </c>
      <c r="H539" s="779"/>
      <c r="I539" s="779"/>
      <c r="J539" s="779"/>
      <c r="K539" s="69"/>
      <c r="L539" s="779"/>
      <c r="M539" s="879"/>
      <c r="N539" s="877"/>
      <c r="O539" s="877"/>
    </row>
    <row r="540" spans="2:15" ht="28.5" customHeight="1">
      <c r="B540" s="778"/>
      <c r="C540" s="779"/>
      <c r="D540" s="1584" t="s">
        <v>557</v>
      </c>
      <c r="E540" s="1554"/>
      <c r="F540" s="885">
        <v>1</v>
      </c>
      <c r="G540" s="886">
        <v>3391981</v>
      </c>
      <c r="H540" s="779"/>
      <c r="I540" s="779"/>
      <c r="J540" s="779"/>
      <c r="K540" s="779"/>
      <c r="L540" s="779"/>
      <c r="M540" s="879"/>
      <c r="N540" s="877"/>
      <c r="O540" s="877"/>
    </row>
    <row r="541" spans="2:15" ht="15.75" customHeight="1">
      <c r="B541" s="778"/>
      <c r="C541" s="779"/>
      <c r="D541" s="69" t="s">
        <v>969</v>
      </c>
      <c r="E541" s="779"/>
      <c r="F541" s="779"/>
      <c r="G541" s="887"/>
      <c r="H541" s="779"/>
      <c r="I541" s="779"/>
      <c r="J541" s="779"/>
      <c r="K541" s="779"/>
      <c r="L541" s="779"/>
      <c r="M541" s="879"/>
      <c r="N541" s="877"/>
      <c r="O541" s="877"/>
    </row>
    <row r="542" spans="2:15" ht="33.75" customHeight="1">
      <c r="B542" s="778"/>
      <c r="C542" s="69"/>
      <c r="D542" s="1543" t="s">
        <v>970</v>
      </c>
      <c r="E542" s="1555"/>
      <c r="F542" s="1555"/>
      <c r="G542" s="1555"/>
      <c r="H542" s="1555"/>
      <c r="I542" s="1555"/>
      <c r="J542" s="1555"/>
      <c r="K542" s="1555"/>
      <c r="L542" s="1555"/>
      <c r="M542" s="879"/>
      <c r="N542" s="877"/>
      <c r="O542" s="877"/>
    </row>
    <row r="543" spans="2:15" ht="15.75" customHeight="1">
      <c r="B543" s="778"/>
      <c r="C543" s="69"/>
      <c r="D543" s="888" t="s">
        <v>323</v>
      </c>
      <c r="E543" s="889" t="s">
        <v>971</v>
      </c>
      <c r="F543" s="889" t="s">
        <v>972</v>
      </c>
      <c r="G543" s="779"/>
      <c r="H543" s="779"/>
      <c r="I543" s="779"/>
      <c r="J543" s="779"/>
      <c r="K543" s="779"/>
      <c r="L543" s="779"/>
      <c r="M543" s="879"/>
      <c r="N543" s="877"/>
      <c r="O543" s="877"/>
    </row>
    <row r="544" spans="2:15" ht="15.75" customHeight="1">
      <c r="B544" s="778"/>
      <c r="C544" s="69"/>
      <c r="D544" s="890" t="s">
        <v>421</v>
      </c>
      <c r="E544" s="891">
        <v>9</v>
      </c>
      <c r="F544" s="891">
        <v>22</v>
      </c>
      <c r="G544" s="779"/>
      <c r="H544" s="779"/>
      <c r="I544" s="779"/>
      <c r="J544" s="779"/>
      <c r="K544" s="779"/>
      <c r="L544" s="779"/>
      <c r="M544" s="879"/>
      <c r="N544" s="877"/>
      <c r="O544" s="877"/>
    </row>
    <row r="545" spans="2:15" ht="15.75" customHeight="1">
      <c r="B545" s="778"/>
      <c r="C545" s="69"/>
      <c r="D545" s="890" t="s">
        <v>476</v>
      </c>
      <c r="E545" s="891">
        <v>2</v>
      </c>
      <c r="F545" s="891">
        <v>26</v>
      </c>
      <c r="G545" s="779"/>
      <c r="H545" s="779"/>
      <c r="I545" s="779"/>
      <c r="J545" s="779"/>
      <c r="K545" s="779"/>
      <c r="L545" s="779"/>
      <c r="M545" s="879"/>
      <c r="N545" s="877"/>
      <c r="O545" s="877"/>
    </row>
    <row r="546" spans="2:15" ht="15.75" customHeight="1">
      <c r="B546" s="778"/>
      <c r="C546" s="69"/>
      <c r="D546" s="890" t="s">
        <v>424</v>
      </c>
      <c r="E546" s="891">
        <v>10</v>
      </c>
      <c r="F546" s="891">
        <v>21</v>
      </c>
      <c r="G546" s="779"/>
      <c r="H546" s="779"/>
      <c r="I546" s="779"/>
      <c r="J546" s="779"/>
      <c r="K546" s="779"/>
      <c r="L546" s="779"/>
      <c r="M546" s="879"/>
      <c r="N546" s="877"/>
      <c r="O546" s="877"/>
    </row>
    <row r="547" spans="2:15" ht="15.75" customHeight="1">
      <c r="B547" s="778"/>
      <c r="C547" s="69"/>
      <c r="D547" s="890" t="s">
        <v>560</v>
      </c>
      <c r="E547" s="891">
        <v>25</v>
      </c>
      <c r="F547" s="891">
        <v>5</v>
      </c>
      <c r="G547" s="779"/>
      <c r="H547" s="779"/>
      <c r="I547" s="779"/>
      <c r="J547" s="779"/>
      <c r="K547" s="779"/>
      <c r="L547" s="779"/>
      <c r="M547" s="879"/>
      <c r="N547" s="877"/>
      <c r="O547" s="877"/>
    </row>
    <row r="548" spans="2:15" ht="15.75" customHeight="1">
      <c r="B548" s="778"/>
      <c r="C548" s="69"/>
      <c r="D548" s="890" t="s">
        <v>324</v>
      </c>
      <c r="E548" s="891">
        <v>24</v>
      </c>
      <c r="F548" s="891">
        <v>7</v>
      </c>
      <c r="G548" s="779"/>
      <c r="H548" s="779"/>
      <c r="I548" s="779"/>
      <c r="J548" s="779"/>
      <c r="K548" s="779"/>
      <c r="L548" s="779"/>
      <c r="M548" s="879"/>
      <c r="N548" s="877"/>
      <c r="O548" s="877"/>
    </row>
    <row r="549" spans="2:15" ht="13.5">
      <c r="B549" s="778"/>
      <c r="C549" s="69"/>
      <c r="D549" s="890" t="s">
        <v>325</v>
      </c>
      <c r="E549" s="891">
        <v>23</v>
      </c>
      <c r="F549" s="891">
        <v>7</v>
      </c>
      <c r="G549" s="779"/>
      <c r="H549" s="779"/>
      <c r="I549" s="779"/>
      <c r="J549" s="779"/>
      <c r="K549" s="779"/>
      <c r="L549" s="779"/>
      <c r="M549" s="879"/>
      <c r="N549" s="877"/>
      <c r="O549" s="877"/>
    </row>
    <row r="550" spans="2:15" ht="15.75" customHeight="1">
      <c r="B550" s="778"/>
      <c r="C550" s="69"/>
      <c r="D550" s="890" t="s">
        <v>326</v>
      </c>
      <c r="E550" s="891">
        <v>26</v>
      </c>
      <c r="F550" s="891">
        <v>5</v>
      </c>
      <c r="G550" s="779"/>
      <c r="H550" s="779"/>
      <c r="I550" s="779"/>
      <c r="J550" s="779"/>
      <c r="K550" s="779"/>
      <c r="L550" s="779"/>
      <c r="M550" s="879"/>
      <c r="N550" s="877"/>
      <c r="O550" s="877"/>
    </row>
    <row r="551" spans="2:15" ht="15.75" customHeight="1">
      <c r="B551" s="778"/>
      <c r="C551" s="69"/>
      <c r="D551" s="890" t="s">
        <v>561</v>
      </c>
      <c r="E551" s="891">
        <v>27</v>
      </c>
      <c r="F551" s="891">
        <v>4</v>
      </c>
      <c r="G551" s="779"/>
      <c r="H551" s="779"/>
      <c r="I551" s="779"/>
      <c r="J551" s="779"/>
      <c r="K551" s="779"/>
      <c r="L551" s="779"/>
      <c r="M551" s="879"/>
      <c r="N551" s="877"/>
      <c r="O551" s="877"/>
    </row>
    <row r="552" spans="2:15" ht="15.75" customHeight="1">
      <c r="B552" s="778"/>
      <c r="C552" s="69"/>
      <c r="D552" s="890" t="s">
        <v>562</v>
      </c>
      <c r="E552" s="891">
        <v>28</v>
      </c>
      <c r="F552" s="891">
        <v>2</v>
      </c>
      <c r="G552" s="779"/>
      <c r="H552" s="779"/>
      <c r="I552" s="779"/>
      <c r="J552" s="779"/>
      <c r="K552" s="779"/>
      <c r="L552" s="779"/>
      <c r="M552" s="879"/>
      <c r="N552" s="877"/>
      <c r="O552" s="877"/>
    </row>
    <row r="553" spans="2:15" ht="15.75" customHeight="1">
      <c r="B553" s="778"/>
      <c r="C553" s="69"/>
      <c r="D553" s="890" t="s">
        <v>355</v>
      </c>
      <c r="E553" s="891">
        <v>30</v>
      </c>
      <c r="F553" s="891">
        <v>1</v>
      </c>
      <c r="G553" s="779"/>
      <c r="H553" s="779"/>
      <c r="I553" s="779"/>
      <c r="J553" s="779"/>
      <c r="K553" s="779"/>
      <c r="L553" s="779"/>
      <c r="M553" s="879"/>
      <c r="N553" s="877"/>
      <c r="O553" s="877"/>
    </row>
    <row r="554" spans="2:15" ht="15.75" customHeight="1">
      <c r="B554" s="778"/>
      <c r="C554" s="69"/>
      <c r="D554" s="890" t="s">
        <v>356</v>
      </c>
      <c r="E554" s="891">
        <v>25</v>
      </c>
      <c r="F554" s="891">
        <v>5</v>
      </c>
      <c r="G554" s="779"/>
      <c r="H554" s="779"/>
      <c r="I554" s="779"/>
      <c r="J554" s="779"/>
      <c r="K554" s="779"/>
      <c r="L554" s="779"/>
      <c r="M554" s="879"/>
      <c r="N554" s="877"/>
      <c r="O554" s="877"/>
    </row>
    <row r="555" spans="2:15" ht="15.75" customHeight="1">
      <c r="B555" s="778"/>
      <c r="C555" s="69"/>
      <c r="D555" s="890" t="s">
        <v>357</v>
      </c>
      <c r="E555" s="891">
        <v>27</v>
      </c>
      <c r="F555" s="891">
        <v>4</v>
      </c>
      <c r="G555" s="779"/>
      <c r="H555" s="779"/>
      <c r="I555" s="779"/>
      <c r="J555" s="779"/>
      <c r="K555" s="779"/>
      <c r="L555" s="779"/>
      <c r="M555" s="879"/>
      <c r="N555" s="877"/>
      <c r="O555" s="877"/>
    </row>
    <row r="556" spans="2:15" ht="15.75" customHeight="1">
      <c r="B556" s="778"/>
      <c r="C556" s="69"/>
      <c r="D556" s="892" t="s">
        <v>973</v>
      </c>
      <c r="E556" s="893">
        <v>256</v>
      </c>
      <c r="F556" s="893">
        <v>109</v>
      </c>
      <c r="G556" s="779"/>
      <c r="H556" s="779"/>
      <c r="I556" s="779"/>
      <c r="J556" s="779"/>
      <c r="K556" s="779"/>
      <c r="L556" s="779"/>
      <c r="M556" s="879"/>
      <c r="N556" s="877"/>
      <c r="O556" s="877"/>
    </row>
    <row r="557" spans="2:15" ht="15.75" customHeight="1">
      <c r="B557" s="778"/>
      <c r="C557" s="69"/>
      <c r="D557" s="1586" t="s">
        <v>974</v>
      </c>
      <c r="E557" s="893" t="s">
        <v>557</v>
      </c>
      <c r="F557" s="894">
        <f>AVERAGE(F558:F561)</f>
        <v>0.30250000000000005</v>
      </c>
      <c r="G557" s="779"/>
      <c r="H557" s="779"/>
      <c r="I557" s="779"/>
      <c r="J557" s="779"/>
      <c r="K557" s="779"/>
      <c r="L557" s="779"/>
      <c r="M557" s="879"/>
      <c r="N557" s="877"/>
      <c r="O557" s="877"/>
    </row>
    <row r="558" spans="2:15" ht="15.75" customHeight="1">
      <c r="B558" s="778"/>
      <c r="C558" s="69"/>
      <c r="D558" s="1573"/>
      <c r="E558" s="893" t="s">
        <v>186</v>
      </c>
      <c r="F558" s="894">
        <v>0.77</v>
      </c>
      <c r="G558" s="779"/>
      <c r="H558" s="779"/>
      <c r="I558" s="779"/>
      <c r="J558" s="779"/>
      <c r="K558" s="779"/>
      <c r="L558" s="779"/>
      <c r="M558" s="879"/>
      <c r="N558" s="877"/>
      <c r="O558" s="877"/>
    </row>
    <row r="559" spans="2:15" ht="15.75" customHeight="1">
      <c r="B559" s="778"/>
      <c r="C559" s="69"/>
      <c r="D559" s="1573"/>
      <c r="E559" s="893" t="s">
        <v>187</v>
      </c>
      <c r="F559" s="894">
        <v>0.21</v>
      </c>
      <c r="G559" s="779"/>
      <c r="H559" s="779"/>
      <c r="I559" s="779"/>
      <c r="J559" s="779"/>
      <c r="K559" s="779"/>
      <c r="L559" s="779"/>
      <c r="M559" s="879"/>
      <c r="N559" s="877"/>
      <c r="O559" s="877"/>
    </row>
    <row r="560" spans="2:15" ht="15.75" customHeight="1">
      <c r="B560" s="778"/>
      <c r="C560" s="69"/>
      <c r="D560" s="1573"/>
      <c r="E560" s="893" t="s">
        <v>188</v>
      </c>
      <c r="F560" s="894">
        <v>0.12</v>
      </c>
      <c r="G560" s="779"/>
      <c r="H560" s="779"/>
      <c r="I560" s="779"/>
      <c r="J560" s="779"/>
      <c r="K560" s="779"/>
      <c r="L560" s="779"/>
      <c r="M560" s="879"/>
      <c r="N560" s="877"/>
      <c r="O560" s="877"/>
    </row>
    <row r="561" spans="2:15" ht="15.75" customHeight="1">
      <c r="B561" s="778"/>
      <c r="C561" s="69"/>
      <c r="D561" s="1574"/>
      <c r="E561" s="893" t="s">
        <v>189</v>
      </c>
      <c r="F561" s="894">
        <v>0.11</v>
      </c>
      <c r="G561" s="779"/>
      <c r="H561" s="779"/>
      <c r="I561" s="779"/>
      <c r="J561" s="779"/>
      <c r="K561" s="779"/>
      <c r="L561" s="779"/>
      <c r="M561" s="879"/>
      <c r="N561" s="877"/>
      <c r="O561" s="877"/>
    </row>
    <row r="562" spans="2:15" ht="15.75" customHeight="1">
      <c r="B562" s="778"/>
      <c r="C562" s="895"/>
      <c r="D562" s="367"/>
      <c r="E562" s="367"/>
      <c r="F562" s="367"/>
      <c r="G562" s="367"/>
      <c r="H562" s="367"/>
      <c r="I562" s="367"/>
      <c r="J562" s="367"/>
      <c r="K562" s="367"/>
      <c r="L562" s="367"/>
      <c r="M562" s="879"/>
      <c r="N562" s="877"/>
      <c r="O562" s="877"/>
    </row>
    <row r="563" spans="2:15" ht="29.45" customHeight="1">
      <c r="B563" s="778"/>
      <c r="C563" s="895"/>
      <c r="D563" s="1543" t="s">
        <v>975</v>
      </c>
      <c r="E563" s="1555"/>
      <c r="F563" s="1555"/>
      <c r="G563" s="1555"/>
      <c r="H563" s="1555"/>
      <c r="I563" s="1555"/>
      <c r="J563" s="1555"/>
      <c r="K563" s="1555"/>
      <c r="L563" s="1555"/>
      <c r="M563" s="879"/>
      <c r="N563" s="877"/>
      <c r="O563" s="877"/>
    </row>
    <row r="564" spans="2:15" ht="15.75" customHeight="1">
      <c r="B564" s="778"/>
      <c r="C564" s="895"/>
      <c r="D564" s="367"/>
      <c r="E564" s="367"/>
      <c r="F564" s="367"/>
      <c r="G564" s="367"/>
      <c r="H564" s="367"/>
      <c r="I564" s="367"/>
      <c r="J564" s="367"/>
      <c r="K564" s="367"/>
      <c r="L564" s="367"/>
      <c r="M564" s="879"/>
      <c r="N564" s="877"/>
      <c r="O564" s="877"/>
    </row>
    <row r="565" spans="2:15" ht="15.75" customHeight="1">
      <c r="B565" s="778"/>
      <c r="C565" s="896">
        <v>2</v>
      </c>
      <c r="D565" s="897" t="s">
        <v>976</v>
      </c>
      <c r="E565" s="779"/>
      <c r="F565" s="779"/>
      <c r="G565" s="779"/>
      <c r="H565" s="779"/>
      <c r="I565" s="779"/>
      <c r="J565" s="779"/>
      <c r="K565" s="779"/>
      <c r="L565" s="779"/>
      <c r="M565" s="879"/>
      <c r="N565" s="877"/>
      <c r="O565" s="877"/>
    </row>
    <row r="566" spans="2:15" ht="31.7" customHeight="1">
      <c r="B566" s="778"/>
      <c r="D566" s="1543" t="s">
        <v>977</v>
      </c>
      <c r="E566" s="1555"/>
      <c r="F566" s="1555"/>
      <c r="G566" s="1555"/>
      <c r="H566" s="1555"/>
      <c r="I566" s="1555"/>
      <c r="J566" s="1555"/>
      <c r="K566" s="1555"/>
      <c r="L566" s="1555"/>
      <c r="M566" s="879"/>
      <c r="N566" s="877"/>
      <c r="O566" s="877"/>
    </row>
    <row r="567" spans="2:15" ht="15.75" customHeight="1">
      <c r="B567" s="778"/>
      <c r="C567" s="854"/>
      <c r="D567" s="71" t="s">
        <v>978</v>
      </c>
      <c r="E567" s="779"/>
      <c r="F567" s="779"/>
      <c r="G567" s="779"/>
      <c r="H567" s="779"/>
      <c r="I567" s="779"/>
      <c r="J567" s="779"/>
      <c r="K567" s="779"/>
      <c r="L567" s="779"/>
      <c r="M567" s="879"/>
      <c r="N567" s="877"/>
      <c r="O567" s="877"/>
    </row>
    <row r="568" spans="2:15" ht="15.75" customHeight="1">
      <c r="B568" s="778"/>
      <c r="C568" s="779"/>
      <c r="D568" s="69" t="s">
        <v>979</v>
      </c>
      <c r="E568" s="779"/>
      <c r="F568" s="898" t="s">
        <v>980</v>
      </c>
      <c r="G568" s="779"/>
      <c r="H568" s="779"/>
      <c r="I568" s="779"/>
      <c r="J568" s="779"/>
      <c r="K568" s="779"/>
      <c r="L568" s="779"/>
      <c r="M568" s="879"/>
      <c r="N568" s="877"/>
      <c r="O568" s="877"/>
    </row>
    <row r="569" spans="2:15" ht="15.75" customHeight="1">
      <c r="B569" s="778"/>
      <c r="C569" s="779"/>
      <c r="D569" s="69" t="s">
        <v>981</v>
      </c>
      <c r="E569" s="779"/>
      <c r="F569" s="898" t="s">
        <v>982</v>
      </c>
      <c r="G569" s="779"/>
      <c r="H569" s="779"/>
      <c r="I569" s="779"/>
      <c r="J569" s="779"/>
      <c r="K569" s="779"/>
      <c r="L569" s="779"/>
      <c r="M569" s="879"/>
      <c r="N569" s="877"/>
      <c r="O569" s="877"/>
    </row>
    <row r="570" spans="2:15" ht="15.75" customHeight="1">
      <c r="B570" s="778"/>
      <c r="C570" s="895"/>
      <c r="D570" s="367"/>
      <c r="E570" s="367"/>
      <c r="F570" s="367"/>
      <c r="G570" s="367"/>
      <c r="H570" s="367"/>
      <c r="I570" s="367"/>
      <c r="J570" s="367"/>
      <c r="K570" s="367"/>
      <c r="L570" s="367"/>
      <c r="M570" s="879"/>
      <c r="N570" s="877"/>
      <c r="O570" s="877"/>
    </row>
    <row r="571" spans="2:15" ht="15.75" customHeight="1">
      <c r="B571" s="778"/>
      <c r="C571" s="899">
        <v>3</v>
      </c>
      <c r="D571" s="145" t="s">
        <v>983</v>
      </c>
      <c r="E571" s="367"/>
      <c r="F571" s="367"/>
      <c r="G571" s="367"/>
      <c r="H571" s="367"/>
      <c r="I571" s="367"/>
      <c r="J571" s="367"/>
      <c r="K571" s="367"/>
      <c r="L571" s="367"/>
      <c r="M571" s="879"/>
      <c r="N571" s="877"/>
      <c r="O571" s="877"/>
    </row>
    <row r="572" spans="2:15" ht="32.450000000000003" customHeight="1">
      <c r="B572" s="778"/>
      <c r="D572" s="1543" t="s">
        <v>984</v>
      </c>
      <c r="E572" s="1555"/>
      <c r="F572" s="1555"/>
      <c r="G572" s="1555"/>
      <c r="H572" s="1555"/>
      <c r="I572" s="1555"/>
      <c r="J572" s="1555"/>
      <c r="K572" s="1555"/>
      <c r="L572" s="1555"/>
      <c r="M572" s="879"/>
      <c r="N572" s="877"/>
      <c r="O572" s="877"/>
    </row>
    <row r="573" spans="2:15" ht="15.75" customHeight="1">
      <c r="B573" s="778"/>
      <c r="C573" s="779"/>
      <c r="D573" s="71" t="s">
        <v>985</v>
      </c>
      <c r="E573" s="779"/>
      <c r="F573" s="779"/>
      <c r="G573" s="779"/>
      <c r="H573" s="779"/>
      <c r="I573" s="779"/>
      <c r="J573" s="779"/>
      <c r="K573" s="779"/>
      <c r="L573" s="779"/>
      <c r="M573" s="879"/>
      <c r="N573" s="877"/>
      <c r="O573" s="877"/>
    </row>
    <row r="574" spans="2:15" ht="39.4">
      <c r="B574" s="778"/>
      <c r="C574" s="779"/>
      <c r="D574" s="900" t="s">
        <v>986</v>
      </c>
      <c r="E574" s="880" t="s">
        <v>987</v>
      </c>
      <c r="F574" s="880" t="s">
        <v>988</v>
      </c>
      <c r="G574" s="1566" t="s">
        <v>989</v>
      </c>
      <c r="H574" s="1578"/>
      <c r="I574" s="880" t="s">
        <v>990</v>
      </c>
      <c r="J574" s="880" t="s">
        <v>991</v>
      </c>
      <c r="K574" s="880" t="s">
        <v>500</v>
      </c>
      <c r="L574" s="779"/>
      <c r="M574" s="879"/>
      <c r="N574" s="877"/>
      <c r="O574" s="877"/>
    </row>
    <row r="575" spans="2:15" ht="15.75" customHeight="1">
      <c r="B575" s="778"/>
      <c r="C575" s="779"/>
      <c r="D575" s="901" t="s">
        <v>992</v>
      </c>
      <c r="E575" s="902">
        <v>298</v>
      </c>
      <c r="F575" s="902">
        <f t="shared" ref="F575:F581" si="15">88.5%*E575</f>
        <v>263.73</v>
      </c>
      <c r="G575" s="1583">
        <f t="shared" ref="G575:G581" si="16">F575*(1+8.59%)</f>
        <v>286.38440700000007</v>
      </c>
      <c r="H575" s="1554"/>
      <c r="I575" s="903">
        <f t="shared" ref="I575:I581" si="17">E575-F575</f>
        <v>34.269999999999982</v>
      </c>
      <c r="J575" s="903">
        <f t="shared" ref="J575:J581" si="18">E575-G575</f>
        <v>11.615592999999933</v>
      </c>
      <c r="K575" s="903">
        <f t="shared" ref="K575:K581" si="19">J575-I575</f>
        <v>-22.654407000000049</v>
      </c>
      <c r="L575" s="904"/>
      <c r="M575" s="879"/>
      <c r="N575" s="877"/>
      <c r="O575" s="877"/>
    </row>
    <row r="576" spans="2:15" ht="15.75" customHeight="1">
      <c r="B576" s="778"/>
      <c r="C576" s="779"/>
      <c r="D576" s="901" t="s">
        <v>993</v>
      </c>
      <c r="E576" s="902">
        <v>8.9280000000000008</v>
      </c>
      <c r="F576" s="902">
        <f t="shared" si="15"/>
        <v>7.9012800000000007</v>
      </c>
      <c r="G576" s="1583">
        <f t="shared" si="16"/>
        <v>8.5799999520000014</v>
      </c>
      <c r="H576" s="1554"/>
      <c r="I576" s="903">
        <f t="shared" si="17"/>
        <v>1.0267200000000001</v>
      </c>
      <c r="J576" s="903">
        <f t="shared" si="18"/>
        <v>0.3480000479999994</v>
      </c>
      <c r="K576" s="903">
        <f t="shared" si="19"/>
        <v>-0.67871995200000068</v>
      </c>
      <c r="L576" s="904"/>
      <c r="M576" s="879"/>
      <c r="N576" s="877"/>
      <c r="O576" s="877"/>
    </row>
    <row r="577" spans="2:15" ht="15.75" customHeight="1">
      <c r="B577" s="778"/>
      <c r="C577" s="779"/>
      <c r="D577" s="901" t="s">
        <v>994</v>
      </c>
      <c r="E577" s="902">
        <v>14.135999999999999</v>
      </c>
      <c r="F577" s="902">
        <f t="shared" si="15"/>
        <v>12.510359999999999</v>
      </c>
      <c r="G577" s="1583">
        <f t="shared" si="16"/>
        <v>13.584999924</v>
      </c>
      <c r="H577" s="1554"/>
      <c r="I577" s="903">
        <f t="shared" si="17"/>
        <v>1.6256400000000006</v>
      </c>
      <c r="J577" s="903">
        <f t="shared" si="18"/>
        <v>0.55100007599999934</v>
      </c>
      <c r="K577" s="903">
        <f t="shared" si="19"/>
        <v>-1.0746399240000013</v>
      </c>
      <c r="L577" s="904"/>
      <c r="M577" s="879"/>
      <c r="N577" s="877"/>
      <c r="O577" s="877"/>
    </row>
    <row r="578" spans="2:15" ht="15.75" customHeight="1">
      <c r="B578" s="778"/>
      <c r="C578" s="779"/>
      <c r="D578" s="901" t="s">
        <v>995</v>
      </c>
      <c r="E578" s="902">
        <v>30.143000000000001</v>
      </c>
      <c r="F578" s="902">
        <f t="shared" si="15"/>
        <v>26.676555</v>
      </c>
      <c r="G578" s="1583">
        <f t="shared" si="16"/>
        <v>28.968071074500003</v>
      </c>
      <c r="H578" s="1554"/>
      <c r="I578" s="903">
        <f t="shared" si="17"/>
        <v>3.4664450000000002</v>
      </c>
      <c r="J578" s="903">
        <f t="shared" si="18"/>
        <v>1.1749289254999979</v>
      </c>
      <c r="K578" s="903">
        <f t="shared" si="19"/>
        <v>-2.2915160745000023</v>
      </c>
      <c r="L578" s="904"/>
      <c r="M578" s="879"/>
      <c r="N578" s="877"/>
      <c r="O578" s="877"/>
    </row>
    <row r="579" spans="2:15" ht="15.75" customHeight="1">
      <c r="B579" s="778"/>
      <c r="C579" s="779"/>
      <c r="D579" s="901" t="s">
        <v>996</v>
      </c>
      <c r="E579" s="902">
        <v>21.303000000000001</v>
      </c>
      <c r="F579" s="902">
        <f t="shared" si="15"/>
        <v>18.853155000000001</v>
      </c>
      <c r="G579" s="1583">
        <f t="shared" si="16"/>
        <v>20.472641014500002</v>
      </c>
      <c r="H579" s="1554"/>
      <c r="I579" s="903">
        <f t="shared" si="17"/>
        <v>2.4498449999999998</v>
      </c>
      <c r="J579" s="903">
        <f t="shared" si="18"/>
        <v>0.83035898549999843</v>
      </c>
      <c r="K579" s="903">
        <f t="shared" si="19"/>
        <v>-1.6194860145000014</v>
      </c>
      <c r="L579" s="904"/>
      <c r="M579" s="879"/>
      <c r="N579" s="877"/>
      <c r="O579" s="877"/>
    </row>
    <row r="580" spans="2:15" ht="15.75" customHeight="1">
      <c r="B580" s="778"/>
      <c r="C580" s="779"/>
      <c r="D580" s="378" t="s">
        <v>997</v>
      </c>
      <c r="E580" s="905">
        <v>9.0229999999999997</v>
      </c>
      <c r="F580" s="902">
        <f t="shared" si="15"/>
        <v>7.9853550000000002</v>
      </c>
      <c r="G580" s="1583">
        <f t="shared" si="16"/>
        <v>8.6712969945000005</v>
      </c>
      <c r="H580" s="1554"/>
      <c r="I580" s="903">
        <f t="shared" si="17"/>
        <v>1.0376449999999995</v>
      </c>
      <c r="J580" s="903">
        <f t="shared" si="18"/>
        <v>0.35170300549999922</v>
      </c>
      <c r="K580" s="903">
        <f t="shared" si="19"/>
        <v>-0.68594199450000026</v>
      </c>
      <c r="L580" s="904"/>
      <c r="M580" s="879"/>
      <c r="N580" s="877"/>
      <c r="O580" s="877"/>
    </row>
    <row r="581" spans="2:15" ht="15.75" customHeight="1">
      <c r="B581" s="778"/>
      <c r="C581" s="779"/>
      <c r="D581" s="378" t="s">
        <v>998</v>
      </c>
      <c r="E581" s="905">
        <v>43.390999999999998</v>
      </c>
      <c r="F581" s="902">
        <f t="shared" si="15"/>
        <v>38.401035</v>
      </c>
      <c r="G581" s="1583">
        <f t="shared" si="16"/>
        <v>41.699683906500006</v>
      </c>
      <c r="H581" s="1554"/>
      <c r="I581" s="903">
        <f t="shared" si="17"/>
        <v>4.989964999999998</v>
      </c>
      <c r="J581" s="903">
        <f t="shared" si="18"/>
        <v>1.6913160934999922</v>
      </c>
      <c r="K581" s="903">
        <f t="shared" si="19"/>
        <v>-3.2986489065000058</v>
      </c>
      <c r="L581" s="904"/>
      <c r="M581" s="879"/>
      <c r="N581" s="877"/>
      <c r="O581" s="877"/>
    </row>
    <row r="582" spans="2:15" ht="15.75" customHeight="1">
      <c r="B582" s="778"/>
      <c r="C582" s="779"/>
      <c r="D582" s="1584" t="s">
        <v>999</v>
      </c>
      <c r="E582" s="1553"/>
      <c r="F582" s="1553"/>
      <c r="G582" s="1553"/>
      <c r="H582" s="1553"/>
      <c r="I582" s="1553"/>
      <c r="J582" s="1554"/>
      <c r="K582" s="902">
        <f>SUM(K575:K581)</f>
        <v>-32.303359866000065</v>
      </c>
      <c r="L582" s="779"/>
      <c r="M582" s="879"/>
      <c r="N582" s="877"/>
      <c r="O582" s="877"/>
    </row>
    <row r="583" spans="2:15" ht="15.75" customHeight="1">
      <c r="B583" s="778"/>
      <c r="C583" s="779"/>
      <c r="D583" s="779"/>
      <c r="E583" s="69"/>
      <c r="F583" s="779"/>
      <c r="G583" s="779"/>
      <c r="H583" s="779"/>
      <c r="I583" s="779"/>
      <c r="J583" s="779"/>
      <c r="K583" s="779"/>
      <c r="L583" s="779"/>
      <c r="M583" s="879"/>
      <c r="N583" s="877"/>
      <c r="O583" s="877"/>
    </row>
    <row r="584" spans="2:15" ht="15.75" customHeight="1">
      <c r="B584" s="778"/>
      <c r="C584" s="779"/>
      <c r="D584" s="1575" t="s">
        <v>1000</v>
      </c>
      <c r="E584" s="1555"/>
      <c r="F584" s="1555"/>
      <c r="G584" s="1555"/>
      <c r="H584" s="1555"/>
      <c r="I584" s="1555"/>
      <c r="J584" s="1555"/>
      <c r="K584" s="1555"/>
      <c r="L584" s="1555"/>
      <c r="M584" s="879"/>
      <c r="N584" s="877"/>
      <c r="O584" s="877"/>
    </row>
    <row r="585" spans="2:15" ht="15.75" customHeight="1">
      <c r="B585" s="778"/>
      <c r="C585" s="779"/>
      <c r="D585" s="779"/>
      <c r="E585" s="69"/>
      <c r="F585" s="779"/>
      <c r="G585" s="779"/>
      <c r="H585" s="779"/>
      <c r="I585" s="779"/>
      <c r="J585" s="779"/>
      <c r="K585" s="779"/>
      <c r="L585" s="779"/>
      <c r="M585" s="879"/>
      <c r="N585" s="877"/>
      <c r="O585" s="877"/>
    </row>
    <row r="586" spans="2:15" ht="13.5">
      <c r="B586" s="778"/>
      <c r="C586" s="779"/>
      <c r="D586" s="1585" t="s">
        <v>1001</v>
      </c>
      <c r="E586" s="1555"/>
      <c r="F586" s="1555"/>
      <c r="G586" s="1555"/>
      <c r="H586" s="1555"/>
      <c r="I586" s="1555"/>
      <c r="J586" s="1555"/>
      <c r="K586" s="1555"/>
      <c r="L586" s="1555"/>
      <c r="M586" s="879"/>
      <c r="N586" s="877"/>
      <c r="O586" s="877"/>
    </row>
    <row r="587" spans="2:15" ht="15.75" customHeight="1">
      <c r="B587" s="778"/>
      <c r="C587" s="779"/>
      <c r="D587" s="880" t="s">
        <v>496</v>
      </c>
      <c r="E587" s="900" t="s">
        <v>1002</v>
      </c>
      <c r="F587" s="906" t="s">
        <v>1003</v>
      </c>
      <c r="G587" s="906" t="s">
        <v>1004</v>
      </c>
      <c r="H587" s="779"/>
      <c r="I587" s="779"/>
      <c r="J587" s="779"/>
      <c r="K587" s="779"/>
      <c r="L587" s="779"/>
      <c r="M587" s="879"/>
      <c r="N587" s="877"/>
      <c r="O587" s="877"/>
    </row>
    <row r="588" spans="2:15" ht="15.75" customHeight="1">
      <c r="B588" s="778"/>
      <c r="C588" s="779"/>
      <c r="D588" s="378">
        <v>2014</v>
      </c>
      <c r="E588" s="907">
        <v>0.17399999999999999</v>
      </c>
      <c r="F588" s="1572">
        <f>AVERAGE(E588:E597)</f>
        <v>8.589999999999999E-2</v>
      </c>
      <c r="G588" s="1572">
        <f>STDEV(E588:E597)</f>
        <v>5.1301830160119799E-2</v>
      </c>
      <c r="H588" s="779"/>
      <c r="I588" s="779"/>
      <c r="J588" s="779"/>
      <c r="K588" s="779"/>
      <c r="L588" s="779"/>
      <c r="M588" s="879"/>
      <c r="N588" s="877"/>
      <c r="O588" s="877"/>
    </row>
    <row r="589" spans="2:15" ht="15.75" customHeight="1">
      <c r="B589" s="778"/>
      <c r="C589" s="779"/>
      <c r="D589" s="378">
        <v>2015</v>
      </c>
      <c r="E589" s="907">
        <v>0.128</v>
      </c>
      <c r="F589" s="1573"/>
      <c r="G589" s="1573"/>
      <c r="H589" s="779"/>
      <c r="I589" s="779"/>
      <c r="J589" s="779"/>
      <c r="K589" s="779"/>
      <c r="L589" s="779"/>
      <c r="M589" s="879"/>
      <c r="N589" s="877"/>
      <c r="O589" s="877"/>
    </row>
    <row r="590" spans="2:15" ht="15.75" customHeight="1">
      <c r="B590" s="778"/>
      <c r="C590" s="779"/>
      <c r="D590" s="378">
        <v>2016</v>
      </c>
      <c r="E590" s="907">
        <v>0.11600000000000001</v>
      </c>
      <c r="F590" s="1573"/>
      <c r="G590" s="1573"/>
      <c r="H590" s="779"/>
      <c r="I590" s="779"/>
      <c r="J590" s="779"/>
      <c r="K590" s="779"/>
      <c r="L590" s="779"/>
      <c r="M590" s="879"/>
      <c r="N590" s="877"/>
      <c r="O590" s="877"/>
    </row>
    <row r="591" spans="2:15" ht="15.75" customHeight="1">
      <c r="B591" s="778"/>
      <c r="C591" s="779"/>
      <c r="D591" s="378">
        <v>2017</v>
      </c>
      <c r="E591" s="907">
        <v>8.3000000000000004E-2</v>
      </c>
      <c r="F591" s="1573"/>
      <c r="G591" s="1573"/>
      <c r="H591" s="779"/>
      <c r="I591" s="779"/>
      <c r="J591" s="779"/>
      <c r="K591" s="779"/>
      <c r="L591" s="779"/>
      <c r="M591" s="879"/>
      <c r="N591" s="877"/>
      <c r="O591" s="877"/>
    </row>
    <row r="592" spans="2:15" ht="15.75" customHeight="1">
      <c r="B592" s="778"/>
      <c r="C592" s="779"/>
      <c r="D592" s="378">
        <v>2018</v>
      </c>
      <c r="E592" s="907">
        <v>8.2000000000000003E-2</v>
      </c>
      <c r="F592" s="1573"/>
      <c r="G592" s="1573"/>
      <c r="H592" s="779"/>
      <c r="I592" s="779"/>
      <c r="J592" s="779"/>
      <c r="K592" s="779"/>
      <c r="L592" s="779"/>
      <c r="M592" s="879"/>
      <c r="N592" s="877"/>
      <c r="O592" s="877"/>
    </row>
    <row r="593" spans="2:18" ht="15.75" customHeight="1">
      <c r="B593" s="778"/>
      <c r="C593" s="779"/>
      <c r="D593" s="378">
        <v>2019</v>
      </c>
      <c r="E593" s="908">
        <v>0.08</v>
      </c>
      <c r="F593" s="1573"/>
      <c r="G593" s="1573"/>
      <c r="H593" s="779"/>
      <c r="I593" s="779"/>
      <c r="J593" s="779"/>
      <c r="K593" s="779"/>
      <c r="L593" s="779"/>
      <c r="M593" s="879"/>
      <c r="N593" s="877"/>
      <c r="O593" s="877"/>
    </row>
    <row r="594" spans="2:18" ht="15.75" customHeight="1">
      <c r="B594" s="778"/>
      <c r="C594" s="779"/>
      <c r="D594" s="378">
        <v>2020</v>
      </c>
      <c r="E594" s="907">
        <v>8.5000000000000006E-2</v>
      </c>
      <c r="F594" s="1573"/>
      <c r="G594" s="1573"/>
      <c r="H594" s="779"/>
      <c r="I594" s="779"/>
      <c r="J594" s="779"/>
      <c r="K594" s="779"/>
      <c r="L594" s="779"/>
      <c r="M594" s="879"/>
      <c r="N594" s="877"/>
      <c r="O594" s="877"/>
    </row>
    <row r="595" spans="2:18" ht="15.75" customHeight="1">
      <c r="B595" s="778"/>
      <c r="C595" s="779"/>
      <c r="D595" s="378">
        <v>2021</v>
      </c>
      <c r="E595" s="908">
        <v>0</v>
      </c>
      <c r="F595" s="1573"/>
      <c r="G595" s="1573"/>
      <c r="H595" s="779"/>
      <c r="I595" s="779"/>
      <c r="J595" s="779"/>
      <c r="K595" s="779"/>
      <c r="L595" s="779"/>
      <c r="M595" s="879"/>
      <c r="N595" s="877"/>
      <c r="O595" s="877"/>
    </row>
    <row r="596" spans="2:18" ht="15.75" customHeight="1">
      <c r="B596" s="778"/>
      <c r="C596" s="779"/>
      <c r="D596" s="378">
        <v>2022</v>
      </c>
      <c r="E596" s="907">
        <v>1.0999999999999999E-2</v>
      </c>
      <c r="F596" s="1573"/>
      <c r="G596" s="1573"/>
      <c r="H596" s="779"/>
      <c r="I596" s="779"/>
      <c r="J596" s="779"/>
      <c r="K596" s="779"/>
      <c r="L596" s="779"/>
      <c r="M596" s="879"/>
      <c r="N596" s="877"/>
      <c r="O596" s="877"/>
    </row>
    <row r="597" spans="2:18" ht="15.75" customHeight="1">
      <c r="B597" s="778"/>
      <c r="C597" s="779"/>
      <c r="D597" s="378">
        <v>2023</v>
      </c>
      <c r="E597" s="908">
        <v>0.1</v>
      </c>
      <c r="F597" s="1574"/>
      <c r="G597" s="1574"/>
      <c r="H597" s="779"/>
      <c r="I597" s="779"/>
      <c r="J597" s="779"/>
      <c r="K597" s="779"/>
      <c r="L597" s="779"/>
      <c r="M597" s="879"/>
      <c r="N597" s="877"/>
      <c r="O597" s="877"/>
    </row>
    <row r="598" spans="2:18" ht="15.75" customHeight="1">
      <c r="B598" s="778"/>
      <c r="C598" s="779"/>
      <c r="D598" s="779"/>
      <c r="E598" s="779"/>
      <c r="F598" s="779"/>
      <c r="G598" s="779"/>
      <c r="H598" s="779"/>
      <c r="I598" s="779"/>
      <c r="J598" s="779"/>
      <c r="K598" s="779"/>
      <c r="L598" s="779"/>
      <c r="M598" s="879"/>
      <c r="N598" s="877"/>
      <c r="O598" s="877"/>
    </row>
    <row r="599" spans="2:18" ht="32.25" customHeight="1">
      <c r="B599" s="778"/>
      <c r="C599" s="779"/>
      <c r="D599" s="1575" t="s">
        <v>1005</v>
      </c>
      <c r="E599" s="1555"/>
      <c r="F599" s="1555"/>
      <c r="G599" s="1555"/>
      <c r="H599" s="1555"/>
      <c r="I599" s="1555"/>
      <c r="J599" s="1555"/>
      <c r="K599" s="1555"/>
      <c r="L599" s="1555"/>
      <c r="M599" s="879"/>
      <c r="N599" s="877"/>
      <c r="O599" s="877"/>
    </row>
    <row r="600" spans="2:18" ht="15.75" customHeight="1" thickBot="1">
      <c r="B600" s="909"/>
      <c r="C600" s="796"/>
      <c r="D600" s="796"/>
      <c r="E600" s="796"/>
      <c r="F600" s="796"/>
      <c r="G600" s="796"/>
      <c r="H600" s="796"/>
      <c r="I600" s="796"/>
      <c r="J600" s="796"/>
      <c r="K600" s="796"/>
      <c r="L600" s="796"/>
      <c r="M600" s="797"/>
      <c r="N600" s="877"/>
      <c r="O600" s="877"/>
    </row>
    <row r="601" spans="2:18" ht="15.75" customHeight="1"/>
    <row r="602" spans="2:18" ht="15.75" customHeight="1" thickBot="1"/>
    <row r="603" spans="2:18" ht="15.75" customHeight="1">
      <c r="B603" s="757"/>
      <c r="C603" s="399" t="s">
        <v>1006</v>
      </c>
      <c r="D603" s="758"/>
      <c r="E603" s="758"/>
      <c r="F603" s="758"/>
      <c r="G603" s="758"/>
      <c r="H603" s="758"/>
      <c r="I603" s="758"/>
      <c r="J603" s="758"/>
      <c r="K603" s="758"/>
      <c r="L603" s="758"/>
      <c r="M603" s="759"/>
    </row>
    <row r="604" spans="2:18" ht="15.75" customHeight="1">
      <c r="B604" s="760"/>
      <c r="C604" s="407"/>
      <c r="D604" s="407"/>
      <c r="E604" s="407"/>
      <c r="F604" s="69"/>
      <c r="G604" s="69"/>
      <c r="H604" s="69"/>
      <c r="I604" s="69"/>
      <c r="J604" s="69"/>
      <c r="K604" s="69"/>
      <c r="L604" s="69"/>
      <c r="M604" s="761"/>
    </row>
    <row r="605" spans="2:18" ht="21.75" customHeight="1">
      <c r="B605" s="760"/>
      <c r="C605" s="407"/>
      <c r="D605" s="859" t="s">
        <v>1007</v>
      </c>
      <c r="E605" s="910"/>
      <c r="G605" s="69"/>
      <c r="H605" s="69"/>
      <c r="I605" s="69"/>
      <c r="J605" s="69"/>
      <c r="K605" s="69"/>
      <c r="L605" s="69"/>
      <c r="M605" s="761"/>
    </row>
    <row r="606" spans="2:18" ht="15.75" customHeight="1">
      <c r="B606" s="760"/>
      <c r="C606" s="407"/>
      <c r="D606" s="407"/>
      <c r="E606" s="407"/>
      <c r="F606" s="69"/>
      <c r="G606" s="69"/>
      <c r="H606" s="69"/>
      <c r="I606" s="69"/>
      <c r="J606" s="69"/>
      <c r="K606" s="69"/>
      <c r="L606" s="69"/>
      <c r="M606" s="761"/>
    </row>
    <row r="607" spans="2:18" ht="15.75" customHeight="1">
      <c r="B607" s="760"/>
      <c r="C607" s="911">
        <v>1</v>
      </c>
      <c r="D607" s="83" t="s">
        <v>1008</v>
      </c>
      <c r="E607" s="131"/>
      <c r="F607" s="131"/>
      <c r="G607" s="131"/>
      <c r="H607" s="131"/>
      <c r="I607" s="131"/>
      <c r="J607" s="131"/>
      <c r="K607" s="131"/>
      <c r="L607" s="131"/>
      <c r="M607" s="413"/>
      <c r="N607" s="2"/>
      <c r="O607" s="2"/>
      <c r="P607" s="2"/>
      <c r="Q607" s="2"/>
      <c r="R607" s="2"/>
    </row>
    <row r="608" spans="2:18" ht="34.5" customHeight="1">
      <c r="B608" s="760"/>
      <c r="C608" s="137"/>
      <c r="D608" s="1543" t="s">
        <v>1009</v>
      </c>
      <c r="E608" s="1555"/>
      <c r="F608" s="1555"/>
      <c r="G608" s="1555"/>
      <c r="H608" s="1555"/>
      <c r="I608" s="1555"/>
      <c r="J608" s="1555"/>
      <c r="K608" s="1555"/>
      <c r="L608" s="1555"/>
      <c r="M608" s="413"/>
      <c r="N608" s="2"/>
      <c r="O608" s="2"/>
      <c r="P608" s="2"/>
      <c r="Q608" s="2"/>
      <c r="R608" s="2"/>
    </row>
    <row r="609" spans="2:18" ht="15.75" customHeight="1">
      <c r="B609" s="760"/>
      <c r="C609" s="137"/>
      <c r="D609" s="69" t="s">
        <v>1010</v>
      </c>
      <c r="E609" s="69"/>
      <c r="F609" s="69"/>
      <c r="G609" s="69"/>
      <c r="H609" s="69"/>
      <c r="I609" s="69"/>
      <c r="J609" s="69"/>
      <c r="K609" s="69"/>
      <c r="L609" s="69"/>
      <c r="M609" s="413"/>
      <c r="N609" s="2"/>
      <c r="O609" s="2"/>
      <c r="P609" s="2"/>
      <c r="Q609" s="2"/>
      <c r="R609" s="2"/>
    </row>
    <row r="610" spans="2:18" ht="15.75" customHeight="1">
      <c r="B610" s="760"/>
      <c r="C610" s="137"/>
      <c r="D610" s="900" t="s">
        <v>323</v>
      </c>
      <c r="E610" s="900" t="s">
        <v>1011</v>
      </c>
      <c r="F610" s="900" t="s">
        <v>1012</v>
      </c>
      <c r="G610" s="900" t="s">
        <v>568</v>
      </c>
      <c r="H610" s="900" t="s">
        <v>1013</v>
      </c>
      <c r="I610" s="900" t="s">
        <v>629</v>
      </c>
      <c r="J610" s="69"/>
      <c r="K610" s="69"/>
      <c r="L610" s="69"/>
      <c r="M610" s="413"/>
      <c r="N610" s="2"/>
      <c r="O610" s="2"/>
      <c r="P610" s="2"/>
      <c r="Q610" s="2"/>
      <c r="R610" s="2"/>
    </row>
    <row r="611" spans="2:18" ht="15.75" customHeight="1">
      <c r="B611" s="760"/>
      <c r="C611" s="137"/>
      <c r="D611" s="901" t="s">
        <v>453</v>
      </c>
      <c r="E611" s="912">
        <v>1425</v>
      </c>
      <c r="F611" s="913">
        <v>1427.83</v>
      </c>
      <c r="G611" s="914">
        <f t="shared" ref="G611:G612" si="20">F611-E611</f>
        <v>2.8299999999999272</v>
      </c>
      <c r="H611" s="915">
        <v>276919307</v>
      </c>
      <c r="I611" s="916">
        <v>395392390907</v>
      </c>
      <c r="J611" s="69"/>
      <c r="K611" s="69"/>
      <c r="L611" s="69"/>
      <c r="M611" s="413"/>
      <c r="N611" s="2"/>
      <c r="O611" s="2"/>
      <c r="P611" s="2"/>
      <c r="Q611" s="2"/>
      <c r="R611" s="2"/>
    </row>
    <row r="612" spans="2:18" ht="15.75" customHeight="1">
      <c r="B612" s="760"/>
      <c r="C612" s="137"/>
      <c r="D612" s="901" t="s">
        <v>454</v>
      </c>
      <c r="E612" s="912">
        <v>1479</v>
      </c>
      <c r="F612" s="913">
        <v>1434.92</v>
      </c>
      <c r="G612" s="914">
        <f t="shared" si="20"/>
        <v>-44.079999999999927</v>
      </c>
      <c r="H612" s="915">
        <v>266928174</v>
      </c>
      <c r="I612" s="916">
        <v>383019435954</v>
      </c>
      <c r="J612" s="69"/>
      <c r="K612" s="69"/>
      <c r="L612" s="69"/>
      <c r="M612" s="413"/>
      <c r="N612" s="2"/>
      <c r="O612" s="2"/>
      <c r="P612" s="2"/>
      <c r="Q612" s="2"/>
      <c r="R612" s="2"/>
    </row>
    <row r="613" spans="2:18" ht="15.75" customHeight="1">
      <c r="B613" s="760"/>
      <c r="C613" s="137"/>
      <c r="D613" s="901" t="s">
        <v>455</v>
      </c>
      <c r="E613" s="912">
        <v>1436</v>
      </c>
      <c r="F613" s="917"/>
      <c r="G613" s="917"/>
      <c r="H613" s="918">
        <v>281224128</v>
      </c>
      <c r="I613" s="916">
        <v>403971637982</v>
      </c>
      <c r="J613" s="69"/>
      <c r="K613" s="69"/>
      <c r="L613" s="69"/>
      <c r="M613" s="413"/>
      <c r="N613" s="2"/>
      <c r="O613" s="2"/>
      <c r="P613" s="2"/>
      <c r="Q613" s="2"/>
      <c r="R613" s="2"/>
    </row>
    <row r="614" spans="2:18" ht="15.75" customHeight="1">
      <c r="B614" s="760"/>
      <c r="C614" s="137"/>
      <c r="D614" s="901" t="s">
        <v>456</v>
      </c>
      <c r="E614" s="912">
        <v>1399</v>
      </c>
      <c r="F614" s="917"/>
      <c r="G614" s="917"/>
      <c r="H614" s="918">
        <v>279905139</v>
      </c>
      <c r="I614" s="916">
        <v>391721725050</v>
      </c>
      <c r="J614" s="69"/>
      <c r="K614" s="69"/>
      <c r="L614" s="69"/>
      <c r="M614" s="413"/>
      <c r="N614" s="2"/>
      <c r="O614" s="2"/>
      <c r="P614" s="2"/>
      <c r="Q614" s="2"/>
      <c r="R614" s="2"/>
    </row>
    <row r="615" spans="2:18" ht="15.75" customHeight="1">
      <c r="B615" s="760"/>
      <c r="C615" s="137"/>
      <c r="D615" s="901" t="s">
        <v>913</v>
      </c>
      <c r="E615" s="912">
        <v>1413</v>
      </c>
      <c r="F615" s="917"/>
      <c r="G615" s="917"/>
      <c r="H615" s="918">
        <v>293789699</v>
      </c>
      <c r="I615" s="916">
        <v>415270259323</v>
      </c>
      <c r="J615" s="69"/>
      <c r="K615" s="69"/>
      <c r="L615" s="69"/>
      <c r="M615" s="413"/>
      <c r="N615" s="2"/>
      <c r="O615" s="2"/>
      <c r="P615" s="2"/>
      <c r="Q615" s="2"/>
      <c r="R615" s="2"/>
    </row>
    <row r="616" spans="2:18" ht="15.75" customHeight="1">
      <c r="B616" s="760"/>
      <c r="C616" s="137"/>
      <c r="D616" s="901" t="s">
        <v>457</v>
      </c>
      <c r="E616" s="912">
        <v>1433</v>
      </c>
      <c r="F616" s="917"/>
      <c r="G616" s="917"/>
      <c r="H616" s="918">
        <v>280969307</v>
      </c>
      <c r="I616" s="916">
        <v>402661226800</v>
      </c>
      <c r="J616" s="69"/>
      <c r="K616" s="69"/>
      <c r="L616" s="69"/>
      <c r="M616" s="413"/>
      <c r="N616" s="2"/>
      <c r="O616" s="2"/>
      <c r="P616" s="2"/>
      <c r="Q616" s="2"/>
      <c r="R616" s="2"/>
    </row>
    <row r="617" spans="2:18" ht="15.75" customHeight="1">
      <c r="B617" s="760"/>
      <c r="C617" s="137"/>
      <c r="D617" s="901" t="s">
        <v>458</v>
      </c>
      <c r="E617" s="912">
        <v>1388</v>
      </c>
      <c r="F617" s="917"/>
      <c r="G617" s="917"/>
      <c r="H617" s="918">
        <v>308295546</v>
      </c>
      <c r="I617" s="916">
        <v>427831566340</v>
      </c>
      <c r="J617" s="69"/>
      <c r="K617" s="69"/>
      <c r="L617" s="69"/>
      <c r="M617" s="413"/>
      <c r="N617" s="2"/>
      <c r="O617" s="2"/>
      <c r="P617" s="2"/>
      <c r="Q617" s="2"/>
      <c r="R617" s="2"/>
    </row>
    <row r="618" spans="2:18" ht="15.75" customHeight="1">
      <c r="B618" s="760"/>
      <c r="C618" s="137"/>
      <c r="D618" s="901" t="s">
        <v>914</v>
      </c>
      <c r="E618" s="912">
        <v>1420</v>
      </c>
      <c r="F618" s="917"/>
      <c r="G618" s="917"/>
      <c r="H618" s="918">
        <v>304416848</v>
      </c>
      <c r="I618" s="916">
        <v>432402993389</v>
      </c>
      <c r="J618" s="69"/>
      <c r="K618" s="69"/>
      <c r="L618" s="69"/>
      <c r="M618" s="413"/>
      <c r="N618" s="2"/>
      <c r="O618" s="2"/>
      <c r="P618" s="2"/>
      <c r="Q618" s="2"/>
      <c r="R618" s="2"/>
    </row>
    <row r="619" spans="2:18" ht="15.75" customHeight="1">
      <c r="B619" s="760"/>
      <c r="C619" s="137"/>
      <c r="D619" s="901" t="s">
        <v>460</v>
      </c>
      <c r="E619" s="912">
        <v>1442</v>
      </c>
      <c r="F619" s="917"/>
      <c r="G619" s="917"/>
      <c r="H619" s="918">
        <v>288668800</v>
      </c>
      <c r="I619" s="916">
        <v>416363533269</v>
      </c>
      <c r="J619" s="69"/>
      <c r="K619" s="69"/>
      <c r="L619" s="69"/>
      <c r="M619" s="413"/>
      <c r="N619" s="2"/>
      <c r="O619" s="2"/>
      <c r="P619" s="2"/>
      <c r="Q619" s="2"/>
      <c r="R619" s="2"/>
    </row>
    <row r="620" spans="2:18" ht="15.75" customHeight="1">
      <c r="B620" s="760"/>
      <c r="C620" s="137"/>
      <c r="D620" s="901" t="s">
        <v>915</v>
      </c>
      <c r="E620" s="912">
        <v>1427</v>
      </c>
      <c r="F620" s="917"/>
      <c r="G620" s="917"/>
      <c r="H620" s="918">
        <v>305165366</v>
      </c>
      <c r="I620" s="916">
        <v>435594985757</v>
      </c>
      <c r="J620" s="69"/>
      <c r="K620" s="69"/>
      <c r="L620" s="69"/>
      <c r="M620" s="413"/>
      <c r="N620" s="2"/>
      <c r="O620" s="2"/>
      <c r="P620" s="2"/>
      <c r="Q620" s="2"/>
      <c r="R620" s="2"/>
    </row>
    <row r="621" spans="2:18" ht="15.75" customHeight="1">
      <c r="B621" s="760"/>
      <c r="C621" s="137"/>
      <c r="D621" s="901" t="s">
        <v>462</v>
      </c>
      <c r="E621" s="912">
        <v>1460</v>
      </c>
      <c r="F621" s="917"/>
      <c r="G621" s="917"/>
      <c r="H621" s="918">
        <v>288657033</v>
      </c>
      <c r="I621" s="916">
        <v>421344301118</v>
      </c>
      <c r="J621" s="69"/>
      <c r="K621" s="69"/>
      <c r="L621" s="69"/>
      <c r="M621" s="413"/>
      <c r="N621" s="2"/>
      <c r="O621" s="2"/>
      <c r="P621" s="2"/>
      <c r="Q621" s="2"/>
      <c r="R621" s="2"/>
    </row>
    <row r="622" spans="2:18" ht="15.75" customHeight="1">
      <c r="B622" s="760"/>
      <c r="C622" s="137"/>
      <c r="D622" s="901" t="s">
        <v>916</v>
      </c>
      <c r="E622" s="912">
        <v>1456</v>
      </c>
      <c r="F622" s="919"/>
      <c r="G622" s="919"/>
      <c r="H622" s="918">
        <v>301265084</v>
      </c>
      <c r="I622" s="916">
        <v>438555839553</v>
      </c>
      <c r="J622" s="69"/>
      <c r="K622" s="69"/>
      <c r="L622" s="69"/>
      <c r="M622" s="413"/>
      <c r="N622" s="2"/>
      <c r="O622" s="2"/>
      <c r="P622" s="2"/>
      <c r="Q622" s="2"/>
      <c r="R622" s="2"/>
    </row>
    <row r="623" spans="2:18" ht="15.75" customHeight="1">
      <c r="B623" s="760"/>
      <c r="C623" s="137"/>
      <c r="D623" s="901"/>
      <c r="E623" s="905">
        <v>1431.68</v>
      </c>
      <c r="F623" s="920">
        <f>AVERAGE(F611:F622)</f>
        <v>1431.375</v>
      </c>
      <c r="G623" s="905">
        <f>E623-F623</f>
        <v>0.30500000000006366</v>
      </c>
      <c r="H623" s="921">
        <f>SUM(H611:H622)</f>
        <v>3476204431</v>
      </c>
      <c r="I623" s="922">
        <f>G623*H623</f>
        <v>1060242351.4552213</v>
      </c>
      <c r="J623" s="69"/>
      <c r="K623" s="69"/>
      <c r="L623" s="69"/>
      <c r="M623" s="413"/>
      <c r="N623" s="2"/>
      <c r="O623" s="2"/>
      <c r="P623" s="2"/>
      <c r="Q623" s="2"/>
      <c r="R623" s="2"/>
    </row>
    <row r="624" spans="2:18" ht="15.75" customHeight="1">
      <c r="B624" s="760"/>
      <c r="C624" s="137"/>
      <c r="D624" s="69"/>
      <c r="E624" s="69"/>
      <c r="F624" s="69"/>
      <c r="G624" s="69"/>
      <c r="H624" s="69"/>
      <c r="I624" s="69"/>
      <c r="J624" s="69"/>
      <c r="K624" s="69"/>
      <c r="L624" s="69"/>
      <c r="M624" s="413"/>
      <c r="N624" s="2"/>
      <c r="O624" s="2"/>
      <c r="P624" s="2"/>
      <c r="Q624" s="2"/>
      <c r="R624" s="2"/>
    </row>
    <row r="625" spans="2:18" ht="42.75" customHeight="1">
      <c r="B625" s="760"/>
      <c r="C625" s="137"/>
      <c r="D625" s="1543" t="s">
        <v>1014</v>
      </c>
      <c r="E625" s="1555"/>
      <c r="F625" s="1555"/>
      <c r="G625" s="1555"/>
      <c r="H625" s="1555"/>
      <c r="I625" s="1555"/>
      <c r="J625" s="1555"/>
      <c r="K625" s="1555"/>
      <c r="L625" s="1555"/>
      <c r="M625" s="413"/>
      <c r="N625" s="2"/>
      <c r="O625" s="2"/>
      <c r="P625" s="2"/>
      <c r="Q625" s="2"/>
      <c r="R625" s="2"/>
    </row>
    <row r="626" spans="2:18" ht="15.75" customHeight="1">
      <c r="B626" s="760"/>
      <c r="C626" s="137"/>
      <c r="D626" s="69"/>
      <c r="E626" s="69"/>
      <c r="F626" s="69"/>
      <c r="G626" s="69"/>
      <c r="H626" s="69"/>
      <c r="I626" s="69"/>
      <c r="J626" s="69"/>
      <c r="K626" s="69"/>
      <c r="L626" s="69"/>
      <c r="M626" s="413"/>
      <c r="N626" s="2"/>
      <c r="O626" s="2"/>
      <c r="P626" s="2"/>
      <c r="Q626" s="2"/>
      <c r="R626" s="2"/>
    </row>
    <row r="627" spans="2:18" ht="15.75" customHeight="1">
      <c r="B627" s="760"/>
      <c r="C627" s="137"/>
      <c r="D627" s="1576">
        <v>2023</v>
      </c>
      <c r="E627" s="1577"/>
      <c r="F627" s="1578"/>
      <c r="G627" s="1579">
        <v>2022</v>
      </c>
      <c r="H627" s="1580"/>
      <c r="I627" s="1581"/>
      <c r="J627" s="1582">
        <v>2021</v>
      </c>
      <c r="K627" s="1577"/>
      <c r="L627" s="1578"/>
      <c r="M627" s="413"/>
      <c r="N627" s="2"/>
      <c r="O627" s="2"/>
      <c r="P627" s="2"/>
      <c r="Q627" s="2"/>
      <c r="R627" s="2"/>
    </row>
    <row r="628" spans="2:18" ht="15.75" customHeight="1">
      <c r="B628" s="760"/>
      <c r="C628" s="137"/>
      <c r="D628" s="888" t="s">
        <v>1015</v>
      </c>
      <c r="E628" s="888" t="s">
        <v>1016</v>
      </c>
      <c r="F628" s="888" t="s">
        <v>568</v>
      </c>
      <c r="G628" s="888" t="s">
        <v>1015</v>
      </c>
      <c r="H628" s="888" t="s">
        <v>1016</v>
      </c>
      <c r="I628" s="888" t="s">
        <v>568</v>
      </c>
      <c r="J628" s="888" t="s">
        <v>1015</v>
      </c>
      <c r="K628" s="888" t="s">
        <v>1016</v>
      </c>
      <c r="L628" s="888" t="s">
        <v>568</v>
      </c>
      <c r="M628" s="413"/>
      <c r="N628" s="2"/>
      <c r="O628" s="2"/>
      <c r="P628" s="2"/>
      <c r="Q628" s="2"/>
      <c r="R628" s="2"/>
    </row>
    <row r="629" spans="2:18" ht="15.75" customHeight="1">
      <c r="B629" s="760"/>
      <c r="C629" s="137"/>
      <c r="D629" s="923">
        <v>1433</v>
      </c>
      <c r="E629" s="924">
        <v>1462</v>
      </c>
      <c r="F629" s="925">
        <v>-29</v>
      </c>
      <c r="G629" s="924">
        <v>1428</v>
      </c>
      <c r="H629" s="924">
        <v>1438</v>
      </c>
      <c r="I629" s="925">
        <v>-10</v>
      </c>
      <c r="J629" s="926">
        <v>1452</v>
      </c>
      <c r="K629" s="927">
        <v>1446</v>
      </c>
      <c r="L629" s="928">
        <v>6</v>
      </c>
      <c r="M629" s="413"/>
      <c r="N629" s="2"/>
      <c r="O629" s="2"/>
      <c r="P629" s="2"/>
      <c r="Q629" s="2"/>
      <c r="R629" s="2"/>
    </row>
    <row r="630" spans="2:18" ht="15.75" customHeight="1">
      <c r="B630" s="760"/>
      <c r="C630" s="137"/>
      <c r="D630" s="923">
        <v>1451</v>
      </c>
      <c r="E630" s="929">
        <v>1461</v>
      </c>
      <c r="F630" s="930">
        <v>-10</v>
      </c>
      <c r="G630" s="929">
        <v>1459</v>
      </c>
      <c r="H630" s="929">
        <v>1441</v>
      </c>
      <c r="I630" s="931">
        <v>18</v>
      </c>
      <c r="J630" s="926">
        <v>1460</v>
      </c>
      <c r="K630" s="932">
        <v>1441</v>
      </c>
      <c r="L630" s="931">
        <v>19</v>
      </c>
      <c r="M630" s="413"/>
      <c r="N630" s="2"/>
      <c r="O630" s="2"/>
      <c r="P630" s="2"/>
      <c r="Q630" s="2"/>
      <c r="R630" s="2"/>
    </row>
    <row r="631" spans="2:18" ht="15.75" customHeight="1">
      <c r="B631" s="760"/>
      <c r="C631" s="137"/>
      <c r="D631" s="923">
        <v>1425</v>
      </c>
      <c r="E631" s="929">
        <v>1443</v>
      </c>
      <c r="F631" s="930">
        <v>-18</v>
      </c>
      <c r="G631" s="929">
        <v>1415</v>
      </c>
      <c r="H631" s="929">
        <v>1441</v>
      </c>
      <c r="I631" s="930">
        <v>-26</v>
      </c>
      <c r="J631" s="926">
        <v>1418</v>
      </c>
      <c r="K631" s="932">
        <v>1437</v>
      </c>
      <c r="L631" s="930">
        <v>-19</v>
      </c>
      <c r="M631" s="413"/>
      <c r="N631" s="2"/>
      <c r="O631" s="2"/>
      <c r="P631" s="2"/>
      <c r="Q631" s="2"/>
      <c r="R631" s="2"/>
    </row>
    <row r="632" spans="2:18" ht="15.75" customHeight="1">
      <c r="B632" s="760"/>
      <c r="C632" s="137"/>
      <c r="D632" s="923">
        <v>1424</v>
      </c>
      <c r="E632" s="929">
        <v>1451</v>
      </c>
      <c r="F632" s="930">
        <v>-27</v>
      </c>
      <c r="G632" s="929">
        <v>1419</v>
      </c>
      <c r="H632" s="929">
        <v>1441</v>
      </c>
      <c r="I632" s="930">
        <v>-22</v>
      </c>
      <c r="J632" s="926">
        <v>1424</v>
      </c>
      <c r="K632" s="932">
        <v>1430</v>
      </c>
      <c r="L632" s="930">
        <v>-6</v>
      </c>
      <c r="M632" s="413"/>
      <c r="N632" s="2"/>
      <c r="O632" s="2"/>
      <c r="P632" s="2"/>
      <c r="Q632" s="2"/>
      <c r="R632" s="2"/>
    </row>
    <row r="633" spans="2:18" ht="15.75" customHeight="1">
      <c r="B633" s="760"/>
      <c r="C633" s="137"/>
      <c r="D633" s="923">
        <v>1407</v>
      </c>
      <c r="E633" s="929">
        <v>1436</v>
      </c>
      <c r="F633" s="930">
        <v>-29</v>
      </c>
      <c r="G633" s="929">
        <v>1412</v>
      </c>
      <c r="H633" s="929">
        <v>1445</v>
      </c>
      <c r="I633" s="930">
        <v>-34</v>
      </c>
      <c r="J633" s="926">
        <v>1434</v>
      </c>
      <c r="K633" s="932">
        <v>1431</v>
      </c>
      <c r="L633" s="931">
        <v>3</v>
      </c>
      <c r="M633" s="413"/>
      <c r="N633" s="2"/>
      <c r="O633" s="2"/>
      <c r="P633" s="2"/>
      <c r="Q633" s="2"/>
      <c r="R633" s="2"/>
    </row>
    <row r="634" spans="2:18" ht="15.75" customHeight="1">
      <c r="B634" s="760"/>
      <c r="C634" s="137"/>
      <c r="D634" s="923">
        <v>1413</v>
      </c>
      <c r="E634" s="929">
        <v>1436</v>
      </c>
      <c r="F634" s="930">
        <v>-23</v>
      </c>
      <c r="G634" s="929">
        <v>1420</v>
      </c>
      <c r="H634" s="929">
        <v>1443</v>
      </c>
      <c r="I634" s="930">
        <v>-23</v>
      </c>
      <c r="J634" s="926">
        <v>1434</v>
      </c>
      <c r="K634" s="932">
        <v>1423</v>
      </c>
      <c r="L634" s="931">
        <v>11</v>
      </c>
      <c r="M634" s="413"/>
      <c r="N634" s="2"/>
      <c r="O634" s="2"/>
      <c r="P634" s="2"/>
      <c r="Q634" s="2"/>
      <c r="R634" s="2"/>
    </row>
    <row r="635" spans="2:18" ht="15.75" customHeight="1">
      <c r="B635" s="760"/>
      <c r="C635" s="137"/>
      <c r="D635" s="923">
        <v>1411</v>
      </c>
      <c r="E635" s="929">
        <v>1430</v>
      </c>
      <c r="F635" s="930">
        <v>-19</v>
      </c>
      <c r="G635" s="929">
        <v>1412</v>
      </c>
      <c r="H635" s="929">
        <v>1440</v>
      </c>
      <c r="I635" s="930">
        <v>-28</v>
      </c>
      <c r="J635" s="926">
        <v>1433</v>
      </c>
      <c r="K635" s="932">
        <v>1418</v>
      </c>
      <c r="L635" s="931">
        <v>15</v>
      </c>
      <c r="M635" s="413"/>
      <c r="N635" s="2"/>
      <c r="O635" s="2"/>
      <c r="P635" s="2"/>
      <c r="Q635" s="2"/>
      <c r="R635" s="2"/>
    </row>
    <row r="636" spans="2:18" ht="15.75" customHeight="1">
      <c r="B636" s="760"/>
      <c r="C636" s="137"/>
      <c r="D636" s="923">
        <v>1417</v>
      </c>
      <c r="E636" s="929">
        <v>1446</v>
      </c>
      <c r="F636" s="930">
        <v>-29</v>
      </c>
      <c r="G636" s="929">
        <v>1413</v>
      </c>
      <c r="H636" s="929">
        <v>1437</v>
      </c>
      <c r="I636" s="930">
        <v>-24</v>
      </c>
      <c r="J636" s="926">
        <v>1436</v>
      </c>
      <c r="K636" s="932">
        <v>1414</v>
      </c>
      <c r="L636" s="931">
        <v>22</v>
      </c>
      <c r="M636" s="413"/>
      <c r="N636" s="2"/>
      <c r="O636" s="2"/>
      <c r="P636" s="2"/>
      <c r="Q636" s="2"/>
      <c r="R636" s="2"/>
    </row>
    <row r="637" spans="2:18" ht="15.75" customHeight="1">
      <c r="B637" s="760"/>
      <c r="C637" s="137"/>
      <c r="D637" s="923">
        <v>1426</v>
      </c>
      <c r="E637" s="929">
        <v>1446</v>
      </c>
      <c r="F637" s="930">
        <v>-20</v>
      </c>
      <c r="G637" s="929">
        <v>1427</v>
      </c>
      <c r="H637" s="929">
        <v>1439</v>
      </c>
      <c r="I637" s="930">
        <v>-12</v>
      </c>
      <c r="J637" s="926">
        <v>1431</v>
      </c>
      <c r="K637" s="932">
        <v>1407</v>
      </c>
      <c r="L637" s="931">
        <v>24</v>
      </c>
      <c r="M637" s="413"/>
      <c r="N637" s="2"/>
      <c r="O637" s="2"/>
      <c r="P637" s="2"/>
      <c r="Q637" s="2"/>
      <c r="R637" s="2"/>
    </row>
    <row r="638" spans="2:18" ht="15.75" customHeight="1">
      <c r="B638" s="760"/>
      <c r="C638" s="137"/>
      <c r="D638" s="923">
        <v>1414</v>
      </c>
      <c r="E638" s="929">
        <v>1434</v>
      </c>
      <c r="F638" s="930">
        <v>-20</v>
      </c>
      <c r="G638" s="929">
        <v>1412</v>
      </c>
      <c r="H638" s="929">
        <v>1439</v>
      </c>
      <c r="I638" s="930">
        <v>-27</v>
      </c>
      <c r="J638" s="926">
        <v>1416</v>
      </c>
      <c r="K638" s="932">
        <v>1405</v>
      </c>
      <c r="L638" s="931">
        <v>11</v>
      </c>
      <c r="M638" s="413"/>
      <c r="N638" s="2"/>
      <c r="O638" s="2"/>
      <c r="P638" s="2"/>
      <c r="Q638" s="2"/>
      <c r="R638" s="2"/>
    </row>
    <row r="639" spans="2:18" ht="15.75" customHeight="1">
      <c r="B639" s="760"/>
      <c r="C639" s="137"/>
      <c r="D639" s="923">
        <v>1425</v>
      </c>
      <c r="E639" s="929">
        <v>1437</v>
      </c>
      <c r="F639" s="930">
        <v>-12</v>
      </c>
      <c r="G639" s="929">
        <v>1422</v>
      </c>
      <c r="H639" s="929">
        <v>1438</v>
      </c>
      <c r="I639" s="930">
        <v>-16</v>
      </c>
      <c r="J639" s="926">
        <v>1434</v>
      </c>
      <c r="K639" s="932">
        <v>1402</v>
      </c>
      <c r="L639" s="931">
        <v>32</v>
      </c>
      <c r="M639" s="413"/>
      <c r="N639" s="2"/>
      <c r="O639" s="2"/>
      <c r="P639" s="2"/>
      <c r="Q639" s="2"/>
      <c r="R639" s="2"/>
    </row>
    <row r="640" spans="2:18" ht="15.75" customHeight="1">
      <c r="B640" s="760"/>
      <c r="C640" s="137"/>
      <c r="D640" s="923">
        <v>1427</v>
      </c>
      <c r="E640" s="929">
        <v>1451</v>
      </c>
      <c r="F640" s="930">
        <v>-24</v>
      </c>
      <c r="G640" s="929">
        <v>1417</v>
      </c>
      <c r="H640" s="929">
        <v>1438</v>
      </c>
      <c r="I640" s="930">
        <v>-21</v>
      </c>
      <c r="J640" s="926">
        <v>1429</v>
      </c>
      <c r="K640" s="932">
        <v>1398</v>
      </c>
      <c r="L640" s="931">
        <v>31</v>
      </c>
      <c r="M640" s="413"/>
      <c r="N640" s="2"/>
      <c r="O640" s="2"/>
      <c r="P640" s="2"/>
      <c r="Q640" s="2"/>
      <c r="R640" s="2"/>
    </row>
    <row r="641" spans="2:18" ht="15.75" customHeight="1">
      <c r="B641" s="760"/>
      <c r="C641" s="137"/>
      <c r="D641" s="933">
        <v>1422</v>
      </c>
      <c r="E641" s="929">
        <v>1444</v>
      </c>
      <c r="F641" s="930">
        <v>-22</v>
      </c>
      <c r="G641" s="929">
        <v>1421</v>
      </c>
      <c r="H641" s="929">
        <v>1440</v>
      </c>
      <c r="I641" s="930">
        <v>-19</v>
      </c>
      <c r="J641" s="934">
        <v>1433</v>
      </c>
      <c r="K641" s="929">
        <v>1420</v>
      </c>
      <c r="L641" s="931">
        <v>13</v>
      </c>
      <c r="M641" s="413"/>
      <c r="N641" s="2"/>
      <c r="O641" s="2"/>
      <c r="P641" s="2"/>
      <c r="Q641" s="2"/>
      <c r="R641" s="2"/>
    </row>
    <row r="642" spans="2:18" ht="15.75" customHeight="1">
      <c r="B642" s="760"/>
      <c r="C642" s="137"/>
      <c r="D642" s="69"/>
      <c r="E642" s="69"/>
      <c r="F642" s="69"/>
      <c r="G642" s="69"/>
      <c r="H642" s="69"/>
      <c r="I642" s="69"/>
      <c r="J642" s="69"/>
      <c r="K642" s="69"/>
      <c r="L642" s="69"/>
      <c r="M642" s="413"/>
      <c r="N642" s="2"/>
      <c r="O642" s="2"/>
      <c r="P642" s="2"/>
      <c r="Q642" s="2"/>
      <c r="R642" s="2"/>
    </row>
    <row r="643" spans="2:18" ht="15.75" customHeight="1">
      <c r="B643" s="760"/>
      <c r="C643" s="935">
        <v>2</v>
      </c>
      <c r="D643" s="145" t="s">
        <v>1017</v>
      </c>
      <c r="E643" s="69"/>
      <c r="F643" s="69"/>
      <c r="G643" s="69"/>
      <c r="H643" s="69"/>
      <c r="I643" s="69"/>
      <c r="J643" s="69"/>
      <c r="K643" s="69"/>
      <c r="L643" s="69"/>
      <c r="M643" s="413"/>
      <c r="N643" s="2"/>
      <c r="O643" s="2"/>
      <c r="P643" s="2"/>
      <c r="Q643" s="2"/>
      <c r="R643" s="2"/>
    </row>
    <row r="644" spans="2:18" ht="67.5" customHeight="1">
      <c r="B644" s="760"/>
      <c r="C644" s="137"/>
      <c r="D644" s="1562" t="s">
        <v>1018</v>
      </c>
      <c r="E644" s="1555"/>
      <c r="F644" s="1555"/>
      <c r="G644" s="1555"/>
      <c r="H644" s="1555"/>
      <c r="I644" s="1555"/>
      <c r="J644" s="1555"/>
      <c r="K644" s="1555"/>
      <c r="L644" s="1555"/>
      <c r="M644" s="413"/>
      <c r="N644" s="2"/>
      <c r="O644" s="2"/>
      <c r="P644" s="2"/>
      <c r="Q644" s="2"/>
      <c r="R644" s="2"/>
    </row>
    <row r="645" spans="2:18" ht="15.75" customHeight="1">
      <c r="B645" s="760"/>
      <c r="C645" s="137"/>
      <c r="D645" s="1563" t="s">
        <v>1019</v>
      </c>
      <c r="E645" s="1555"/>
      <c r="F645" s="1555"/>
      <c r="G645" s="1555"/>
      <c r="H645" s="1555"/>
      <c r="I645" s="1555"/>
      <c r="J645" s="1555"/>
      <c r="K645" s="1555"/>
      <c r="L645" s="1555"/>
      <c r="M645" s="413"/>
      <c r="N645" s="2"/>
      <c r="O645" s="2"/>
      <c r="P645" s="2"/>
      <c r="Q645" s="2"/>
      <c r="R645" s="2"/>
    </row>
    <row r="646" spans="2:18" ht="30.75" customHeight="1">
      <c r="B646" s="760"/>
      <c r="C646" s="137"/>
      <c r="D646" s="1564" t="s">
        <v>1020</v>
      </c>
      <c r="E646" s="1564" t="s">
        <v>1021</v>
      </c>
      <c r="F646" s="1566" t="s">
        <v>1022</v>
      </c>
      <c r="G646" s="1567"/>
      <c r="H646" s="1566" t="s">
        <v>1023</v>
      </c>
      <c r="I646" s="1567"/>
      <c r="J646" s="1568" t="s">
        <v>1024</v>
      </c>
      <c r="K646" s="1569"/>
      <c r="L646" s="936"/>
      <c r="M646" s="413"/>
      <c r="N646" s="2"/>
      <c r="O646" s="2"/>
      <c r="P646" s="2"/>
      <c r="Q646" s="2"/>
      <c r="R646" s="2"/>
    </row>
    <row r="647" spans="2:18" ht="30.75" customHeight="1">
      <c r="B647" s="760"/>
      <c r="C647" s="137"/>
      <c r="D647" s="1565"/>
      <c r="E647" s="1565"/>
      <c r="F647" s="937" t="s">
        <v>1025</v>
      </c>
      <c r="G647" s="937" t="s">
        <v>1026</v>
      </c>
      <c r="H647" s="937" t="s">
        <v>1025</v>
      </c>
      <c r="I647" s="937" t="s">
        <v>1026</v>
      </c>
      <c r="J647" s="1570"/>
      <c r="K647" s="1571"/>
      <c r="L647" s="936"/>
      <c r="M647" s="413"/>
      <c r="N647" s="2"/>
      <c r="O647" s="2"/>
      <c r="P647" s="2"/>
      <c r="Q647" s="2"/>
      <c r="R647" s="2"/>
    </row>
    <row r="648" spans="2:18" ht="15.75" customHeight="1">
      <c r="B648" s="760"/>
      <c r="C648" s="137"/>
      <c r="D648" s="901">
        <v>201</v>
      </c>
      <c r="E648" s="378">
        <v>200</v>
      </c>
      <c r="F648" s="378">
        <v>4400</v>
      </c>
      <c r="G648" s="378">
        <v>4</v>
      </c>
      <c r="H648" s="378">
        <v>10000</v>
      </c>
      <c r="I648" s="378">
        <v>2</v>
      </c>
      <c r="J648" s="1561">
        <f>D648*((E648*F648*G648)+(E648*H648*I648))</f>
        <v>1511520000</v>
      </c>
      <c r="K648" s="1554"/>
      <c r="L648" s="936"/>
      <c r="M648" s="413"/>
      <c r="N648" s="2"/>
      <c r="O648" s="2"/>
      <c r="P648" s="2"/>
      <c r="Q648" s="2"/>
      <c r="R648" s="2"/>
    </row>
    <row r="649" spans="2:18" ht="15.75" customHeight="1">
      <c r="B649" s="760"/>
      <c r="C649" s="137"/>
      <c r="D649" s="131"/>
      <c r="E649" s="936"/>
      <c r="F649" s="936"/>
      <c r="G649" s="936"/>
      <c r="H649" s="936"/>
      <c r="I649" s="936"/>
      <c r="J649" s="936"/>
      <c r="K649" s="936"/>
      <c r="L649" s="936"/>
      <c r="M649" s="413"/>
      <c r="N649" s="2"/>
      <c r="O649" s="2"/>
      <c r="P649" s="2"/>
      <c r="Q649" s="2"/>
      <c r="R649" s="2"/>
    </row>
    <row r="650" spans="2:18" ht="30" customHeight="1">
      <c r="B650" s="760"/>
      <c r="C650" s="137"/>
      <c r="D650" s="1543" t="s">
        <v>1027</v>
      </c>
      <c r="E650" s="1555"/>
      <c r="F650" s="1555"/>
      <c r="G650" s="1555"/>
      <c r="H650" s="1555"/>
      <c r="I650" s="1555"/>
      <c r="J650" s="1555"/>
      <c r="K650" s="1555"/>
      <c r="L650" s="1555"/>
      <c r="M650" s="413"/>
      <c r="N650" s="2"/>
      <c r="O650" s="2"/>
      <c r="P650" s="2"/>
      <c r="Q650" s="2"/>
      <c r="R650" s="2"/>
    </row>
    <row r="651" spans="2:18" ht="15.75" customHeight="1">
      <c r="B651" s="760"/>
      <c r="C651" s="137"/>
      <c r="D651" s="367"/>
      <c r="E651" s="131"/>
      <c r="F651" s="131"/>
      <c r="G651" s="131"/>
      <c r="H651" s="131"/>
      <c r="I651" s="131"/>
      <c r="J651" s="131"/>
      <c r="K651" s="131"/>
      <c r="L651" s="131"/>
      <c r="M651" s="413"/>
      <c r="N651" s="2"/>
      <c r="O651" s="2"/>
      <c r="P651" s="2"/>
      <c r="Q651" s="2"/>
      <c r="R651" s="2"/>
    </row>
    <row r="652" spans="2:18" ht="15.75" customHeight="1">
      <c r="B652" s="760"/>
      <c r="C652" s="935">
        <v>3</v>
      </c>
      <c r="D652" s="83" t="s">
        <v>1028</v>
      </c>
      <c r="E652" s="936"/>
      <c r="F652" s="936"/>
      <c r="G652" s="936"/>
      <c r="H652" s="936"/>
      <c r="I652" s="936"/>
      <c r="J652" s="936"/>
      <c r="K652" s="936"/>
      <c r="L652" s="936"/>
      <c r="M652" s="413"/>
      <c r="N652" s="2"/>
      <c r="O652" s="2"/>
      <c r="P652" s="2"/>
      <c r="Q652" s="2"/>
      <c r="R652" s="2"/>
    </row>
    <row r="653" spans="2:18" ht="19.5" customHeight="1">
      <c r="B653" s="760"/>
      <c r="C653" s="137"/>
      <c r="D653" s="1562" t="s">
        <v>1029</v>
      </c>
      <c r="E653" s="1555"/>
      <c r="F653" s="1555"/>
      <c r="G653" s="1555"/>
      <c r="H653" s="1555"/>
      <c r="I653" s="1555"/>
      <c r="J653" s="1555"/>
      <c r="K653" s="1555"/>
      <c r="L653" s="1555"/>
      <c r="M653" s="413"/>
      <c r="N653" s="2"/>
      <c r="O653" s="2"/>
      <c r="P653" s="2"/>
      <c r="Q653" s="2"/>
      <c r="R653" s="2"/>
    </row>
    <row r="654" spans="2:18" ht="30" customHeight="1">
      <c r="B654" s="760"/>
      <c r="C654" s="137"/>
      <c r="D654" s="1562" t="s">
        <v>1030</v>
      </c>
      <c r="E654" s="1555"/>
      <c r="F654" s="1555"/>
      <c r="G654" s="1555"/>
      <c r="H654" s="1555"/>
      <c r="I654" s="1555"/>
      <c r="J654" s="1555"/>
      <c r="K654" s="1555"/>
      <c r="L654" s="1555"/>
      <c r="M654" s="413"/>
      <c r="N654" s="2"/>
      <c r="O654" s="2"/>
      <c r="P654" s="2"/>
      <c r="Q654" s="2"/>
      <c r="R654" s="2"/>
    </row>
    <row r="655" spans="2:18" ht="68.45" customHeight="1">
      <c r="B655" s="760"/>
      <c r="C655" s="137"/>
      <c r="D655" s="1562" t="s">
        <v>1031</v>
      </c>
      <c r="E655" s="1555"/>
      <c r="F655" s="1555"/>
      <c r="G655" s="1555"/>
      <c r="H655" s="1555"/>
      <c r="I655" s="1555"/>
      <c r="J655" s="1555"/>
      <c r="K655" s="1555"/>
      <c r="L655" s="1555"/>
      <c r="M655" s="413"/>
      <c r="N655" s="2"/>
      <c r="O655" s="2"/>
      <c r="P655" s="2"/>
      <c r="Q655" s="2"/>
      <c r="R655" s="2"/>
    </row>
    <row r="656" spans="2:18" ht="61.7" customHeight="1">
      <c r="B656" s="760"/>
      <c r="C656" s="137"/>
      <c r="D656" s="1543" t="s">
        <v>1032</v>
      </c>
      <c r="E656" s="1555"/>
      <c r="F656" s="1555"/>
      <c r="G656" s="1555"/>
      <c r="H656" s="1555"/>
      <c r="I656" s="1555"/>
      <c r="J656" s="1555"/>
      <c r="K656" s="1555"/>
      <c r="L656" s="1555"/>
      <c r="M656" s="413"/>
      <c r="N656" s="2"/>
      <c r="O656" s="2"/>
      <c r="P656" s="2"/>
      <c r="Q656" s="2"/>
      <c r="R656" s="2"/>
    </row>
    <row r="657" spans="2:18" ht="37.5" customHeight="1">
      <c r="B657" s="760"/>
      <c r="C657" s="137"/>
      <c r="D657" s="1543" t="s">
        <v>1033</v>
      </c>
      <c r="E657" s="1555"/>
      <c r="F657" s="1555"/>
      <c r="G657" s="1555"/>
      <c r="H657" s="1555"/>
      <c r="I657" s="1555"/>
      <c r="J657" s="1555"/>
      <c r="K657" s="1555"/>
      <c r="L657" s="1555"/>
      <c r="M657" s="413"/>
      <c r="N657" s="2"/>
      <c r="O657" s="2"/>
      <c r="P657" s="2"/>
      <c r="Q657" s="2"/>
      <c r="R657" s="2"/>
    </row>
    <row r="658" spans="2:18" ht="15.75" customHeight="1">
      <c r="B658" s="760"/>
      <c r="C658" s="137"/>
      <c r="D658" s="1543"/>
      <c r="E658" s="1555"/>
      <c r="F658" s="1555"/>
      <c r="G658" s="1555"/>
      <c r="H658" s="1555"/>
      <c r="I658" s="1555"/>
      <c r="J658" s="1555"/>
      <c r="K658" s="1555"/>
      <c r="L658" s="1555"/>
      <c r="M658" s="413"/>
      <c r="N658" s="2"/>
      <c r="O658" s="2"/>
      <c r="P658" s="2"/>
      <c r="Q658" s="2"/>
      <c r="R658" s="2"/>
    </row>
    <row r="659" spans="2:18" ht="15.75" customHeight="1">
      <c r="B659" s="760"/>
      <c r="C659" s="935">
        <v>4</v>
      </c>
      <c r="D659" s="96" t="s">
        <v>1034</v>
      </c>
      <c r="E659" s="131"/>
      <c r="F659" s="131"/>
      <c r="G659" s="131"/>
      <c r="H659" s="131"/>
      <c r="I659" s="131"/>
      <c r="J659" s="131"/>
      <c r="K659" s="131"/>
      <c r="L659" s="131"/>
      <c r="M659" s="413"/>
      <c r="N659" s="2"/>
      <c r="O659" s="2"/>
      <c r="P659" s="2"/>
      <c r="Q659" s="2"/>
      <c r="R659" s="2"/>
    </row>
    <row r="660" spans="2:18" ht="15.75" customHeight="1">
      <c r="B660" s="760"/>
      <c r="C660" s="137"/>
      <c r="D660" s="1543" t="s">
        <v>1035</v>
      </c>
      <c r="E660" s="1555"/>
      <c r="F660" s="1555"/>
      <c r="G660" s="1555"/>
      <c r="H660" s="1555"/>
      <c r="I660" s="1555"/>
      <c r="J660" s="1555"/>
      <c r="K660" s="1555"/>
      <c r="L660" s="1555"/>
      <c r="M660" s="413"/>
      <c r="N660" s="2"/>
      <c r="O660" s="2"/>
      <c r="P660" s="2"/>
      <c r="Q660" s="2"/>
      <c r="R660" s="2"/>
    </row>
    <row r="661" spans="2:18" ht="15.75" customHeight="1">
      <c r="B661" s="760"/>
      <c r="C661" s="69"/>
      <c r="D661" s="69"/>
      <c r="E661" s="69"/>
      <c r="F661" s="69"/>
      <c r="G661" s="69"/>
      <c r="H661" s="69"/>
      <c r="I661" s="69"/>
      <c r="J661" s="69"/>
      <c r="K661" s="69"/>
      <c r="L661" s="69"/>
      <c r="M661" s="413"/>
      <c r="N661" s="2"/>
      <c r="O661" s="2"/>
      <c r="P661" s="2"/>
      <c r="Q661" s="2"/>
      <c r="R661" s="2"/>
    </row>
    <row r="662" spans="2:18" ht="15.75" customHeight="1">
      <c r="B662" s="760"/>
      <c r="C662" s="69"/>
      <c r="D662" s="1543" t="s">
        <v>1036</v>
      </c>
      <c r="E662" s="1555"/>
      <c r="F662" s="1555"/>
      <c r="G662" s="1555"/>
      <c r="H662" s="1555"/>
      <c r="I662" s="1555"/>
      <c r="J662" s="1555"/>
      <c r="K662" s="1555"/>
      <c r="L662" s="1555"/>
      <c r="M662" s="413"/>
      <c r="N662" s="2"/>
      <c r="O662" s="2"/>
      <c r="P662" s="2"/>
      <c r="Q662" s="2"/>
      <c r="R662" s="2"/>
    </row>
    <row r="663" spans="2:18" ht="15.75" customHeight="1">
      <c r="B663" s="760"/>
      <c r="C663" s="69"/>
      <c r="D663" s="1560" t="s">
        <v>1037</v>
      </c>
      <c r="E663" s="1553"/>
      <c r="F663" s="1554"/>
      <c r="G663" s="938" t="s">
        <v>1038</v>
      </c>
      <c r="H663" s="69"/>
      <c r="I663" s="69"/>
      <c r="J663" s="69"/>
      <c r="K663" s="69"/>
      <c r="L663" s="69"/>
      <c r="M663" s="413"/>
      <c r="N663" s="2"/>
      <c r="O663" s="2"/>
      <c r="P663" s="2"/>
      <c r="Q663" s="2"/>
      <c r="R663" s="2"/>
    </row>
    <row r="664" spans="2:18" ht="15.75" customHeight="1">
      <c r="B664" s="760"/>
      <c r="C664" s="69"/>
      <c r="D664" s="1560" t="s">
        <v>1039</v>
      </c>
      <c r="E664" s="1553"/>
      <c r="F664" s="1554"/>
      <c r="G664" s="938" t="s">
        <v>1040</v>
      </c>
      <c r="H664" s="69"/>
      <c r="I664" s="69"/>
      <c r="J664" s="69"/>
      <c r="K664" s="69"/>
      <c r="L664" s="69"/>
      <c r="M664" s="413"/>
      <c r="N664" s="2"/>
      <c r="O664" s="2"/>
      <c r="P664" s="2"/>
      <c r="Q664" s="2"/>
      <c r="R664" s="2"/>
    </row>
    <row r="665" spans="2:18" ht="15.75" customHeight="1">
      <c r="B665" s="760"/>
      <c r="C665" s="69"/>
      <c r="D665" s="1552" t="s">
        <v>1041</v>
      </c>
      <c r="E665" s="1553"/>
      <c r="F665" s="1554"/>
      <c r="G665" s="938" t="s">
        <v>1042</v>
      </c>
      <c r="H665" s="69"/>
      <c r="I665" s="69"/>
      <c r="J665" s="69"/>
      <c r="K665" s="69"/>
      <c r="L665" s="69"/>
      <c r="M665" s="413"/>
      <c r="N665" s="2"/>
      <c r="O665" s="2"/>
      <c r="P665" s="2"/>
      <c r="Q665" s="2"/>
      <c r="R665" s="2"/>
    </row>
    <row r="666" spans="2:18" ht="15.75" customHeight="1">
      <c r="B666" s="760"/>
      <c r="C666" s="69"/>
      <c r="D666" s="69"/>
      <c r="E666" s="939"/>
      <c r="F666" s="939"/>
      <c r="G666" s="939"/>
      <c r="H666" s="69"/>
      <c r="I666" s="69"/>
      <c r="J666" s="69"/>
      <c r="K666" s="69"/>
      <c r="L666" s="69"/>
      <c r="M666" s="413"/>
      <c r="N666" s="2"/>
      <c r="O666" s="2"/>
      <c r="P666" s="2"/>
      <c r="Q666" s="2"/>
      <c r="R666" s="2"/>
    </row>
    <row r="667" spans="2:18" ht="30" customHeight="1">
      <c r="B667" s="760"/>
      <c r="C667" s="69"/>
      <c r="D667" s="1543" t="s">
        <v>1043</v>
      </c>
      <c r="E667" s="1555"/>
      <c r="F667" s="1555"/>
      <c r="G667" s="1555"/>
      <c r="H667" s="1555"/>
      <c r="I667" s="1555"/>
      <c r="J667" s="1555"/>
      <c r="K667" s="1555"/>
      <c r="L667" s="1555"/>
      <c r="M667" s="413"/>
      <c r="N667" s="2"/>
      <c r="O667" s="2"/>
      <c r="P667" s="2"/>
      <c r="Q667" s="2"/>
      <c r="R667" s="2"/>
    </row>
    <row r="668" spans="2:18" ht="15.75" customHeight="1">
      <c r="B668" s="760"/>
      <c r="C668" s="69"/>
      <c r="D668" s="69"/>
      <c r="E668" s="69"/>
      <c r="F668" s="69"/>
      <c r="G668" s="69"/>
      <c r="H668" s="69"/>
      <c r="I668" s="69"/>
      <c r="J668" s="69"/>
      <c r="K668" s="69"/>
      <c r="L668" s="69"/>
      <c r="M668" s="413"/>
      <c r="N668" s="2"/>
      <c r="O668" s="2"/>
      <c r="P668" s="2"/>
      <c r="Q668" s="2"/>
      <c r="R668" s="2"/>
    </row>
    <row r="669" spans="2:18" ht="15.75" customHeight="1">
      <c r="B669" s="760"/>
      <c r="C669" s="940">
        <v>5</v>
      </c>
      <c r="D669" s="941" t="s">
        <v>1044</v>
      </c>
      <c r="E669" s="942"/>
      <c r="F669" s="942"/>
      <c r="G669" s="942"/>
      <c r="H669" s="942"/>
      <c r="I669" s="942"/>
      <c r="J669" s="942"/>
      <c r="K669" s="942"/>
      <c r="L669" s="942"/>
      <c r="M669" s="413"/>
      <c r="N669" s="2"/>
      <c r="O669" s="2"/>
      <c r="P669" s="2"/>
      <c r="Q669" s="2"/>
      <c r="R669" s="2"/>
    </row>
    <row r="670" spans="2:18" ht="15.75" customHeight="1">
      <c r="B670" s="760"/>
      <c r="C670" s="137"/>
      <c r="D670" s="943" t="s">
        <v>1045</v>
      </c>
      <c r="E670" s="944"/>
      <c r="F670" s="944"/>
      <c r="G670" s="944"/>
      <c r="H670" s="944"/>
      <c r="I670" s="944"/>
      <c r="J670" s="944"/>
      <c r="K670" s="944"/>
      <c r="L670" s="944"/>
      <c r="M670" s="413"/>
      <c r="N670" s="2"/>
      <c r="O670" s="2"/>
      <c r="P670" s="2"/>
      <c r="Q670" s="2"/>
      <c r="R670" s="2"/>
    </row>
    <row r="671" spans="2:18" ht="15.75" customHeight="1">
      <c r="B671" s="760"/>
      <c r="C671" s="69"/>
      <c r="D671" s="943" t="s">
        <v>1045</v>
      </c>
      <c r="E671" s="945"/>
      <c r="F671" s="945"/>
      <c r="G671" s="945"/>
      <c r="H671" s="942"/>
      <c r="I671" s="942"/>
      <c r="J671" s="942"/>
      <c r="K671" s="942"/>
      <c r="L671" s="942"/>
      <c r="M671" s="413"/>
      <c r="N671" s="2"/>
      <c r="O671" s="2"/>
      <c r="P671" s="2"/>
      <c r="Q671" s="2"/>
      <c r="R671" s="2"/>
    </row>
    <row r="672" spans="2:18" ht="15.75" customHeight="1">
      <c r="B672" s="760"/>
      <c r="C672" s="69"/>
      <c r="D672" s="1556"/>
      <c r="E672" s="1557"/>
      <c r="F672" s="1557"/>
      <c r="G672" s="947"/>
      <c r="H672" s="942"/>
      <c r="I672" s="942"/>
      <c r="J672" s="942"/>
      <c r="K672" s="942"/>
      <c r="L672" s="942"/>
      <c r="M672" s="413"/>
      <c r="N672" s="2"/>
      <c r="O672" s="2"/>
      <c r="P672" s="2"/>
      <c r="Q672" s="2"/>
      <c r="R672" s="2"/>
    </row>
    <row r="673" spans="2:18" ht="15.75" customHeight="1">
      <c r="B673" s="760"/>
      <c r="C673" s="69"/>
      <c r="D673" s="1556"/>
      <c r="E673" s="1557"/>
      <c r="F673" s="1557"/>
      <c r="G673" s="946"/>
      <c r="H673" s="942"/>
      <c r="I673" s="942"/>
      <c r="J673" s="942"/>
      <c r="K673" s="942"/>
      <c r="L673" s="942"/>
      <c r="M673" s="413"/>
      <c r="N673" s="2"/>
      <c r="O673" s="2"/>
      <c r="P673" s="2"/>
      <c r="Q673" s="2"/>
      <c r="R673" s="2"/>
    </row>
    <row r="674" spans="2:18" ht="15.75" customHeight="1">
      <c r="B674" s="760"/>
      <c r="C674" s="69"/>
      <c r="D674" s="942"/>
      <c r="E674" s="942"/>
      <c r="F674" s="942"/>
      <c r="G674" s="942"/>
      <c r="H674" s="942"/>
      <c r="I674" s="942"/>
      <c r="J674" s="942"/>
      <c r="K674" s="942"/>
      <c r="L674" s="942"/>
      <c r="M674" s="413"/>
      <c r="N674" s="2"/>
      <c r="O674" s="2"/>
      <c r="P674" s="2"/>
      <c r="Q674" s="2"/>
      <c r="R674" s="2"/>
    </row>
    <row r="675" spans="2:18" ht="33" customHeight="1">
      <c r="B675" s="760"/>
      <c r="C675" s="69"/>
      <c r="D675" s="1558"/>
      <c r="E675" s="1559"/>
      <c r="F675" s="1559"/>
      <c r="G675" s="1559"/>
      <c r="H675" s="1559"/>
      <c r="I675" s="1559"/>
      <c r="J675" s="1559"/>
      <c r="K675" s="1559"/>
      <c r="L675" s="1559"/>
      <c r="M675" s="413"/>
      <c r="N675" s="2"/>
      <c r="O675" s="2"/>
      <c r="P675" s="2"/>
      <c r="Q675" s="2"/>
      <c r="R675" s="2"/>
    </row>
    <row r="676" spans="2:18" ht="15.75" customHeight="1">
      <c r="B676" s="760"/>
      <c r="C676" s="864"/>
      <c r="D676" s="948"/>
      <c r="E676" s="407"/>
      <c r="F676" s="407"/>
      <c r="G676" s="407"/>
      <c r="H676" s="407"/>
      <c r="I676" s="407"/>
      <c r="J676" s="407"/>
      <c r="K676" s="407"/>
      <c r="L676" s="407"/>
      <c r="M676" s="949"/>
    </row>
    <row r="677" spans="2:18" ht="15.75" customHeight="1" thickBot="1">
      <c r="B677" s="795"/>
      <c r="C677" s="796"/>
      <c r="D677" s="796"/>
      <c r="E677" s="950"/>
      <c r="F677" s="950"/>
      <c r="G677" s="950"/>
      <c r="H677" s="950"/>
      <c r="I677" s="950"/>
      <c r="J677" s="950"/>
      <c r="K677" s="950"/>
      <c r="L677" s="950"/>
      <c r="M677" s="951"/>
    </row>
    <row r="678" spans="2:18" ht="15.75" customHeight="1" thickBot="1"/>
    <row r="679" spans="2:18" ht="15.75" customHeight="1">
      <c r="B679" s="398"/>
      <c r="C679" s="399" t="s">
        <v>1046</v>
      </c>
      <c r="D679" s="400"/>
      <c r="E679" s="400"/>
      <c r="F679" s="400"/>
      <c r="G679" s="400"/>
      <c r="H679" s="400"/>
      <c r="I679" s="400"/>
      <c r="J679" s="400"/>
      <c r="K679" s="400"/>
      <c r="L679" s="400"/>
      <c r="M679" s="400"/>
      <c r="N679" s="401"/>
    </row>
    <row r="680" spans="2:18" ht="15.75" customHeight="1">
      <c r="B680" s="402"/>
      <c r="N680" s="404"/>
    </row>
    <row r="681" spans="2:18" ht="15.75" customHeight="1">
      <c r="B681" s="402"/>
      <c r="C681" s="69"/>
      <c r="D681" s="83" t="s">
        <v>1047</v>
      </c>
      <c r="E681" s="468"/>
      <c r="F681" s="468"/>
      <c r="G681" s="131"/>
      <c r="H681" s="131"/>
      <c r="I681" s="131"/>
      <c r="J681" s="131"/>
      <c r="K681" s="131"/>
      <c r="L681" s="131"/>
      <c r="M681" s="131"/>
      <c r="N681" s="413"/>
    </row>
    <row r="682" spans="2:18" ht="15.75" customHeight="1">
      <c r="B682" s="402"/>
      <c r="C682" s="69"/>
      <c r="D682" s="131"/>
      <c r="E682" s="1543" t="s">
        <v>1048</v>
      </c>
      <c r="F682" s="1543"/>
      <c r="G682" s="1543"/>
      <c r="H682" s="1543"/>
      <c r="I682" s="1543"/>
      <c r="J682" s="1543"/>
      <c r="K682" s="1543"/>
      <c r="L682" s="1543"/>
      <c r="M682" s="1543"/>
      <c r="N682" s="1544"/>
    </row>
    <row r="683" spans="2:18" ht="15.75" customHeight="1">
      <c r="B683" s="402"/>
      <c r="C683" s="69"/>
      <c r="D683" s="131"/>
      <c r="E683" s="1543"/>
      <c r="F683" s="1543"/>
      <c r="G683" s="1543"/>
      <c r="H683" s="1543"/>
      <c r="I683" s="1543"/>
      <c r="J683" s="1543"/>
      <c r="K683" s="1543"/>
      <c r="L683" s="1543"/>
      <c r="M683" s="1543"/>
      <c r="N683" s="1544"/>
    </row>
    <row r="684" spans="2:18" ht="15.75" customHeight="1">
      <c r="B684" s="402"/>
      <c r="C684" s="69"/>
      <c r="D684" s="131"/>
      <c r="E684" s="131" t="s">
        <v>1049</v>
      </c>
      <c r="F684" s="131"/>
      <c r="G684" s="131"/>
      <c r="H684" s="131"/>
      <c r="I684" s="131" t="s">
        <v>1050</v>
      </c>
      <c r="J684" s="131"/>
      <c r="K684" s="131"/>
      <c r="L684" s="131"/>
      <c r="M684" s="131"/>
      <c r="N684" s="761"/>
    </row>
    <row r="685" spans="2:18" ht="15.75" customHeight="1">
      <c r="B685" s="402"/>
      <c r="C685" s="69"/>
      <c r="D685" s="131"/>
      <c r="E685" s="952" t="s">
        <v>906</v>
      </c>
      <c r="F685" s="952" t="s">
        <v>1051</v>
      </c>
      <c r="G685" s="952" t="s">
        <v>1052</v>
      </c>
      <c r="H685" s="131"/>
      <c r="I685" s="952" t="s">
        <v>1053</v>
      </c>
      <c r="J685" s="952" t="s">
        <v>1054</v>
      </c>
      <c r="K685" s="952" t="s">
        <v>1055</v>
      </c>
      <c r="L685" s="952" t="s">
        <v>1056</v>
      </c>
      <c r="M685" s="952" t="s">
        <v>1057</v>
      </c>
      <c r="N685" s="761"/>
    </row>
    <row r="686" spans="2:18" ht="15.75" customHeight="1">
      <c r="B686" s="402"/>
      <c r="C686" s="69"/>
      <c r="D686" s="131"/>
      <c r="E686" s="740" t="s">
        <v>1058</v>
      </c>
      <c r="F686" s="953">
        <v>165927723976</v>
      </c>
      <c r="G686" s="740"/>
      <c r="H686" s="131"/>
      <c r="I686" s="740">
        <v>250</v>
      </c>
      <c r="J686" s="953">
        <v>9</v>
      </c>
      <c r="K686" s="953">
        <f>(I686*J686)*0.85*145</f>
        <v>277312.5</v>
      </c>
      <c r="L686" s="954">
        <f>K686*80%</f>
        <v>221850</v>
      </c>
      <c r="M686" s="954">
        <f>L686*$I$16</f>
        <v>0</v>
      </c>
      <c r="N686" s="761"/>
    </row>
    <row r="687" spans="2:18" ht="15.75" customHeight="1">
      <c r="B687" s="402"/>
      <c r="C687" s="69"/>
      <c r="D687" s="131"/>
      <c r="E687" s="740" t="s">
        <v>1059</v>
      </c>
      <c r="F687" s="953">
        <v>165567196359</v>
      </c>
      <c r="G687" s="955">
        <f t="shared" ref="G687:G698" si="21">(F687-F686)/F686</f>
        <v>-2.1727991462846025E-3</v>
      </c>
      <c r="H687" s="131"/>
      <c r="I687" s="740">
        <v>400</v>
      </c>
      <c r="J687" s="953">
        <v>36</v>
      </c>
      <c r="K687" s="953">
        <f t="shared" ref="K687:K688" si="22">(I687*J687)*0.85*145</f>
        <v>1774800</v>
      </c>
      <c r="L687" s="954">
        <f t="shared" ref="L687:L688" si="23">K687*80%</f>
        <v>1419840</v>
      </c>
      <c r="M687" s="954">
        <f t="shared" ref="M687:M688" si="24">L687*$I$16</f>
        <v>0</v>
      </c>
      <c r="N687" s="761"/>
    </row>
    <row r="688" spans="2:18" ht="15.75" customHeight="1">
      <c r="B688" s="402"/>
      <c r="C688" s="69"/>
      <c r="D688" s="131"/>
      <c r="E688" s="740" t="s">
        <v>1060</v>
      </c>
      <c r="F688" s="953">
        <v>160242295562</v>
      </c>
      <c r="G688" s="955">
        <f t="shared" si="21"/>
        <v>-3.216156892246938E-2</v>
      </c>
      <c r="H688" s="131"/>
      <c r="I688" s="740">
        <v>630</v>
      </c>
      <c r="J688" s="953">
        <v>5</v>
      </c>
      <c r="K688" s="953">
        <f t="shared" si="22"/>
        <v>388237.5</v>
      </c>
      <c r="L688" s="954">
        <f t="shared" si="23"/>
        <v>310590</v>
      </c>
      <c r="M688" s="954">
        <f t="shared" si="24"/>
        <v>0</v>
      </c>
      <c r="N688" s="761"/>
    </row>
    <row r="689" spans="2:14" ht="15.75" customHeight="1">
      <c r="B689" s="402"/>
      <c r="C689" s="69"/>
      <c r="D689" s="131"/>
      <c r="E689" s="740" t="s">
        <v>1061</v>
      </c>
      <c r="F689" s="953">
        <v>177831192357</v>
      </c>
      <c r="G689" s="955">
        <f t="shared" si="21"/>
        <v>0.10976438357496325</v>
      </c>
      <c r="H689" s="131"/>
      <c r="I689" s="956" t="s">
        <v>464</v>
      </c>
      <c r="J689" s="957"/>
      <c r="K689" s="953">
        <f>SUM(K686:K688)</f>
        <v>2440350</v>
      </c>
      <c r="L689" s="954">
        <f>SUM(L686:L688)</f>
        <v>1952280</v>
      </c>
      <c r="M689" s="954">
        <f>SUM(M686:M688)</f>
        <v>0</v>
      </c>
      <c r="N689" s="761"/>
    </row>
    <row r="690" spans="2:14" ht="15.75" customHeight="1">
      <c r="B690" s="402"/>
      <c r="C690" s="69"/>
      <c r="D690" s="131"/>
      <c r="E690" s="958" t="s">
        <v>1062</v>
      </c>
      <c r="F690" s="953">
        <v>168360139920</v>
      </c>
      <c r="G690" s="959">
        <f t="shared" si="21"/>
        <v>-5.3258668018075564E-2</v>
      </c>
      <c r="H690" s="131"/>
      <c r="I690" s="131" t="s">
        <v>1063</v>
      </c>
      <c r="J690" s="960" t="s">
        <v>1064</v>
      </c>
      <c r="K690" s="961">
        <v>145</v>
      </c>
      <c r="L690" s="131"/>
      <c r="M690" s="131"/>
      <c r="N690" s="761"/>
    </row>
    <row r="691" spans="2:14" ht="15.75" customHeight="1">
      <c r="B691" s="402"/>
      <c r="C691" s="69"/>
      <c r="D691" s="131"/>
      <c r="E691" s="740" t="s">
        <v>1065</v>
      </c>
      <c r="F691" s="953">
        <v>176982799581</v>
      </c>
      <c r="G691" s="955">
        <f t="shared" si="21"/>
        <v>5.1215564830827801E-2</v>
      </c>
      <c r="H691" s="131"/>
      <c r="I691" s="131"/>
      <c r="J691" s="131" t="s">
        <v>432</v>
      </c>
      <c r="K691" s="131">
        <v>1224</v>
      </c>
      <c r="L691" s="131"/>
      <c r="M691" s="131"/>
      <c r="N691" s="761"/>
    </row>
    <row r="692" spans="2:14" ht="15.75" customHeight="1">
      <c r="B692" s="402"/>
      <c r="C692" s="69"/>
      <c r="D692" s="131"/>
      <c r="E692" s="740" t="s">
        <v>1066</v>
      </c>
      <c r="F692" s="953">
        <v>177340679356</v>
      </c>
      <c r="G692" s="955">
        <f t="shared" si="21"/>
        <v>2.022116136976399E-3</v>
      </c>
      <c r="H692" s="131"/>
      <c r="I692" s="131"/>
      <c r="J692" s="131" t="s">
        <v>1067</v>
      </c>
      <c r="K692" s="131">
        <v>0.85</v>
      </c>
      <c r="L692" s="131"/>
      <c r="M692" s="131"/>
      <c r="N692" s="761"/>
    </row>
    <row r="693" spans="2:14" ht="15.75" customHeight="1">
      <c r="B693" s="402"/>
      <c r="C693" s="69"/>
      <c r="D693" s="131"/>
      <c r="E693" s="740" t="s">
        <v>1068</v>
      </c>
      <c r="F693" s="953">
        <v>186063474080</v>
      </c>
      <c r="G693" s="955">
        <f t="shared" si="21"/>
        <v>4.918665449842758E-2</v>
      </c>
      <c r="H693" s="131"/>
      <c r="I693" s="131"/>
      <c r="J693" s="131"/>
      <c r="K693" s="131"/>
      <c r="L693" s="131"/>
      <c r="M693" s="131"/>
      <c r="N693" s="413"/>
    </row>
    <row r="694" spans="2:14" ht="15.75" customHeight="1">
      <c r="B694" s="402"/>
      <c r="C694" s="69"/>
      <c r="D694" s="131"/>
      <c r="E694" s="740" t="s">
        <v>1069</v>
      </c>
      <c r="F694" s="953">
        <v>180167086632</v>
      </c>
      <c r="G694" s="955">
        <f t="shared" si="21"/>
        <v>-3.1690193237307741E-2</v>
      </c>
      <c r="H694" s="131"/>
      <c r="I694" s="131"/>
      <c r="J694" s="131"/>
      <c r="K694" s="131"/>
      <c r="L694" s="131"/>
      <c r="M694" s="131"/>
      <c r="N694" s="413"/>
    </row>
    <row r="695" spans="2:14" ht="15.75" customHeight="1">
      <c r="B695" s="402"/>
      <c r="C695" s="69"/>
      <c r="D695" s="131"/>
      <c r="E695" s="958" t="s">
        <v>1070</v>
      </c>
      <c r="F695" s="953">
        <v>177258763980</v>
      </c>
      <c r="G695" s="955">
        <f t="shared" si="21"/>
        <v>-1.6142363771138677E-2</v>
      </c>
      <c r="H695" s="131"/>
      <c r="I695" s="131"/>
      <c r="J695" s="131"/>
      <c r="K695" s="131"/>
      <c r="L695" s="131"/>
      <c r="M695" s="131"/>
      <c r="N695" s="413"/>
    </row>
    <row r="696" spans="2:14" ht="15.75" customHeight="1">
      <c r="B696" s="402"/>
      <c r="C696" s="69"/>
      <c r="D696" s="131"/>
      <c r="E696" s="740" t="s">
        <v>1071</v>
      </c>
      <c r="F696" s="953">
        <v>185042850040</v>
      </c>
      <c r="G696" s="955">
        <f t="shared" si="21"/>
        <v>4.3913688018710734E-2</v>
      </c>
      <c r="H696" s="131"/>
      <c r="I696" s="131"/>
      <c r="J696" s="131"/>
      <c r="K696" s="131"/>
      <c r="L696" s="131"/>
      <c r="M696" s="131"/>
      <c r="N696" s="413"/>
    </row>
    <row r="697" spans="2:14" ht="15.75" customHeight="1">
      <c r="B697" s="402"/>
      <c r="C697" s="69"/>
      <c r="D697" s="131"/>
      <c r="E697" s="958" t="s">
        <v>1072</v>
      </c>
      <c r="F697" s="953">
        <v>184887616737</v>
      </c>
      <c r="G697" s="955">
        <f t="shared" si="21"/>
        <v>-8.3890462650377368E-4</v>
      </c>
      <c r="H697" s="131"/>
      <c r="I697" s="131"/>
      <c r="J697" s="131"/>
      <c r="K697" s="131"/>
      <c r="L697" s="131"/>
      <c r="M697" s="131"/>
      <c r="N697" s="413"/>
    </row>
    <row r="698" spans="2:14" ht="15.75" customHeight="1">
      <c r="B698" s="402"/>
      <c r="C698" s="69"/>
      <c r="D698" s="131"/>
      <c r="E698" s="740" t="s">
        <v>1073</v>
      </c>
      <c r="F698" s="953">
        <v>188181901528</v>
      </c>
      <c r="G698" s="955">
        <f t="shared" si="21"/>
        <v>1.7817768702628002E-2</v>
      </c>
      <c r="H698" s="131"/>
      <c r="I698" s="131"/>
      <c r="J698" s="131"/>
      <c r="K698" s="131"/>
      <c r="L698" s="131"/>
      <c r="M698" s="131"/>
      <c r="N698" s="413"/>
    </row>
    <row r="699" spans="2:14" ht="15.75" customHeight="1">
      <c r="B699" s="402"/>
      <c r="C699" s="69"/>
      <c r="D699" s="131"/>
      <c r="E699" s="962" t="s">
        <v>470</v>
      </c>
      <c r="F699" s="963">
        <f>SUM(F687:F698)</f>
        <v>2127925996132</v>
      </c>
      <c r="G699" s="962"/>
      <c r="H699" s="131"/>
      <c r="I699" s="131"/>
      <c r="J699" s="131"/>
      <c r="K699" s="131"/>
      <c r="L699" s="131"/>
      <c r="M699" s="131"/>
      <c r="N699" s="413"/>
    </row>
    <row r="700" spans="2:14" ht="15.75" customHeight="1">
      <c r="B700" s="402"/>
      <c r="C700" s="69"/>
      <c r="D700" s="131"/>
      <c r="E700" s="131"/>
      <c r="F700" s="131"/>
      <c r="G700" s="131"/>
      <c r="H700" s="131"/>
      <c r="I700" s="131"/>
      <c r="J700" s="131"/>
      <c r="K700" s="131"/>
      <c r="L700" s="131"/>
      <c r="M700" s="131"/>
      <c r="N700" s="413"/>
    </row>
    <row r="701" spans="2:14" ht="15.75" customHeight="1">
      <c r="B701" s="402"/>
      <c r="C701" s="69"/>
      <c r="D701" s="131"/>
      <c r="E701" s="131" t="s">
        <v>1074</v>
      </c>
      <c r="F701" s="131"/>
      <c r="G701" s="131"/>
      <c r="H701" s="131"/>
      <c r="I701" s="131"/>
      <c r="J701" s="131"/>
      <c r="K701" s="131"/>
      <c r="L701" s="131"/>
      <c r="M701" s="131"/>
      <c r="N701" s="413"/>
    </row>
    <row r="702" spans="2:14" ht="15.75" customHeight="1">
      <c r="B702" s="402"/>
      <c r="C702" s="69"/>
      <c r="D702" s="131"/>
      <c r="E702" s="444" t="s">
        <v>1075</v>
      </c>
      <c r="F702" s="444"/>
      <c r="G702" s="444" t="s">
        <v>1076</v>
      </c>
      <c r="H702" s="131"/>
      <c r="I702" s="131"/>
      <c r="J702" s="131"/>
      <c r="K702" s="131"/>
      <c r="L702" s="131"/>
      <c r="M702" s="131"/>
      <c r="N702" s="413"/>
    </row>
    <row r="703" spans="2:14" ht="15.75" customHeight="1">
      <c r="B703" s="402"/>
      <c r="C703" s="69"/>
      <c r="D703" s="131"/>
      <c r="E703" s="964">
        <f>F699/12</f>
        <v>177327166344.33334</v>
      </c>
      <c r="F703" s="444" t="s">
        <v>1077</v>
      </c>
      <c r="G703" s="965">
        <v>0.05</v>
      </c>
      <c r="H703" s="444" t="s">
        <v>759</v>
      </c>
      <c r="I703" s="961">
        <f>E703*G703</f>
        <v>8866358317.2166672</v>
      </c>
      <c r="J703" s="131"/>
      <c r="K703" s="131"/>
      <c r="L703" s="131"/>
      <c r="M703" s="131"/>
      <c r="N703" s="413"/>
    </row>
    <row r="704" spans="2:14" ht="15.75" customHeight="1">
      <c r="B704" s="402"/>
      <c r="C704" s="69"/>
      <c r="D704" s="131"/>
      <c r="E704" s="966"/>
      <c r="F704" s="444"/>
      <c r="G704" s="965"/>
      <c r="H704" s="444"/>
      <c r="I704" s="961"/>
      <c r="J704" s="131"/>
      <c r="K704" s="131"/>
      <c r="L704" s="131"/>
      <c r="M704" s="131"/>
      <c r="N704" s="413"/>
    </row>
    <row r="705" spans="2:14" ht="15.75" customHeight="1">
      <c r="B705" s="402"/>
      <c r="C705" s="69"/>
      <c r="D705" s="131"/>
      <c r="E705" s="964">
        <f>I703</f>
        <v>8866358317.2166672</v>
      </c>
      <c r="F705" s="444" t="s">
        <v>1078</v>
      </c>
      <c r="G705" s="967">
        <f>M689</f>
        <v>0</v>
      </c>
      <c r="H705" s="967" t="s">
        <v>759</v>
      </c>
      <c r="I705" s="961">
        <f>G705+E705</f>
        <v>8866358317.2166672</v>
      </c>
      <c r="J705" s="131"/>
      <c r="K705" s="131"/>
      <c r="L705" s="131"/>
      <c r="M705" s="131"/>
      <c r="N705" s="413"/>
    </row>
    <row r="706" spans="2:14" ht="15.75" customHeight="1">
      <c r="B706" s="402"/>
      <c r="C706" s="69"/>
      <c r="D706" s="131"/>
      <c r="E706" s="966"/>
      <c r="F706" s="444"/>
      <c r="G706" s="965"/>
      <c r="H706" s="444"/>
      <c r="I706" s="961"/>
      <c r="J706" s="131"/>
      <c r="K706" s="131"/>
      <c r="L706" s="131"/>
      <c r="M706" s="131"/>
      <c r="N706" s="413"/>
    </row>
    <row r="707" spans="2:14" ht="15.75" customHeight="1">
      <c r="B707" s="402"/>
      <c r="C707" s="69"/>
      <c r="D707" s="131"/>
      <c r="E707" s="1541" t="s">
        <v>1079</v>
      </c>
      <c r="F707" s="1541"/>
      <c r="G707" s="1541"/>
      <c r="H707" s="1541"/>
      <c r="I707" s="1541"/>
      <c r="J707" s="1541"/>
      <c r="K707" s="1541"/>
      <c r="L707" s="1541"/>
      <c r="M707" s="1541"/>
      <c r="N707" s="1542"/>
    </row>
    <row r="708" spans="2:14" ht="15.75" customHeight="1">
      <c r="B708" s="402"/>
      <c r="C708" s="69"/>
      <c r="D708" s="131"/>
      <c r="E708" s="1541"/>
      <c r="F708" s="1541"/>
      <c r="G708" s="1541"/>
      <c r="H708" s="1541"/>
      <c r="I708" s="1541"/>
      <c r="J708" s="1541"/>
      <c r="K708" s="1541"/>
      <c r="L708" s="1541"/>
      <c r="M708" s="1541"/>
      <c r="N708" s="1542"/>
    </row>
    <row r="709" spans="2:14" ht="15.75" customHeight="1">
      <c r="B709" s="402"/>
      <c r="C709" s="69"/>
      <c r="D709" s="131"/>
      <c r="E709" s="131"/>
      <c r="F709" s="131"/>
      <c r="G709" s="131"/>
      <c r="H709" s="131"/>
      <c r="I709" s="131"/>
      <c r="J709" s="131"/>
      <c r="K709" s="131"/>
      <c r="L709" s="131"/>
      <c r="M709" s="131"/>
      <c r="N709" s="413"/>
    </row>
    <row r="710" spans="2:14" ht="15.75" customHeight="1">
      <c r="B710" s="402"/>
      <c r="C710" s="69"/>
      <c r="D710" s="131"/>
      <c r="E710" s="131" t="s">
        <v>1080</v>
      </c>
      <c r="F710" s="131"/>
      <c r="G710" s="131"/>
      <c r="H710" s="131"/>
      <c r="I710" s="131"/>
      <c r="J710" s="131"/>
      <c r="K710" s="131"/>
      <c r="L710" s="131"/>
      <c r="M710" s="131"/>
      <c r="N710" s="413"/>
    </row>
    <row r="711" spans="2:14" ht="15.75" customHeight="1">
      <c r="B711" s="402"/>
      <c r="C711" s="69"/>
      <c r="D711" s="131"/>
      <c r="E711" s="131" t="s">
        <v>1081</v>
      </c>
      <c r="F711" s="131" t="s">
        <v>759</v>
      </c>
      <c r="G711" s="131" t="s">
        <v>1082</v>
      </c>
      <c r="H711" s="131"/>
      <c r="I711" s="131"/>
      <c r="J711" s="131"/>
      <c r="K711" s="131"/>
      <c r="L711" s="131"/>
      <c r="M711" s="131"/>
      <c r="N711" s="413"/>
    </row>
    <row r="712" spans="2:14" ht="15.75" customHeight="1">
      <c r="B712" s="402"/>
      <c r="C712" s="69"/>
      <c r="D712" s="131"/>
      <c r="E712" s="131"/>
      <c r="F712" s="131" t="s">
        <v>759</v>
      </c>
      <c r="G712" s="466">
        <f>(1/12)</f>
        <v>8.3333333333333329E-2</v>
      </c>
      <c r="H712" s="131"/>
      <c r="I712" s="131"/>
      <c r="J712" s="131"/>
      <c r="K712" s="131"/>
      <c r="L712" s="131"/>
      <c r="M712" s="131"/>
      <c r="N712" s="413"/>
    </row>
    <row r="713" spans="2:14" ht="15.75" customHeight="1">
      <c r="B713" s="402"/>
      <c r="C713" s="69"/>
      <c r="D713" s="131"/>
      <c r="E713" s="131"/>
      <c r="F713" s="131"/>
      <c r="G713" s="131"/>
      <c r="H713" s="131"/>
      <c r="I713" s="131"/>
      <c r="J713" s="131"/>
      <c r="K713" s="131"/>
      <c r="L713" s="131"/>
      <c r="M713" s="131"/>
      <c r="N713" s="413"/>
    </row>
    <row r="714" spans="2:14" ht="15.75" customHeight="1">
      <c r="B714" s="402"/>
      <c r="C714" s="69"/>
      <c r="D714" s="131"/>
      <c r="E714" s="1541" t="s">
        <v>1083</v>
      </c>
      <c r="F714" s="1541"/>
      <c r="G714" s="1541"/>
      <c r="H714" s="1541"/>
      <c r="I714" s="1541"/>
      <c r="J714" s="1541"/>
      <c r="K714" s="1541"/>
      <c r="L714" s="1541"/>
      <c r="M714" s="1541"/>
      <c r="N714" s="1542"/>
    </row>
    <row r="715" spans="2:14" ht="15.75" customHeight="1">
      <c r="B715" s="402"/>
      <c r="C715" s="69"/>
      <c r="D715" s="131"/>
      <c r="E715" s="1541"/>
      <c r="F715" s="1541"/>
      <c r="G715" s="1541"/>
      <c r="H715" s="1541"/>
      <c r="I715" s="1541"/>
      <c r="J715" s="1541"/>
      <c r="K715" s="1541"/>
      <c r="L715" s="1541"/>
      <c r="M715" s="1541"/>
      <c r="N715" s="1542"/>
    </row>
    <row r="716" spans="2:14" ht="15.75" customHeight="1">
      <c r="B716" s="402"/>
      <c r="C716" s="69"/>
      <c r="D716" s="131"/>
      <c r="E716" s="131"/>
      <c r="F716" s="131"/>
      <c r="G716" s="131"/>
      <c r="H716" s="131"/>
      <c r="I716" s="131"/>
      <c r="J716" s="131"/>
      <c r="K716" s="131"/>
      <c r="L716" s="131"/>
      <c r="M716" s="131"/>
      <c r="N716" s="413"/>
    </row>
    <row r="717" spans="2:14" ht="15.75" customHeight="1">
      <c r="B717" s="402"/>
      <c r="C717" s="69"/>
      <c r="D717" s="83" t="s">
        <v>1084</v>
      </c>
      <c r="E717" s="468"/>
      <c r="F717" s="131"/>
      <c r="G717" s="131"/>
      <c r="H717" s="131"/>
      <c r="I717" s="131"/>
      <c r="J717" s="131"/>
      <c r="K717" s="131"/>
      <c r="L717" s="131"/>
      <c r="M717" s="131"/>
      <c r="N717" s="413"/>
    </row>
    <row r="718" spans="2:14" ht="15.75" customHeight="1">
      <c r="B718" s="402"/>
      <c r="C718" s="69"/>
      <c r="D718" s="131"/>
      <c r="E718" s="1543" t="s">
        <v>1085</v>
      </c>
      <c r="F718" s="1543"/>
      <c r="G718" s="1543"/>
      <c r="H718" s="1543"/>
      <c r="I718" s="1543"/>
      <c r="J718" s="1543"/>
      <c r="K718" s="1543"/>
      <c r="L718" s="1543"/>
      <c r="M718" s="1543"/>
      <c r="N718" s="1544"/>
    </row>
    <row r="719" spans="2:14" ht="15.75" customHeight="1">
      <c r="B719" s="402"/>
      <c r="C719" s="69"/>
      <c r="D719" s="131"/>
      <c r="E719" s="1543"/>
      <c r="F719" s="1543"/>
      <c r="G719" s="1543"/>
      <c r="H719" s="1543"/>
      <c r="I719" s="1543"/>
      <c r="J719" s="1543"/>
      <c r="K719" s="1543"/>
      <c r="L719" s="1543"/>
      <c r="M719" s="1543"/>
      <c r="N719" s="1544"/>
    </row>
    <row r="720" spans="2:14" ht="15.75" customHeight="1">
      <c r="B720" s="402"/>
      <c r="C720" s="69"/>
      <c r="D720" s="131"/>
      <c r="E720" s="131" t="s">
        <v>1086</v>
      </c>
      <c r="F720" s="131"/>
      <c r="G720" s="131"/>
      <c r="H720" s="131"/>
      <c r="I720" s="131"/>
      <c r="J720" s="131"/>
      <c r="K720" s="131"/>
      <c r="L720" s="131"/>
      <c r="M720" s="131"/>
      <c r="N720" s="413"/>
    </row>
    <row r="721" spans="2:14" ht="15.75" customHeight="1">
      <c r="B721" s="402"/>
      <c r="C721" s="69"/>
      <c r="D721" s="131"/>
      <c r="E721" s="952">
        <v>2023</v>
      </c>
      <c r="F721" s="952" t="s">
        <v>1087</v>
      </c>
      <c r="G721" s="952" t="s">
        <v>1088</v>
      </c>
      <c r="H721" s="131"/>
      <c r="I721" s="131"/>
      <c r="J721" s="131"/>
      <c r="K721" s="131"/>
      <c r="L721" s="131"/>
      <c r="M721" s="131"/>
      <c r="N721" s="413"/>
    </row>
    <row r="722" spans="2:14" ht="15.75" customHeight="1">
      <c r="B722" s="402"/>
      <c r="C722" s="69"/>
      <c r="D722" s="131"/>
      <c r="E722" s="740" t="s">
        <v>1089</v>
      </c>
      <c r="F722" s="953">
        <f>[7]JAN!$AD$2</f>
        <v>23300.666666666701</v>
      </c>
      <c r="G722" s="953">
        <v>824</v>
      </c>
      <c r="H722" s="131"/>
      <c r="I722" s="131"/>
      <c r="J722" s="131"/>
      <c r="K722" s="131"/>
      <c r="L722" s="131"/>
      <c r="M722" s="131"/>
      <c r="N722" s="413"/>
    </row>
    <row r="723" spans="2:14" ht="15.75" customHeight="1">
      <c r="B723" s="402"/>
      <c r="C723" s="69"/>
      <c r="D723" s="131"/>
      <c r="E723" s="740" t="s">
        <v>1090</v>
      </c>
      <c r="F723" s="953">
        <f>[7]FEB!$AD$2</f>
        <v>41680.666666666599</v>
      </c>
      <c r="G723" s="953">
        <v>1428</v>
      </c>
      <c r="H723" s="131"/>
      <c r="I723" s="131"/>
      <c r="J723" s="131"/>
      <c r="K723" s="131"/>
      <c r="L723" s="131"/>
      <c r="M723" s="131"/>
      <c r="N723" s="413"/>
    </row>
    <row r="724" spans="2:14" ht="15.75" customHeight="1">
      <c r="B724" s="402"/>
      <c r="C724" s="69"/>
      <c r="D724" s="131"/>
      <c r="E724" s="740" t="s">
        <v>1091</v>
      </c>
      <c r="F724" s="953">
        <f>[7]MAR!$AD$2</f>
        <v>41586.666666666599</v>
      </c>
      <c r="G724" s="953">
        <v>1567</v>
      </c>
      <c r="H724" s="131"/>
      <c r="I724" s="131"/>
      <c r="J724" s="131"/>
      <c r="K724" s="131"/>
      <c r="L724" s="131"/>
      <c r="M724" s="131"/>
      <c r="N724" s="413"/>
    </row>
    <row r="725" spans="2:14" ht="15.75" customHeight="1">
      <c r="B725" s="402"/>
      <c r="C725" s="69"/>
      <c r="D725" s="131"/>
      <c r="E725" s="958" t="s">
        <v>1092</v>
      </c>
      <c r="F725" s="953">
        <f>[7]APR!$AD$2</f>
        <v>49018.666666666599</v>
      </c>
      <c r="G725" s="953">
        <v>1327</v>
      </c>
      <c r="H725" s="131"/>
      <c r="I725" s="131"/>
      <c r="J725" s="131"/>
      <c r="K725" s="131"/>
      <c r="L725" s="131"/>
      <c r="M725" s="131"/>
      <c r="N725" s="413"/>
    </row>
    <row r="726" spans="2:14" ht="15.75" customHeight="1">
      <c r="B726" s="402"/>
      <c r="C726" s="69"/>
      <c r="D726" s="131"/>
      <c r="E726" s="740" t="s">
        <v>1093</v>
      </c>
      <c r="F726" s="953">
        <f>[7]MEI!$AD$2</f>
        <v>109673.5</v>
      </c>
      <c r="G726" s="953">
        <v>3121</v>
      </c>
      <c r="H726" s="131"/>
      <c r="I726" s="131"/>
      <c r="J726" s="131"/>
      <c r="K726" s="131"/>
      <c r="L726" s="131"/>
      <c r="M726" s="131"/>
      <c r="N726" s="413"/>
    </row>
    <row r="727" spans="2:14" ht="15.75" customHeight="1">
      <c r="B727" s="402"/>
      <c r="C727" s="69"/>
      <c r="D727" s="131"/>
      <c r="E727" s="740" t="s">
        <v>1094</v>
      </c>
      <c r="F727" s="953">
        <f>[7]JUNI!$AD$2</f>
        <v>20456.166666666701</v>
      </c>
      <c r="G727" s="953">
        <v>544</v>
      </c>
      <c r="H727" s="131"/>
      <c r="I727" s="131"/>
      <c r="J727" s="131"/>
      <c r="K727" s="131"/>
      <c r="L727" s="131"/>
      <c r="M727" s="131"/>
      <c r="N727" s="413"/>
    </row>
    <row r="728" spans="2:14" ht="15.75" customHeight="1">
      <c r="B728" s="402"/>
      <c r="C728" s="69"/>
      <c r="D728" s="131"/>
      <c r="E728" s="740" t="s">
        <v>1095</v>
      </c>
      <c r="F728" s="953">
        <f>[7]JULI!$AD$2</f>
        <v>40163.166666666701</v>
      </c>
      <c r="G728" s="953">
        <v>1432</v>
      </c>
      <c r="H728" s="131"/>
      <c r="I728" s="131"/>
      <c r="J728" s="131"/>
      <c r="K728" s="131"/>
      <c r="L728" s="131"/>
      <c r="M728" s="131"/>
      <c r="N728" s="413"/>
    </row>
    <row r="729" spans="2:14" ht="15.75" customHeight="1">
      <c r="B729" s="402"/>
      <c r="C729" s="69"/>
      <c r="D729" s="131"/>
      <c r="E729" s="740" t="s">
        <v>1096</v>
      </c>
      <c r="F729" s="953">
        <f>[7]AGUST!$AD$2</f>
        <v>19945.083333333299</v>
      </c>
      <c r="G729" s="953">
        <v>871</v>
      </c>
      <c r="H729" s="131"/>
      <c r="I729" s="131"/>
      <c r="J729" s="131"/>
      <c r="K729" s="131"/>
      <c r="L729" s="131"/>
      <c r="M729" s="131"/>
      <c r="N729" s="413"/>
    </row>
    <row r="730" spans="2:14" ht="15.75" customHeight="1">
      <c r="B730" s="402"/>
      <c r="C730" s="69"/>
      <c r="D730" s="131"/>
      <c r="E730" s="958" t="s">
        <v>1097</v>
      </c>
      <c r="F730" s="953">
        <f>[7]SEPT!$AD$2</f>
        <v>15016.833333333299</v>
      </c>
      <c r="G730" s="953">
        <v>158</v>
      </c>
      <c r="H730" s="131"/>
      <c r="I730" s="131"/>
      <c r="J730" s="131"/>
      <c r="K730" s="131"/>
      <c r="L730" s="131"/>
      <c r="M730" s="131"/>
      <c r="N730" s="413"/>
    </row>
    <row r="731" spans="2:14" ht="15.75" customHeight="1">
      <c r="B731" s="402"/>
      <c r="C731" s="69"/>
      <c r="D731" s="131"/>
      <c r="E731" s="740" t="s">
        <v>1098</v>
      </c>
      <c r="F731" s="953">
        <f>[7]OKT!$AD$2</f>
        <v>18846.333333333299</v>
      </c>
      <c r="G731" s="953">
        <v>66</v>
      </c>
      <c r="H731" s="131"/>
      <c r="I731" s="131"/>
      <c r="J731" s="131"/>
      <c r="K731" s="131"/>
      <c r="L731" s="131"/>
      <c r="M731" s="131"/>
      <c r="N731" s="413"/>
    </row>
    <row r="732" spans="2:14" ht="15.75" customHeight="1">
      <c r="B732" s="402"/>
      <c r="C732" s="69"/>
      <c r="D732" s="131"/>
      <c r="E732" s="958" t="s">
        <v>1099</v>
      </c>
      <c r="F732" s="953">
        <f>[7]NOV!$AD$2</f>
        <v>10555</v>
      </c>
      <c r="G732" s="953">
        <v>70</v>
      </c>
      <c r="H732" s="131"/>
      <c r="I732" s="131"/>
      <c r="J732" s="131"/>
      <c r="K732" s="131"/>
      <c r="L732" s="131"/>
      <c r="M732" s="131"/>
      <c r="N732" s="413"/>
    </row>
    <row r="733" spans="2:14" ht="15.75" customHeight="1">
      <c r="B733" s="402"/>
      <c r="C733" s="69"/>
      <c r="D733" s="131"/>
      <c r="E733" s="740" t="s">
        <v>1100</v>
      </c>
      <c r="F733" s="953">
        <f>[7]DES!$AD$2</f>
        <v>3784.6666666666702</v>
      </c>
      <c r="G733" s="953">
        <v>93</v>
      </c>
      <c r="H733" s="131"/>
      <c r="I733" s="131"/>
      <c r="J733" s="131"/>
      <c r="K733" s="131"/>
      <c r="L733" s="131"/>
      <c r="M733" s="131"/>
      <c r="N733" s="413"/>
    </row>
    <row r="734" spans="2:14" ht="15.75" customHeight="1">
      <c r="B734" s="402"/>
      <c r="C734" s="69"/>
      <c r="D734" s="131"/>
      <c r="E734" s="962" t="s">
        <v>470</v>
      </c>
      <c r="F734" s="963">
        <f>SUM(F722:F733)</f>
        <v>394027.41666666651</v>
      </c>
      <c r="G734" s="963">
        <f>SUM(G722:G733)</f>
        <v>11501</v>
      </c>
      <c r="H734" s="131"/>
      <c r="I734" s="131"/>
      <c r="J734" s="131"/>
      <c r="K734" s="131"/>
      <c r="L734" s="131"/>
      <c r="M734" s="131"/>
      <c r="N734" s="413"/>
    </row>
    <row r="735" spans="2:14" ht="15.75" customHeight="1">
      <c r="B735" s="402"/>
      <c r="C735" s="69"/>
      <c r="D735" s="131"/>
      <c r="E735" s="968" t="s">
        <v>1101</v>
      </c>
      <c r="F735" s="969"/>
      <c r="G735" s="969">
        <f>F734/G734</f>
        <v>34.260274468886749</v>
      </c>
      <c r="H735" s="131"/>
      <c r="I735" s="131"/>
      <c r="J735" s="131"/>
      <c r="K735" s="131"/>
      <c r="L735" s="131"/>
      <c r="M735" s="131"/>
      <c r="N735" s="413"/>
    </row>
    <row r="736" spans="2:14" ht="15.75" customHeight="1">
      <c r="B736" s="402"/>
      <c r="C736" s="69"/>
      <c r="D736" s="131"/>
      <c r="E736" s="131"/>
      <c r="F736" s="131"/>
      <c r="G736" s="131"/>
      <c r="H736" s="131"/>
      <c r="I736" s="131"/>
      <c r="J736" s="131"/>
      <c r="K736" s="131"/>
      <c r="L736" s="131"/>
      <c r="M736" s="131"/>
      <c r="N736" s="413"/>
    </row>
    <row r="737" spans="2:14" ht="15.75" customHeight="1">
      <c r="B737" s="402"/>
      <c r="C737" s="69"/>
      <c r="D737" s="131"/>
      <c r="E737" s="131"/>
      <c r="F737" s="131"/>
      <c r="G737" s="131"/>
      <c r="H737" s="131"/>
      <c r="I737" s="131"/>
      <c r="J737" s="131"/>
      <c r="K737" s="131"/>
      <c r="L737" s="131"/>
      <c r="M737" s="131"/>
      <c r="N737" s="413"/>
    </row>
    <row r="738" spans="2:14" ht="15.75" customHeight="1">
      <c r="B738" s="402"/>
      <c r="C738" s="69"/>
      <c r="D738" s="131"/>
      <c r="E738" s="131" t="s">
        <v>1102</v>
      </c>
      <c r="F738" s="131"/>
      <c r="G738" s="131"/>
      <c r="H738" s="131"/>
      <c r="I738" s="131"/>
      <c r="J738" s="131"/>
      <c r="K738" s="131"/>
      <c r="L738" s="131"/>
      <c r="M738" s="131"/>
      <c r="N738" s="413"/>
    </row>
    <row r="739" spans="2:14" ht="15.75" customHeight="1">
      <c r="B739" s="402"/>
      <c r="C739" s="69"/>
      <c r="D739" s="131"/>
      <c r="E739" s="952" t="s">
        <v>1103</v>
      </c>
      <c r="F739" s="952" t="s">
        <v>1104</v>
      </c>
      <c r="G739" s="1550" t="s">
        <v>1105</v>
      </c>
      <c r="H739" s="1551"/>
      <c r="I739" s="952" t="s">
        <v>1106</v>
      </c>
      <c r="J739" s="952" t="s">
        <v>1107</v>
      </c>
      <c r="K739" s="131"/>
      <c r="L739" s="131"/>
      <c r="M739" s="131"/>
      <c r="N739" s="413"/>
    </row>
    <row r="740" spans="2:14" ht="15.75" customHeight="1">
      <c r="B740" s="402"/>
      <c r="C740" s="69"/>
      <c r="D740" s="131"/>
      <c r="E740" s="740" t="s">
        <v>1108</v>
      </c>
      <c r="F740" s="740" t="s">
        <v>590</v>
      </c>
      <c r="G740" s="1548">
        <v>630</v>
      </c>
      <c r="H740" s="1549"/>
      <c r="I740" s="970">
        <v>544.37333333333299</v>
      </c>
      <c r="J740" s="971">
        <f>0.58%*I740*720*12</f>
        <v>27279.636479999979</v>
      </c>
      <c r="K740" s="131"/>
      <c r="L740" s="131"/>
      <c r="M740" s="131"/>
      <c r="N740" s="413"/>
    </row>
    <row r="741" spans="2:14" ht="15.75" customHeight="1">
      <c r="B741" s="402"/>
      <c r="C741" s="69"/>
      <c r="D741" s="131"/>
      <c r="E741" s="740" t="s">
        <v>1109</v>
      </c>
      <c r="F741" s="740" t="s">
        <v>1110</v>
      </c>
      <c r="G741" s="1548">
        <v>1000</v>
      </c>
      <c r="H741" s="1549"/>
      <c r="I741" s="970">
        <v>821.17333333333295</v>
      </c>
      <c r="J741" s="971">
        <f t="shared" ref="J741:J763" si="25">0.58%*I741*720*12</f>
        <v>41150.638079999982</v>
      </c>
      <c r="K741" s="131"/>
      <c r="L741" s="131"/>
      <c r="M741" s="131"/>
      <c r="N741" s="413"/>
    </row>
    <row r="742" spans="2:14" ht="15.75" customHeight="1">
      <c r="B742" s="402"/>
      <c r="C742" s="69"/>
      <c r="D742" s="131"/>
      <c r="E742" s="740" t="s">
        <v>1111</v>
      </c>
      <c r="F742" s="740" t="s">
        <v>1112</v>
      </c>
      <c r="G742" s="1548">
        <v>630</v>
      </c>
      <c r="H742" s="1549"/>
      <c r="I742" s="970">
        <v>507.928</v>
      </c>
      <c r="J742" s="971">
        <f t="shared" si="25"/>
        <v>25453.287935999993</v>
      </c>
      <c r="K742" s="131"/>
      <c r="L742" s="131"/>
      <c r="M742" s="131"/>
      <c r="N742" s="413"/>
    </row>
    <row r="743" spans="2:14" ht="15.75" customHeight="1">
      <c r="B743" s="402"/>
      <c r="C743" s="69"/>
      <c r="D743" s="131"/>
      <c r="E743" s="740" t="s">
        <v>1113</v>
      </c>
      <c r="F743" s="740" t="s">
        <v>1114</v>
      </c>
      <c r="G743" s="1548">
        <v>400</v>
      </c>
      <c r="H743" s="1549"/>
      <c r="I743" s="970">
        <v>433.19200000000001</v>
      </c>
      <c r="J743" s="971">
        <f t="shared" si="25"/>
        <v>21708.117503999998</v>
      </c>
      <c r="K743" s="131"/>
      <c r="L743" s="131"/>
      <c r="M743" s="131"/>
      <c r="N743" s="413"/>
    </row>
    <row r="744" spans="2:14" ht="15.75" customHeight="1">
      <c r="B744" s="402"/>
      <c r="C744" s="69"/>
      <c r="D744" s="131"/>
      <c r="E744" s="740" t="s">
        <v>1115</v>
      </c>
      <c r="F744" s="740" t="s">
        <v>1116</v>
      </c>
      <c r="G744" s="1548">
        <v>400</v>
      </c>
      <c r="H744" s="1549"/>
      <c r="I744" s="970">
        <v>341.15600000000001</v>
      </c>
      <c r="J744" s="971">
        <f t="shared" si="25"/>
        <v>17096.009471999998</v>
      </c>
      <c r="K744" s="131"/>
      <c r="L744" s="131"/>
      <c r="M744" s="131"/>
      <c r="N744" s="413"/>
    </row>
    <row r="745" spans="2:14" ht="15.75" customHeight="1">
      <c r="B745" s="402"/>
      <c r="C745" s="69"/>
      <c r="D745" s="131"/>
      <c r="E745" s="740" t="s">
        <v>1117</v>
      </c>
      <c r="F745" s="740" t="s">
        <v>1118</v>
      </c>
      <c r="G745" s="1548">
        <v>400</v>
      </c>
      <c r="H745" s="1549"/>
      <c r="I745" s="970">
        <v>390.05733333333302</v>
      </c>
      <c r="J745" s="971">
        <f t="shared" si="25"/>
        <v>19546.553087999982</v>
      </c>
      <c r="K745" s="131"/>
      <c r="L745" s="131"/>
      <c r="M745" s="131"/>
      <c r="N745" s="413"/>
    </row>
    <row r="746" spans="2:14" ht="15.75" customHeight="1">
      <c r="B746" s="402"/>
      <c r="C746" s="69"/>
      <c r="D746" s="131"/>
      <c r="E746" s="740" t="s">
        <v>1119</v>
      </c>
      <c r="F746" s="740" t="s">
        <v>1120</v>
      </c>
      <c r="G746" s="1548">
        <v>630</v>
      </c>
      <c r="H746" s="1549"/>
      <c r="I746" s="970">
        <v>546.21866666666699</v>
      </c>
      <c r="J746" s="971">
        <f t="shared" si="25"/>
        <v>27372.109824000014</v>
      </c>
      <c r="K746" s="131"/>
      <c r="L746" s="131"/>
      <c r="M746" s="131"/>
      <c r="N746" s="413"/>
    </row>
    <row r="747" spans="2:14" ht="15.75" customHeight="1">
      <c r="B747" s="402"/>
      <c r="C747" s="69"/>
      <c r="D747" s="131"/>
      <c r="E747" s="740" t="s">
        <v>1121</v>
      </c>
      <c r="F747" s="740" t="s">
        <v>1122</v>
      </c>
      <c r="G747" s="1548">
        <v>400</v>
      </c>
      <c r="H747" s="1549"/>
      <c r="I747" s="970">
        <v>328.469333333333</v>
      </c>
      <c r="J747" s="971">
        <f t="shared" si="25"/>
        <v>16460.255231999981</v>
      </c>
      <c r="K747" s="131"/>
      <c r="L747" s="131"/>
      <c r="M747" s="131"/>
      <c r="N747" s="413"/>
    </row>
    <row r="748" spans="2:14" ht="15.75" customHeight="1">
      <c r="B748" s="402"/>
      <c r="C748" s="69"/>
      <c r="D748" s="131"/>
      <c r="E748" s="740" t="s">
        <v>1123</v>
      </c>
      <c r="F748" s="740" t="s">
        <v>1124</v>
      </c>
      <c r="G748" s="1548">
        <v>400</v>
      </c>
      <c r="H748" s="1549"/>
      <c r="I748" s="970">
        <v>343.69333333333299</v>
      </c>
      <c r="J748" s="971">
        <f t="shared" si="25"/>
        <v>17223.160319999981</v>
      </c>
      <c r="K748" s="131"/>
      <c r="L748" s="131"/>
      <c r="M748" s="131"/>
      <c r="N748" s="413"/>
    </row>
    <row r="749" spans="2:14" ht="15.75" customHeight="1">
      <c r="B749" s="402"/>
      <c r="C749" s="69"/>
      <c r="D749" s="131"/>
      <c r="E749" s="740" t="s">
        <v>1125</v>
      </c>
      <c r="F749" s="740" t="s">
        <v>1126</v>
      </c>
      <c r="G749" s="1548">
        <v>400</v>
      </c>
      <c r="H749" s="1549"/>
      <c r="I749" s="970">
        <v>326.39333333333298</v>
      </c>
      <c r="J749" s="971">
        <f t="shared" si="25"/>
        <v>16356.22271999998</v>
      </c>
      <c r="K749" s="131"/>
      <c r="L749" s="131"/>
      <c r="M749" s="131"/>
      <c r="N749" s="413"/>
    </row>
    <row r="750" spans="2:14" ht="15.75" customHeight="1">
      <c r="B750" s="402"/>
      <c r="C750" s="69"/>
      <c r="D750" s="131"/>
      <c r="E750" s="740" t="s">
        <v>1127</v>
      </c>
      <c r="F750" s="740" t="s">
        <v>1128</v>
      </c>
      <c r="G750" s="1548">
        <v>400</v>
      </c>
      <c r="H750" s="1549"/>
      <c r="I750" s="970">
        <v>350.38266666666698</v>
      </c>
      <c r="J750" s="971">
        <f t="shared" si="25"/>
        <v>17558.376192000014</v>
      </c>
      <c r="K750" s="131"/>
      <c r="L750" s="131"/>
      <c r="M750" s="131"/>
      <c r="N750" s="413"/>
    </row>
    <row r="751" spans="2:14" ht="15.75" customHeight="1">
      <c r="B751" s="402"/>
      <c r="C751" s="69"/>
      <c r="D751" s="131"/>
      <c r="E751" s="740" t="s">
        <v>1129</v>
      </c>
      <c r="F751" s="740" t="s">
        <v>1130</v>
      </c>
      <c r="G751" s="1548">
        <v>400</v>
      </c>
      <c r="H751" s="1549"/>
      <c r="I751" s="970">
        <v>356.84133333333301</v>
      </c>
      <c r="J751" s="971">
        <f t="shared" si="25"/>
        <v>17882.032895999982</v>
      </c>
      <c r="K751" s="131"/>
      <c r="L751" s="131"/>
      <c r="M751" s="131"/>
      <c r="N751" s="413"/>
    </row>
    <row r="752" spans="2:14" ht="15.75" customHeight="1">
      <c r="B752" s="402"/>
      <c r="C752" s="69"/>
      <c r="D752" s="131"/>
      <c r="E752" s="740" t="s">
        <v>1131</v>
      </c>
      <c r="F752" s="740" t="s">
        <v>1132</v>
      </c>
      <c r="G752" s="1548">
        <v>400</v>
      </c>
      <c r="H752" s="1549"/>
      <c r="I752" s="970">
        <v>333.77466666666697</v>
      </c>
      <c r="J752" s="971">
        <f t="shared" si="25"/>
        <v>16726.116096000012</v>
      </c>
      <c r="K752" s="131"/>
      <c r="L752" s="131"/>
      <c r="M752" s="131"/>
      <c r="N752" s="413"/>
    </row>
    <row r="753" spans="2:14" ht="15.75" customHeight="1">
      <c r="B753" s="402"/>
      <c r="C753" s="69"/>
      <c r="D753" s="131"/>
      <c r="E753" s="740" t="s">
        <v>1133</v>
      </c>
      <c r="F753" s="740" t="s">
        <v>1134</v>
      </c>
      <c r="G753" s="1548">
        <v>400</v>
      </c>
      <c r="H753" s="1549"/>
      <c r="I753" s="970">
        <v>321.08800000000002</v>
      </c>
      <c r="J753" s="971">
        <f t="shared" si="25"/>
        <v>16090.361856</v>
      </c>
      <c r="K753" s="131"/>
      <c r="L753" s="131"/>
      <c r="M753" s="131"/>
      <c r="N753" s="413"/>
    </row>
    <row r="754" spans="2:14" ht="15.75" customHeight="1">
      <c r="B754" s="402"/>
      <c r="C754" s="69"/>
      <c r="D754" s="131"/>
      <c r="E754" s="740" t="s">
        <v>1135</v>
      </c>
      <c r="F754" s="740" t="s">
        <v>1136</v>
      </c>
      <c r="G754" s="1548">
        <v>400</v>
      </c>
      <c r="H754" s="1549"/>
      <c r="I754" s="970">
        <v>350.84399999999999</v>
      </c>
      <c r="J754" s="971">
        <f t="shared" si="25"/>
        <v>17581.494527999996</v>
      </c>
      <c r="K754" s="131"/>
      <c r="L754" s="131"/>
      <c r="M754" s="131"/>
      <c r="N754" s="413"/>
    </row>
    <row r="755" spans="2:14" ht="15.75" customHeight="1">
      <c r="B755" s="402"/>
      <c r="C755" s="69"/>
      <c r="D755" s="131"/>
      <c r="E755" s="740" t="s">
        <v>1137</v>
      </c>
      <c r="F755" s="740" t="s">
        <v>1138</v>
      </c>
      <c r="G755" s="1548">
        <v>400</v>
      </c>
      <c r="H755" s="1549"/>
      <c r="I755" s="970">
        <v>375.29466666666701</v>
      </c>
      <c r="J755" s="971">
        <f t="shared" si="25"/>
        <v>18806.766336000015</v>
      </c>
      <c r="K755" s="131"/>
      <c r="L755" s="131"/>
      <c r="M755" s="131"/>
      <c r="N755" s="413"/>
    </row>
    <row r="756" spans="2:14" ht="15.75" customHeight="1">
      <c r="B756" s="402"/>
      <c r="C756" s="69"/>
      <c r="D756" s="131"/>
      <c r="E756" s="740" t="s">
        <v>1139</v>
      </c>
      <c r="F756" s="740" t="s">
        <v>1140</v>
      </c>
      <c r="G756" s="1548">
        <v>400</v>
      </c>
      <c r="H756" s="1549"/>
      <c r="I756" s="970">
        <v>354.99599999999998</v>
      </c>
      <c r="J756" s="971">
        <f t="shared" si="25"/>
        <v>17789.559551999999</v>
      </c>
      <c r="K756" s="131"/>
      <c r="L756" s="131"/>
      <c r="M756" s="131"/>
      <c r="N756" s="413"/>
    </row>
    <row r="757" spans="2:14" ht="15.75" customHeight="1">
      <c r="B757" s="402"/>
      <c r="C757" s="69"/>
      <c r="D757" s="131"/>
      <c r="E757" s="740" t="s">
        <v>1141</v>
      </c>
      <c r="F757" s="740" t="s">
        <v>1142</v>
      </c>
      <c r="G757" s="1548">
        <v>400</v>
      </c>
      <c r="H757" s="1549"/>
      <c r="I757" s="970">
        <v>356.38</v>
      </c>
      <c r="J757" s="971">
        <f t="shared" si="25"/>
        <v>17858.914559999997</v>
      </c>
      <c r="K757" s="131"/>
      <c r="L757" s="131"/>
      <c r="M757" s="131"/>
      <c r="N757" s="413"/>
    </row>
    <row r="758" spans="2:14" ht="15.75" customHeight="1">
      <c r="B758" s="402"/>
      <c r="C758" s="69"/>
      <c r="D758" s="131"/>
      <c r="E758" s="740" t="s">
        <v>1143</v>
      </c>
      <c r="F758" s="740" t="s">
        <v>1144</v>
      </c>
      <c r="G758" s="1548">
        <v>400</v>
      </c>
      <c r="H758" s="1549"/>
      <c r="I758" s="970">
        <v>349.921333333333</v>
      </c>
      <c r="J758" s="971">
        <f t="shared" si="25"/>
        <v>17535.257855999982</v>
      </c>
      <c r="K758" s="131"/>
      <c r="L758" s="131"/>
      <c r="M758" s="131"/>
      <c r="N758" s="413"/>
    </row>
    <row r="759" spans="2:14" ht="15.75" customHeight="1">
      <c r="B759" s="402"/>
      <c r="C759" s="69"/>
      <c r="D759" s="131"/>
      <c r="E759" s="740" t="s">
        <v>1145</v>
      </c>
      <c r="F759" s="740" t="s">
        <v>1146</v>
      </c>
      <c r="G759" s="1548">
        <v>400</v>
      </c>
      <c r="H759" s="1549"/>
      <c r="I759" s="970">
        <v>349.69066666666703</v>
      </c>
      <c r="J759" s="971">
        <f t="shared" si="25"/>
        <v>17523.698688000015</v>
      </c>
      <c r="K759" s="131"/>
      <c r="L759" s="131"/>
      <c r="M759" s="131"/>
      <c r="N759" s="413"/>
    </row>
    <row r="760" spans="2:14" ht="15.75" customHeight="1">
      <c r="B760" s="402"/>
      <c r="C760" s="69"/>
      <c r="D760" s="131"/>
      <c r="E760" s="740" t="s">
        <v>1147</v>
      </c>
      <c r="F760" s="740" t="s">
        <v>1148</v>
      </c>
      <c r="G760" s="1548">
        <v>400</v>
      </c>
      <c r="H760" s="1549"/>
      <c r="I760" s="970">
        <v>343.46266666666702</v>
      </c>
      <c r="J760" s="971">
        <f t="shared" si="25"/>
        <v>17211.601152000017</v>
      </c>
      <c r="K760" s="131"/>
      <c r="L760" s="131"/>
      <c r="M760" s="131"/>
      <c r="N760" s="413"/>
    </row>
    <row r="761" spans="2:14" ht="15.75" customHeight="1">
      <c r="B761" s="402"/>
      <c r="C761" s="69"/>
      <c r="D761" s="131"/>
      <c r="E761" s="740" t="s">
        <v>1149</v>
      </c>
      <c r="F761" s="740" t="s">
        <v>1150</v>
      </c>
      <c r="G761" s="1548">
        <v>400</v>
      </c>
      <c r="H761" s="1549"/>
      <c r="I761" s="970">
        <v>349.22933333333299</v>
      </c>
      <c r="J761" s="971">
        <f t="shared" si="25"/>
        <v>17500.580351999983</v>
      </c>
      <c r="K761" s="131"/>
      <c r="L761" s="131"/>
      <c r="M761" s="131"/>
      <c r="N761" s="413"/>
    </row>
    <row r="762" spans="2:14" ht="15.75" customHeight="1">
      <c r="B762" s="402"/>
      <c r="C762" s="69"/>
      <c r="D762" s="131"/>
      <c r="E762" s="740" t="s">
        <v>1151</v>
      </c>
      <c r="F762" s="740" t="s">
        <v>1152</v>
      </c>
      <c r="G762" s="1548">
        <v>400</v>
      </c>
      <c r="H762" s="1549"/>
      <c r="I762" s="970">
        <v>324.77866666666699</v>
      </c>
      <c r="J762" s="971">
        <f t="shared" si="25"/>
        <v>16275.308544000014</v>
      </c>
      <c r="K762" s="131"/>
      <c r="L762" s="131"/>
      <c r="M762" s="131"/>
      <c r="N762" s="413"/>
    </row>
    <row r="763" spans="2:14" ht="15.75" customHeight="1">
      <c r="B763" s="402"/>
      <c r="C763" s="69"/>
      <c r="D763" s="131"/>
      <c r="E763" s="740" t="s">
        <v>1153</v>
      </c>
      <c r="F763" s="740" t="s">
        <v>1154</v>
      </c>
      <c r="G763" s="1548">
        <v>630</v>
      </c>
      <c r="H763" s="1549"/>
      <c r="I763" s="970">
        <v>539.76</v>
      </c>
      <c r="J763" s="971">
        <f t="shared" si="25"/>
        <v>27048.453119999998</v>
      </c>
      <c r="K763" s="131"/>
      <c r="L763" s="131"/>
      <c r="M763" s="131"/>
      <c r="N763" s="413"/>
    </row>
    <row r="764" spans="2:14" ht="15.75" customHeight="1">
      <c r="B764" s="402"/>
      <c r="C764" s="69"/>
      <c r="D764" s="131"/>
      <c r="E764" s="131"/>
      <c r="F764" s="131"/>
      <c r="G764" s="131"/>
      <c r="H764" s="131"/>
      <c r="I764" s="972"/>
      <c r="J764" s="972">
        <f>SUM(J740:J763)</f>
        <v>483034.51238399994</v>
      </c>
      <c r="K764" s="131"/>
      <c r="L764" s="131"/>
      <c r="M764" s="131"/>
      <c r="N764" s="413"/>
    </row>
    <row r="765" spans="2:14" ht="15.75" customHeight="1">
      <c r="B765" s="402"/>
      <c r="C765" s="69"/>
      <c r="D765" s="131"/>
      <c r="E765" s="131"/>
      <c r="F765" s="131"/>
      <c r="G765" s="131"/>
      <c r="H765" s="131"/>
      <c r="I765" s="131"/>
      <c r="J765" s="973">
        <f>J764*1224</f>
        <v>591234243.15801597</v>
      </c>
      <c r="K765" s="131"/>
      <c r="L765" s="131"/>
      <c r="M765" s="131"/>
      <c r="N765" s="413"/>
    </row>
    <row r="766" spans="2:14" ht="15.75" customHeight="1">
      <c r="B766" s="402"/>
      <c r="C766" s="69"/>
      <c r="D766" s="131"/>
      <c r="E766" s="131"/>
      <c r="F766" s="131"/>
      <c r="G766" s="131"/>
      <c r="H766" s="131"/>
      <c r="I766" s="131"/>
      <c r="J766" s="131"/>
      <c r="K766" s="131"/>
      <c r="L766" s="131"/>
      <c r="M766" s="131"/>
      <c r="N766" s="413"/>
    </row>
    <row r="767" spans="2:14" ht="15.75" customHeight="1">
      <c r="B767" s="402"/>
      <c r="C767" s="69"/>
      <c r="D767" s="131"/>
      <c r="E767" s="1543" t="s">
        <v>1155</v>
      </c>
      <c r="F767" s="1543"/>
      <c r="G767" s="1543"/>
      <c r="H767" s="1543"/>
      <c r="I767" s="1543"/>
      <c r="J767" s="1543"/>
      <c r="K767" s="1543"/>
      <c r="L767" s="1543"/>
      <c r="M767" s="1543"/>
      <c r="N767" s="1544"/>
    </row>
    <row r="768" spans="2:14" ht="15.75" customHeight="1">
      <c r="B768" s="402"/>
      <c r="C768" s="69"/>
      <c r="D768" s="131"/>
      <c r="E768" s="444" t="s">
        <v>1156</v>
      </c>
      <c r="F768" s="444"/>
      <c r="G768" s="444" t="s">
        <v>1157</v>
      </c>
      <c r="H768" s="131"/>
      <c r="I768" s="131" t="s">
        <v>432</v>
      </c>
      <c r="J768" s="131"/>
      <c r="K768" s="131"/>
      <c r="L768" s="131"/>
      <c r="M768" s="131"/>
      <c r="N768" s="413"/>
    </row>
    <row r="769" spans="2:14" ht="15.75" customHeight="1">
      <c r="B769" s="402"/>
      <c r="C769" s="69"/>
      <c r="D769" s="131"/>
      <c r="E769" s="964">
        <v>23990</v>
      </c>
      <c r="F769" s="444" t="s">
        <v>1077</v>
      </c>
      <c r="G769" s="964">
        <f>G735</f>
        <v>34.260274468886749</v>
      </c>
      <c r="H769" s="444" t="s">
        <v>1077</v>
      </c>
      <c r="I769" s="961">
        <v>1224</v>
      </c>
      <c r="J769" s="444" t="s">
        <v>759</v>
      </c>
      <c r="K769" s="961">
        <f>E769*G769*I769</f>
        <v>1006010477.038518</v>
      </c>
      <c r="L769" s="131"/>
      <c r="M769" s="131"/>
      <c r="N769" s="413"/>
    </row>
    <row r="770" spans="2:14" ht="15.75" customHeight="1">
      <c r="B770" s="402"/>
      <c r="C770" s="69"/>
      <c r="D770" s="131"/>
      <c r="E770" s="131"/>
      <c r="F770" s="131"/>
      <c r="G770" s="131"/>
      <c r="H770" s="131"/>
      <c r="I770" s="972"/>
      <c r="J770" s="131"/>
      <c r="K770" s="131"/>
      <c r="L770" s="131"/>
      <c r="M770" s="131"/>
      <c r="N770" s="413"/>
    </row>
    <row r="771" spans="2:14" ht="15.75" customHeight="1">
      <c r="B771" s="402"/>
      <c r="C771" s="69"/>
      <c r="D771" s="131"/>
      <c r="E771" s="961">
        <f>K769</f>
        <v>1006010477.038518</v>
      </c>
      <c r="F771" s="444" t="s">
        <v>1078</v>
      </c>
      <c r="G771" s="961">
        <f>J765</f>
        <v>591234243.15801597</v>
      </c>
      <c r="H771" s="444" t="s">
        <v>759</v>
      </c>
      <c r="I771" s="972">
        <f>G771+E771</f>
        <v>1597244720.1965339</v>
      </c>
      <c r="J771" s="131"/>
      <c r="K771" s="974"/>
      <c r="L771" s="131"/>
      <c r="M771" s="131"/>
      <c r="N771" s="413"/>
    </row>
    <row r="772" spans="2:14" ht="15.75" customHeight="1">
      <c r="B772" s="402"/>
      <c r="C772" s="69"/>
      <c r="D772" s="131"/>
      <c r="E772" s="1543" t="s">
        <v>1158</v>
      </c>
      <c r="F772" s="1543"/>
      <c r="G772" s="1543"/>
      <c r="H772" s="1543"/>
      <c r="I772" s="1543"/>
      <c r="J772" s="1543"/>
      <c r="K772" s="1543"/>
      <c r="L772" s="1543"/>
      <c r="M772" s="1543"/>
      <c r="N772" s="1544"/>
    </row>
    <row r="773" spans="2:14" ht="15.75" customHeight="1">
      <c r="B773" s="402"/>
      <c r="C773" s="69"/>
      <c r="D773" s="131"/>
      <c r="E773" s="1543"/>
      <c r="F773" s="1543"/>
      <c r="G773" s="1543"/>
      <c r="H773" s="1543"/>
      <c r="I773" s="1543"/>
      <c r="J773" s="1543"/>
      <c r="K773" s="1543"/>
      <c r="L773" s="1543"/>
      <c r="M773" s="1543"/>
      <c r="N773" s="1544"/>
    </row>
    <row r="774" spans="2:14" ht="15.75" customHeight="1">
      <c r="B774" s="402"/>
      <c r="C774" s="69"/>
      <c r="D774" s="131"/>
      <c r="E774" s="131"/>
      <c r="F774" s="131"/>
      <c r="G774" s="131"/>
      <c r="H774" s="131"/>
      <c r="I774" s="131"/>
      <c r="J774" s="131"/>
      <c r="K774" s="131"/>
      <c r="L774" s="131"/>
      <c r="M774" s="131"/>
      <c r="N774" s="413"/>
    </row>
    <row r="775" spans="2:14" ht="15.75" customHeight="1">
      <c r="B775" s="402"/>
      <c r="C775" s="69"/>
      <c r="D775" s="131"/>
      <c r="E775" s="131" t="s">
        <v>1159</v>
      </c>
      <c r="F775" s="131"/>
      <c r="G775" s="131"/>
      <c r="H775" s="131"/>
      <c r="I775" s="131"/>
      <c r="J775" s="131"/>
      <c r="K775" s="131"/>
      <c r="L775" s="131"/>
      <c r="M775" s="131"/>
      <c r="N775" s="413"/>
    </row>
    <row r="776" spans="2:14" ht="15.75" customHeight="1">
      <c r="B776" s="402"/>
      <c r="C776" s="69"/>
      <c r="D776" s="131"/>
      <c r="E776" s="131" t="s">
        <v>1081</v>
      </c>
      <c r="F776" s="444" t="s">
        <v>759</v>
      </c>
      <c r="G776" s="466">
        <f>23990/379102</f>
        <v>6.3281122230956319E-2</v>
      </c>
      <c r="H776" s="131"/>
      <c r="I776" s="131"/>
      <c r="J776" s="131"/>
      <c r="K776" s="131"/>
      <c r="L776" s="131"/>
      <c r="M776" s="131"/>
      <c r="N776" s="413"/>
    </row>
    <row r="777" spans="2:14" ht="15.75" customHeight="1">
      <c r="B777" s="402"/>
      <c r="C777" s="69"/>
      <c r="D777" s="131"/>
      <c r="E777" s="131"/>
      <c r="F777" s="131"/>
      <c r="G777" s="131"/>
      <c r="H777" s="131"/>
      <c r="I777" s="131"/>
      <c r="J777" s="131"/>
      <c r="K777" s="131"/>
      <c r="L777" s="131"/>
      <c r="M777" s="131"/>
      <c r="N777" s="413"/>
    </row>
    <row r="778" spans="2:14" ht="15.75" customHeight="1">
      <c r="B778" s="402"/>
      <c r="C778" s="69"/>
      <c r="D778" s="131"/>
      <c r="E778" s="1541" t="s">
        <v>1160</v>
      </c>
      <c r="F778" s="1541"/>
      <c r="G778" s="1541"/>
      <c r="H778" s="1541"/>
      <c r="I778" s="1541"/>
      <c r="J778" s="1541"/>
      <c r="K778" s="1541"/>
      <c r="L778" s="1541"/>
      <c r="M778" s="1541"/>
      <c r="N778" s="1542"/>
    </row>
    <row r="779" spans="2:14" ht="15.75" customHeight="1">
      <c r="B779" s="402"/>
      <c r="C779" s="69"/>
      <c r="D779" s="131"/>
      <c r="E779" s="1541"/>
      <c r="F779" s="1541"/>
      <c r="G779" s="1541"/>
      <c r="H779" s="1541"/>
      <c r="I779" s="1541"/>
      <c r="J779" s="1541"/>
      <c r="K779" s="1541"/>
      <c r="L779" s="1541"/>
      <c r="M779" s="1541"/>
      <c r="N779" s="1542"/>
    </row>
    <row r="780" spans="2:14" ht="15.75" customHeight="1">
      <c r="B780" s="402"/>
      <c r="C780" s="69"/>
      <c r="D780" s="131"/>
      <c r="E780" s="131"/>
      <c r="F780" s="131"/>
      <c r="G780" s="131"/>
      <c r="H780" s="131"/>
      <c r="I780" s="131"/>
      <c r="J780" s="131"/>
      <c r="K780" s="131"/>
      <c r="L780" s="131"/>
      <c r="M780" s="131"/>
      <c r="N780" s="413"/>
    </row>
    <row r="781" spans="2:14" ht="15.75" customHeight="1">
      <c r="B781" s="402"/>
      <c r="D781" s="83" t="s">
        <v>1161</v>
      </c>
      <c r="E781" s="468"/>
      <c r="F781" s="131"/>
      <c r="G781" s="131"/>
      <c r="H781" s="131"/>
      <c r="I781" s="131"/>
      <c r="J781" s="131"/>
      <c r="K781" s="131"/>
      <c r="L781" s="131"/>
      <c r="M781" s="131"/>
      <c r="N781" s="413"/>
    </row>
    <row r="782" spans="2:14" ht="15.75" customHeight="1">
      <c r="B782" s="402"/>
      <c r="C782" s="69"/>
      <c r="D782" s="131"/>
      <c r="E782" s="1543" t="s">
        <v>1162</v>
      </c>
      <c r="F782" s="1543"/>
      <c r="G782" s="1543"/>
      <c r="H782" s="1543"/>
      <c r="I782" s="1543"/>
      <c r="J782" s="1543"/>
      <c r="K782" s="1543"/>
      <c r="L782" s="1543"/>
      <c r="M782" s="1543"/>
      <c r="N782" s="1544"/>
    </row>
    <row r="783" spans="2:14" ht="15.75" customHeight="1">
      <c r="B783" s="402"/>
      <c r="C783" s="69"/>
      <c r="D783" s="131"/>
      <c r="E783" s="1543"/>
      <c r="F783" s="1543"/>
      <c r="G783" s="1543"/>
      <c r="H783" s="1543"/>
      <c r="I783" s="1543"/>
      <c r="J783" s="1543"/>
      <c r="K783" s="1543"/>
      <c r="L783" s="1543"/>
      <c r="M783" s="1543"/>
      <c r="N783" s="1544"/>
    </row>
    <row r="784" spans="2:14" ht="15.75" customHeight="1">
      <c r="B784" s="402"/>
      <c r="C784" s="69"/>
      <c r="D784" s="131"/>
      <c r="E784" s="131" t="s">
        <v>1163</v>
      </c>
      <c r="F784" s="131"/>
      <c r="G784" s="131"/>
      <c r="H784" s="131"/>
      <c r="I784" s="131"/>
      <c r="J784" s="131"/>
      <c r="K784" s="131"/>
      <c r="L784" s="131"/>
      <c r="M784" s="131"/>
      <c r="N784" s="413"/>
    </row>
    <row r="785" spans="2:14" ht="15.75" customHeight="1">
      <c r="B785" s="402"/>
      <c r="C785" s="69"/>
      <c r="D785" s="131"/>
      <c r="E785" s="952">
        <v>2022</v>
      </c>
      <c r="F785" s="952" t="s">
        <v>1088</v>
      </c>
      <c r="G785" s="952" t="s">
        <v>1164</v>
      </c>
      <c r="H785" s="131"/>
      <c r="I785" s="131"/>
      <c r="J785" s="131"/>
      <c r="K785" s="131"/>
      <c r="L785" s="131"/>
      <c r="M785" s="131"/>
      <c r="N785" s="413"/>
    </row>
    <row r="786" spans="2:14" ht="15.75" customHeight="1">
      <c r="B786" s="402"/>
      <c r="C786" s="69"/>
      <c r="D786" s="131"/>
      <c r="E786" s="740" t="s">
        <v>1089</v>
      </c>
      <c r="F786" s="953">
        <v>12396</v>
      </c>
      <c r="G786" s="953">
        <v>123987436</v>
      </c>
      <c r="H786" s="131"/>
      <c r="I786" s="131"/>
      <c r="J786" s="131"/>
      <c r="K786" s="131"/>
      <c r="L786" s="131"/>
      <c r="M786" s="131"/>
      <c r="N786" s="413"/>
    </row>
    <row r="787" spans="2:14" ht="15.75" customHeight="1">
      <c r="B787" s="402"/>
      <c r="C787" s="69"/>
      <c r="D787" s="131"/>
      <c r="E787" s="740" t="s">
        <v>1090</v>
      </c>
      <c r="F787" s="953">
        <v>6</v>
      </c>
      <c r="G787" s="953">
        <v>264636468</v>
      </c>
      <c r="H787" s="131"/>
      <c r="I787" s="131"/>
      <c r="J787" s="131"/>
      <c r="K787" s="131"/>
      <c r="L787" s="131"/>
      <c r="M787" s="131"/>
      <c r="N787" s="413"/>
    </row>
    <row r="788" spans="2:14" ht="15.75" customHeight="1">
      <c r="B788" s="402"/>
      <c r="C788" s="69"/>
      <c r="D788" s="131"/>
      <c r="E788" s="740" t="s">
        <v>1091</v>
      </c>
      <c r="F788" s="953">
        <v>118899</v>
      </c>
      <c r="G788" s="953">
        <v>2185981276</v>
      </c>
      <c r="H788" s="131"/>
      <c r="I788" s="131"/>
      <c r="J788" s="131"/>
      <c r="K788" s="131"/>
      <c r="L788" s="131"/>
      <c r="M788" s="131"/>
      <c r="N788" s="413"/>
    </row>
    <row r="789" spans="2:14" ht="15.75" customHeight="1">
      <c r="B789" s="402"/>
      <c r="C789" s="69"/>
      <c r="D789" s="131"/>
      <c r="E789" s="958" t="s">
        <v>1092</v>
      </c>
      <c r="F789" s="953">
        <v>3</v>
      </c>
      <c r="G789" s="953">
        <v>18395897.199999999</v>
      </c>
      <c r="H789" s="131"/>
      <c r="I789" s="131"/>
      <c r="J789" s="131"/>
      <c r="K789" s="131"/>
      <c r="L789" s="131"/>
      <c r="M789" s="131"/>
      <c r="N789" s="413"/>
    </row>
    <row r="790" spans="2:14" ht="15.75" customHeight="1">
      <c r="B790" s="402"/>
      <c r="C790" s="69"/>
      <c r="D790" s="131"/>
      <c r="E790" s="740" t="s">
        <v>1093</v>
      </c>
      <c r="F790" s="953">
        <v>58879</v>
      </c>
      <c r="G790" s="953">
        <v>936478289</v>
      </c>
      <c r="H790" s="131"/>
      <c r="I790" s="131"/>
      <c r="J790" s="131"/>
      <c r="K790" s="131"/>
      <c r="L790" s="131"/>
      <c r="M790" s="131"/>
      <c r="N790" s="413"/>
    </row>
    <row r="791" spans="2:14" ht="15.75" customHeight="1">
      <c r="B791" s="402"/>
      <c r="C791" s="69"/>
      <c r="D791" s="131"/>
      <c r="E791" s="740" t="s">
        <v>1094</v>
      </c>
      <c r="F791" s="953">
        <v>1</v>
      </c>
      <c r="G791" s="953">
        <v>25067700</v>
      </c>
      <c r="H791" s="131"/>
      <c r="I791" s="131"/>
      <c r="J791" s="131"/>
      <c r="K791" s="131"/>
      <c r="L791" s="131"/>
      <c r="M791" s="131"/>
      <c r="N791" s="413"/>
    </row>
    <row r="792" spans="2:14" ht="15.75" customHeight="1">
      <c r="B792" s="402"/>
      <c r="C792" s="69"/>
      <c r="D792" s="131"/>
      <c r="E792" s="740" t="s">
        <v>1095</v>
      </c>
      <c r="F792" s="953">
        <v>6</v>
      </c>
      <c r="G792" s="953">
        <v>831255533</v>
      </c>
      <c r="H792" s="131"/>
      <c r="I792" s="131"/>
      <c r="J792" s="131"/>
      <c r="K792" s="131"/>
      <c r="L792" s="131"/>
      <c r="M792" s="131"/>
      <c r="N792" s="413"/>
    </row>
    <row r="793" spans="2:14" ht="15.75" customHeight="1">
      <c r="B793" s="402"/>
      <c r="C793" s="69"/>
      <c r="D793" s="131"/>
      <c r="E793" s="740" t="s">
        <v>1096</v>
      </c>
      <c r="F793" s="953">
        <v>44713</v>
      </c>
      <c r="G793" s="953">
        <v>498225841</v>
      </c>
      <c r="H793" s="131"/>
      <c r="I793" s="131"/>
      <c r="J793" s="131"/>
      <c r="K793" s="131"/>
      <c r="L793" s="131"/>
      <c r="M793" s="131"/>
      <c r="N793" s="413"/>
    </row>
    <row r="794" spans="2:14" ht="15.75" customHeight="1">
      <c r="B794" s="402"/>
      <c r="C794" s="69"/>
      <c r="D794" s="131"/>
      <c r="E794" s="958" t="s">
        <v>1097</v>
      </c>
      <c r="F794" s="953">
        <v>6</v>
      </c>
      <c r="G794" s="953">
        <v>441871</v>
      </c>
      <c r="H794" s="131"/>
      <c r="I794" s="131"/>
      <c r="J794" s="131"/>
      <c r="K794" s="131"/>
      <c r="L794" s="131"/>
      <c r="M794" s="131"/>
      <c r="N794" s="413"/>
    </row>
    <row r="795" spans="2:14" ht="15.75" customHeight="1">
      <c r="B795" s="402"/>
      <c r="C795" s="69"/>
      <c r="D795" s="131"/>
      <c r="E795" s="740" t="s">
        <v>1098</v>
      </c>
      <c r="F795" s="953">
        <v>2</v>
      </c>
      <c r="G795" s="953">
        <v>83536</v>
      </c>
      <c r="H795" s="131"/>
      <c r="I795" s="131"/>
      <c r="J795" s="131"/>
      <c r="K795" s="131"/>
      <c r="L795" s="131"/>
      <c r="M795" s="131"/>
      <c r="N795" s="413"/>
    </row>
    <row r="796" spans="2:14" ht="15.75" customHeight="1">
      <c r="B796" s="402"/>
      <c r="C796" s="69"/>
      <c r="D796" s="131"/>
      <c r="E796" s="958" t="s">
        <v>1099</v>
      </c>
      <c r="F796" s="953">
        <v>1</v>
      </c>
      <c r="G796" s="953">
        <v>202965300</v>
      </c>
      <c r="H796" s="131"/>
      <c r="I796" s="131"/>
      <c r="J796" s="131"/>
      <c r="K796" s="131"/>
      <c r="L796" s="131"/>
      <c r="M796" s="131"/>
      <c r="N796" s="413"/>
    </row>
    <row r="797" spans="2:14" ht="15.75" customHeight="1">
      <c r="B797" s="402"/>
      <c r="C797" s="69"/>
      <c r="D797" s="131"/>
      <c r="E797" s="740" t="s">
        <v>1100</v>
      </c>
      <c r="F797" s="953"/>
      <c r="G797" s="953"/>
      <c r="H797" s="131"/>
      <c r="I797" s="131"/>
      <c r="J797" s="131"/>
      <c r="K797" s="131"/>
      <c r="L797" s="131"/>
      <c r="M797" s="131"/>
      <c r="N797" s="413"/>
    </row>
    <row r="798" spans="2:14" ht="15.75" customHeight="1">
      <c r="B798" s="402"/>
      <c r="C798" s="69"/>
      <c r="D798" s="131"/>
      <c r="E798" s="962" t="s">
        <v>470</v>
      </c>
      <c r="F798" s="963">
        <f>SUM(F786:F797)</f>
        <v>234912</v>
      </c>
      <c r="G798" s="963">
        <f>SUM(G786:G797)</f>
        <v>5087519147.1999998</v>
      </c>
      <c r="H798" s="131"/>
      <c r="I798" s="466"/>
      <c r="J798" s="131"/>
      <c r="K798" s="131"/>
      <c r="L798" s="131"/>
      <c r="M798" s="131"/>
      <c r="N798" s="413"/>
    </row>
    <row r="799" spans="2:14" ht="15.75" customHeight="1">
      <c r="B799" s="402"/>
      <c r="C799" s="69"/>
      <c r="D799" s="131"/>
      <c r="E799" s="131"/>
      <c r="F799" s="131"/>
      <c r="G799" s="131"/>
      <c r="H799" s="131"/>
      <c r="I799" s="131"/>
      <c r="J799" s="131"/>
      <c r="K799" s="131"/>
      <c r="L799" s="131"/>
      <c r="M799" s="131"/>
      <c r="N799" s="413"/>
    </row>
    <row r="800" spans="2:14" ht="15.75" customHeight="1">
      <c r="B800" s="402"/>
      <c r="C800" s="69"/>
      <c r="D800" s="131"/>
      <c r="E800" s="1543" t="s">
        <v>1165</v>
      </c>
      <c r="F800" s="1543"/>
      <c r="G800" s="1543"/>
      <c r="H800" s="1543"/>
      <c r="I800" s="1543"/>
      <c r="J800" s="1543"/>
      <c r="K800" s="1543"/>
      <c r="L800" s="1543"/>
      <c r="M800" s="1543"/>
      <c r="N800" s="1544"/>
    </row>
    <row r="801" spans="2:14" ht="15.75" customHeight="1">
      <c r="B801" s="402"/>
      <c r="C801" s="69"/>
      <c r="D801" s="131"/>
      <c r="E801" s="1543"/>
      <c r="F801" s="1543"/>
      <c r="G801" s="1543"/>
      <c r="H801" s="1543"/>
      <c r="I801" s="1543"/>
      <c r="J801" s="1543"/>
      <c r="K801" s="1543"/>
      <c r="L801" s="1543"/>
      <c r="M801" s="1543"/>
      <c r="N801" s="1544"/>
    </row>
    <row r="802" spans="2:14" ht="15.75" customHeight="1">
      <c r="B802" s="402"/>
      <c r="C802" s="69"/>
      <c r="D802" s="131"/>
      <c r="E802" s="131" t="s">
        <v>1166</v>
      </c>
      <c r="F802" s="131"/>
      <c r="G802" s="131"/>
      <c r="H802" s="131"/>
      <c r="I802" s="131"/>
      <c r="J802" s="131"/>
      <c r="K802" s="131"/>
      <c r="L802" s="131"/>
      <c r="M802" s="131"/>
      <c r="N802" s="413"/>
    </row>
    <row r="803" spans="2:14" ht="15.75" customHeight="1">
      <c r="B803" s="402"/>
      <c r="C803" s="69"/>
      <c r="D803" s="131"/>
      <c r="E803" s="131" t="s">
        <v>1081</v>
      </c>
      <c r="F803" s="444" t="s">
        <v>759</v>
      </c>
      <c r="G803" s="972">
        <v>234912</v>
      </c>
      <c r="H803" s="131" t="s">
        <v>1167</v>
      </c>
      <c r="I803" s="972">
        <v>379102</v>
      </c>
      <c r="J803" s="975" t="s">
        <v>759</v>
      </c>
      <c r="K803" s="466">
        <f>G803/I803</f>
        <v>0.61965381348555271</v>
      </c>
      <c r="L803" s="131"/>
      <c r="M803" s="131"/>
      <c r="N803" s="413"/>
    </row>
    <row r="804" spans="2:14" ht="15.75" customHeight="1">
      <c r="B804" s="402"/>
      <c r="C804" s="69"/>
      <c r="D804" s="131"/>
      <c r="E804" s="131"/>
      <c r="F804" s="131"/>
      <c r="G804" s="131"/>
      <c r="H804" s="131"/>
      <c r="I804" s="131"/>
      <c r="J804" s="131"/>
      <c r="K804" s="131"/>
      <c r="L804" s="131"/>
      <c r="M804" s="131"/>
      <c r="N804" s="413"/>
    </row>
    <row r="805" spans="2:14" ht="15.75" customHeight="1">
      <c r="B805" s="402"/>
      <c r="C805" s="69"/>
      <c r="D805" s="131"/>
      <c r="E805" s="131" t="s">
        <v>1168</v>
      </c>
      <c r="F805" s="131"/>
      <c r="G805" s="131"/>
      <c r="H805" s="131"/>
      <c r="I805" s="131"/>
      <c r="J805" s="131"/>
      <c r="K805" s="131"/>
      <c r="L805" s="131"/>
      <c r="M805" s="131"/>
      <c r="N805" s="413"/>
    </row>
    <row r="806" spans="2:14" ht="15.75" customHeight="1">
      <c r="B806" s="402"/>
      <c r="C806" s="69"/>
      <c r="D806" s="131"/>
      <c r="E806" s="131"/>
      <c r="F806" s="131"/>
      <c r="G806" s="131"/>
      <c r="H806" s="131"/>
      <c r="I806" s="131"/>
      <c r="J806" s="131"/>
      <c r="K806" s="131"/>
      <c r="L806" s="131"/>
      <c r="M806" s="131"/>
      <c r="N806" s="413"/>
    </row>
    <row r="807" spans="2:14" ht="15.75" customHeight="1" thickBot="1">
      <c r="B807" s="754"/>
      <c r="C807" s="796"/>
      <c r="D807" s="796"/>
      <c r="E807" s="976"/>
      <c r="F807" s="976"/>
      <c r="G807" s="976"/>
      <c r="H807" s="976"/>
      <c r="I807" s="976"/>
      <c r="J807" s="976"/>
      <c r="K807" s="976"/>
      <c r="L807" s="976"/>
      <c r="M807" s="976"/>
      <c r="N807" s="977"/>
    </row>
    <row r="808" spans="2:14" ht="15.75" customHeight="1" thickBot="1"/>
    <row r="809" spans="2:14" ht="15.75" customHeight="1">
      <c r="B809" s="398"/>
      <c r="C809" s="400"/>
      <c r="D809" s="400"/>
      <c r="E809" s="400"/>
      <c r="F809" s="400"/>
      <c r="G809" s="400"/>
      <c r="H809" s="400"/>
      <c r="I809" s="400"/>
      <c r="J809" s="400"/>
      <c r="K809" s="400"/>
      <c r="L809" s="400"/>
      <c r="M809" s="400"/>
      <c r="N809" s="401"/>
    </row>
    <row r="810" spans="2:14" ht="15.75" customHeight="1">
      <c r="B810" s="402"/>
      <c r="C810" s="978" t="s">
        <v>1169</v>
      </c>
      <c r="N810" s="404"/>
    </row>
    <row r="811" spans="2:14" ht="15.75" customHeight="1">
      <c r="B811" s="402"/>
      <c r="N811" s="404"/>
    </row>
    <row r="812" spans="2:14" ht="22.5">
      <c r="B812" s="402"/>
      <c r="D812" s="859" t="s">
        <v>1007</v>
      </c>
      <c r="E812" s="910"/>
      <c r="N812" s="404"/>
    </row>
    <row r="813" spans="2:14" ht="15.75" customHeight="1">
      <c r="B813" s="402"/>
      <c r="N813" s="404"/>
    </row>
    <row r="814" spans="2:14" ht="15.75" customHeight="1">
      <c r="B814" s="402"/>
      <c r="D814" s="979" t="s">
        <v>1170</v>
      </c>
      <c r="N814" s="404"/>
    </row>
    <row r="815" spans="2:14" ht="15.75" customHeight="1">
      <c r="B815" s="402"/>
      <c r="N815" s="404"/>
    </row>
    <row r="816" spans="2:14" ht="15.75" customHeight="1">
      <c r="B816" s="402"/>
      <c r="D816" s="868"/>
      <c r="E816" s="868"/>
      <c r="F816" s="867"/>
      <c r="G816" s="867"/>
      <c r="H816" s="867"/>
      <c r="I816" s="867"/>
      <c r="J816" s="867"/>
      <c r="K816" s="867"/>
      <c r="N816" s="404"/>
    </row>
    <row r="817" spans="2:14" ht="15.75" customHeight="1">
      <c r="B817" s="402"/>
      <c r="D817" s="869"/>
      <c r="E817" s="869"/>
      <c r="F817" s="870"/>
      <c r="G817" s="870"/>
      <c r="H817" s="870"/>
      <c r="I817" s="870"/>
      <c r="J817" s="870"/>
      <c r="K817" s="870"/>
      <c r="N817" s="404"/>
    </row>
    <row r="818" spans="2:14" ht="15.75" customHeight="1">
      <c r="B818" s="402"/>
      <c r="D818" s="869"/>
      <c r="E818" s="869"/>
      <c r="F818" s="870"/>
      <c r="G818" s="870"/>
      <c r="H818" s="870"/>
      <c r="I818" s="870"/>
      <c r="J818" s="870"/>
      <c r="K818" s="870"/>
      <c r="N818" s="404"/>
    </row>
    <row r="819" spans="2:14" ht="15.75" customHeight="1">
      <c r="B819" s="402"/>
      <c r="D819" s="869"/>
      <c r="E819" s="869"/>
      <c r="F819" s="870"/>
      <c r="G819" s="870"/>
      <c r="H819" s="870"/>
      <c r="I819" s="870"/>
      <c r="J819" s="870"/>
      <c r="K819" s="870"/>
      <c r="N819" s="404"/>
    </row>
    <row r="820" spans="2:14" ht="15.75" customHeight="1">
      <c r="B820" s="402"/>
      <c r="D820" s="869"/>
      <c r="E820" s="869"/>
      <c r="F820" s="870"/>
      <c r="G820" s="870"/>
      <c r="H820" s="870"/>
      <c r="I820" s="870"/>
      <c r="J820" s="870"/>
      <c r="K820" s="870"/>
      <c r="N820" s="404"/>
    </row>
    <row r="821" spans="2:14" ht="15.75" customHeight="1">
      <c r="B821" s="402"/>
      <c r="D821" s="869"/>
      <c r="E821" s="869"/>
      <c r="F821" s="870"/>
      <c r="G821" s="870"/>
      <c r="H821" s="870"/>
      <c r="I821" s="870"/>
      <c r="J821" s="870"/>
      <c r="K821" s="870"/>
      <c r="N821" s="404"/>
    </row>
    <row r="822" spans="2:14" ht="15.75" customHeight="1">
      <c r="B822" s="402"/>
      <c r="D822" s="869"/>
      <c r="E822" s="869"/>
      <c r="F822" s="870"/>
      <c r="G822" s="870"/>
      <c r="H822" s="870"/>
      <c r="I822" s="870"/>
      <c r="J822" s="870"/>
      <c r="K822" s="870"/>
      <c r="N822" s="404"/>
    </row>
    <row r="823" spans="2:14" ht="15.75" customHeight="1">
      <c r="B823" s="402"/>
      <c r="D823" s="869"/>
      <c r="E823" s="869"/>
      <c r="F823" s="870"/>
      <c r="G823" s="870"/>
      <c r="H823" s="870"/>
      <c r="I823" s="870"/>
      <c r="J823" s="870"/>
      <c r="K823" s="870"/>
      <c r="N823" s="404"/>
    </row>
    <row r="824" spans="2:14" ht="15.75" customHeight="1">
      <c r="B824" s="402"/>
      <c r="D824" s="869"/>
      <c r="E824" s="869"/>
      <c r="F824" s="870"/>
      <c r="G824" s="870"/>
      <c r="H824" s="870"/>
      <c r="I824" s="870"/>
      <c r="J824" s="870"/>
      <c r="K824" s="870"/>
      <c r="N824" s="404"/>
    </row>
    <row r="825" spans="2:14" ht="15.75" customHeight="1">
      <c r="B825" s="402"/>
      <c r="D825" s="869"/>
      <c r="E825" s="869"/>
      <c r="F825" s="870"/>
      <c r="G825" s="870"/>
      <c r="H825" s="870"/>
      <c r="I825" s="870"/>
      <c r="J825" s="870"/>
      <c r="K825" s="870"/>
      <c r="N825" s="404"/>
    </row>
    <row r="826" spans="2:14" ht="15.75" customHeight="1">
      <c r="B826" s="402"/>
      <c r="D826" s="869"/>
      <c r="E826" s="869"/>
      <c r="F826" s="870"/>
      <c r="G826" s="870"/>
      <c r="H826" s="870"/>
      <c r="I826" s="870"/>
      <c r="J826" s="870"/>
      <c r="K826" s="870"/>
      <c r="N826" s="404"/>
    </row>
    <row r="827" spans="2:14" ht="13.5">
      <c r="B827" s="402"/>
      <c r="D827" s="868"/>
      <c r="E827" s="868"/>
      <c r="F827" s="867"/>
      <c r="G827" s="867"/>
      <c r="H827" s="867"/>
      <c r="I827" s="867"/>
      <c r="J827" s="867"/>
      <c r="K827" s="867"/>
      <c r="N827" s="404"/>
    </row>
    <row r="828" spans="2:14" ht="39" customHeight="1">
      <c r="B828" s="402"/>
      <c r="D828" s="1545" t="s">
        <v>959</v>
      </c>
      <c r="E828" s="1545"/>
      <c r="F828" s="1545"/>
      <c r="G828" s="1545"/>
      <c r="H828" s="1545"/>
      <c r="I828" s="1545"/>
      <c r="J828" s="1545"/>
      <c r="K828" s="867"/>
      <c r="N828" s="404"/>
    </row>
    <row r="829" spans="2:14" ht="15.75" customHeight="1">
      <c r="B829" s="402"/>
      <c r="N829" s="404"/>
    </row>
    <row r="830" spans="2:14" ht="15.75" customHeight="1" thickBot="1">
      <c r="B830" s="754"/>
      <c r="C830" s="755"/>
      <c r="D830" s="755"/>
      <c r="E830" s="755"/>
      <c r="F830" s="755"/>
      <c r="G830" s="755"/>
      <c r="H830" s="755"/>
      <c r="I830" s="755"/>
      <c r="J830" s="755"/>
      <c r="K830" s="755"/>
      <c r="L830" s="755"/>
      <c r="M830" s="755"/>
      <c r="N830" s="756"/>
    </row>
    <row r="831" spans="2:14" ht="15.75" customHeight="1" thickBot="1"/>
    <row r="832" spans="2:14" ht="15.75" customHeight="1">
      <c r="B832" s="398"/>
      <c r="C832" s="399" t="s">
        <v>1171</v>
      </c>
      <c r="D832" s="400"/>
      <c r="E832" s="400"/>
      <c r="F832" s="400"/>
      <c r="G832" s="400"/>
      <c r="H832" s="400"/>
      <c r="I832" s="400"/>
      <c r="J832" s="400"/>
      <c r="K832" s="400"/>
      <c r="L832" s="400"/>
      <c r="M832" s="400"/>
      <c r="N832" s="401"/>
    </row>
    <row r="833" spans="2:14" ht="15.75" customHeight="1">
      <c r="B833" s="402"/>
      <c r="C833" s="858"/>
      <c r="D833" s="858"/>
      <c r="E833" s="858"/>
      <c r="N833" s="404"/>
    </row>
    <row r="834" spans="2:14" ht="15.75" customHeight="1">
      <c r="B834" s="402"/>
      <c r="C834" s="858"/>
      <c r="D834" s="948" t="s">
        <v>1172</v>
      </c>
      <c r="E834" s="407"/>
      <c r="F834" s="69"/>
      <c r="G834" s="69"/>
      <c r="H834" s="69"/>
      <c r="I834" s="69"/>
      <c r="N834" s="404"/>
    </row>
    <row r="835" spans="2:14" ht="15.75" customHeight="1">
      <c r="B835" s="402"/>
      <c r="C835" s="858"/>
      <c r="D835" s="948" t="s">
        <v>1173</v>
      </c>
      <c r="E835" s="407"/>
      <c r="F835" s="69"/>
      <c r="G835" s="69"/>
      <c r="H835" s="69"/>
      <c r="I835" s="69"/>
      <c r="N835" s="404"/>
    </row>
    <row r="836" spans="2:14" ht="15.75" customHeight="1">
      <c r="B836" s="402"/>
      <c r="C836" s="858"/>
      <c r="D836" s="948" t="s">
        <v>1174</v>
      </c>
      <c r="E836" s="407"/>
      <c r="F836" s="69"/>
      <c r="G836" s="69"/>
      <c r="H836" s="69"/>
      <c r="I836" s="69"/>
      <c r="N836" s="404"/>
    </row>
    <row r="837" spans="2:14" ht="15.75" customHeight="1">
      <c r="B837" s="402"/>
      <c r="C837" s="858"/>
      <c r="D837" s="948" t="s">
        <v>1175</v>
      </c>
      <c r="E837" s="407"/>
      <c r="F837" s="69"/>
      <c r="G837" s="69"/>
      <c r="H837" s="69"/>
      <c r="I837" s="69"/>
      <c r="N837" s="404"/>
    </row>
    <row r="838" spans="2:14" ht="15.75" customHeight="1">
      <c r="B838" s="402"/>
      <c r="C838" s="858"/>
      <c r="D838" s="858"/>
      <c r="E838" s="858"/>
      <c r="N838" s="404"/>
    </row>
    <row r="839" spans="2:14" ht="22.5" customHeight="1">
      <c r="B839" s="402"/>
      <c r="C839" s="858"/>
      <c r="D839" s="859" t="s">
        <v>1007</v>
      </c>
      <c r="E839" s="910"/>
      <c r="N839" s="404"/>
    </row>
    <row r="840" spans="2:14" ht="15.75" customHeight="1">
      <c r="B840" s="402"/>
      <c r="C840" s="858"/>
      <c r="D840" s="858"/>
      <c r="E840" s="858"/>
      <c r="N840" s="404"/>
    </row>
    <row r="841" spans="2:14" ht="15.75" customHeight="1">
      <c r="B841" s="402"/>
      <c r="C841" s="858"/>
      <c r="D841" s="979" t="s">
        <v>1173</v>
      </c>
      <c r="E841" s="858"/>
      <c r="N841" s="404"/>
    </row>
    <row r="842" spans="2:14" ht="15.75" customHeight="1">
      <c r="B842" s="402"/>
      <c r="C842" s="858"/>
      <c r="D842" s="979"/>
      <c r="E842" s="858"/>
      <c r="N842" s="404"/>
    </row>
    <row r="843" spans="2:14" ht="15.75" customHeight="1">
      <c r="B843" s="402"/>
      <c r="C843" s="858"/>
      <c r="D843" s="979" t="s">
        <v>1176</v>
      </c>
      <c r="E843" s="858"/>
      <c r="N843" s="404"/>
    </row>
    <row r="844" spans="2:14" ht="15.75" customHeight="1">
      <c r="B844" s="402"/>
      <c r="C844" s="858"/>
      <c r="D844" s="979" t="s">
        <v>1177</v>
      </c>
      <c r="E844" s="858"/>
      <c r="N844" s="404"/>
    </row>
    <row r="845" spans="2:14" ht="15.75" customHeight="1">
      <c r="B845" s="402"/>
      <c r="C845" s="858"/>
      <c r="D845" s="980" t="s">
        <v>1178</v>
      </c>
      <c r="E845" s="858"/>
      <c r="N845" s="404"/>
    </row>
    <row r="846" spans="2:14" ht="15.75" customHeight="1">
      <c r="B846" s="402"/>
      <c r="C846" s="858"/>
      <c r="D846" s="980" t="s">
        <v>1179</v>
      </c>
      <c r="E846" s="858"/>
      <c r="N846" s="404"/>
    </row>
    <row r="847" spans="2:14" ht="15.75" customHeight="1">
      <c r="B847" s="402"/>
      <c r="C847" s="858"/>
      <c r="D847" s="1546" t="s">
        <v>1180</v>
      </c>
      <c r="E847" s="1547"/>
      <c r="F847" s="1547"/>
      <c r="G847" s="1547"/>
      <c r="H847" s="1547"/>
      <c r="I847" s="1547"/>
      <c r="J847" s="1547"/>
      <c r="K847" s="1547"/>
      <c r="N847" s="404"/>
    </row>
    <row r="848" spans="2:14" ht="15.75" customHeight="1">
      <c r="B848" s="402"/>
      <c r="C848" s="858"/>
      <c r="D848" s="1547"/>
      <c r="E848" s="1547"/>
      <c r="F848" s="1547"/>
      <c r="G848" s="1547"/>
      <c r="H848" s="1547"/>
      <c r="I848" s="1547"/>
      <c r="J848" s="1547"/>
      <c r="K848" s="1547"/>
      <c r="N848" s="404"/>
    </row>
    <row r="849" spans="2:14" ht="15.75" customHeight="1">
      <c r="B849" s="402"/>
      <c r="C849" s="858"/>
      <c r="D849" s="1547"/>
      <c r="E849" s="1547"/>
      <c r="F849" s="1547"/>
      <c r="G849" s="1547"/>
      <c r="H849" s="1547"/>
      <c r="I849" s="1547"/>
      <c r="J849" s="1547"/>
      <c r="K849" s="1547"/>
      <c r="N849" s="404"/>
    </row>
    <row r="850" spans="2:14" ht="15.75" customHeight="1">
      <c r="B850" s="402"/>
      <c r="C850" s="858"/>
      <c r="D850" s="1547"/>
      <c r="E850" s="1547"/>
      <c r="F850" s="1547"/>
      <c r="G850" s="1547"/>
      <c r="H850" s="1547"/>
      <c r="I850" s="1547"/>
      <c r="J850" s="1547"/>
      <c r="K850" s="1547"/>
      <c r="N850" s="404"/>
    </row>
    <row r="851" spans="2:14" ht="15.75" customHeight="1">
      <c r="B851" s="402"/>
      <c r="C851" s="858"/>
      <c r="D851" s="1547"/>
      <c r="E851" s="1547"/>
      <c r="F851" s="1547"/>
      <c r="G851" s="1547"/>
      <c r="H851" s="1547"/>
      <c r="I851" s="1547"/>
      <c r="J851" s="1547"/>
      <c r="K851" s="1547"/>
      <c r="N851" s="404"/>
    </row>
    <row r="852" spans="2:14" ht="15.75" customHeight="1">
      <c r="B852" s="402"/>
      <c r="C852" s="858"/>
      <c r="D852" s="1547"/>
      <c r="E852" s="1547"/>
      <c r="F852" s="1547"/>
      <c r="G852" s="1547"/>
      <c r="H852" s="1547"/>
      <c r="I852" s="1547"/>
      <c r="J852" s="1547"/>
      <c r="K852" s="1547"/>
      <c r="N852" s="404"/>
    </row>
    <row r="853" spans="2:14" ht="15.75" customHeight="1">
      <c r="B853" s="402"/>
      <c r="C853" s="858"/>
      <c r="D853" s="1547"/>
      <c r="E853" s="1547"/>
      <c r="F853" s="1547"/>
      <c r="G853" s="1547"/>
      <c r="H853" s="1547"/>
      <c r="I853" s="1547"/>
      <c r="J853" s="1547"/>
      <c r="K853" s="1547"/>
      <c r="N853" s="404"/>
    </row>
    <row r="854" spans="2:14" ht="15.75" customHeight="1">
      <c r="B854" s="402"/>
      <c r="C854" s="858"/>
      <c r="D854" s="979" t="s">
        <v>1181</v>
      </c>
      <c r="E854" s="858"/>
      <c r="N854" s="404"/>
    </row>
    <row r="855" spans="2:14" ht="15.75" customHeight="1">
      <c r="B855" s="402"/>
      <c r="C855" s="858"/>
      <c r="D855" s="1546" t="s">
        <v>1182</v>
      </c>
      <c r="E855" s="1546"/>
      <c r="F855" s="1546"/>
      <c r="G855" s="1546"/>
      <c r="H855" s="1546"/>
      <c r="I855" s="1546"/>
      <c r="J855" s="1546"/>
      <c r="K855" s="1546"/>
      <c r="N855" s="404"/>
    </row>
    <row r="856" spans="2:14" ht="15.75" customHeight="1">
      <c r="B856" s="402"/>
      <c r="C856" s="858"/>
      <c r="D856" s="1546"/>
      <c r="E856" s="1546"/>
      <c r="F856" s="1546"/>
      <c r="G856" s="1546"/>
      <c r="H856" s="1546"/>
      <c r="I856" s="1546"/>
      <c r="J856" s="1546"/>
      <c r="K856" s="1546"/>
      <c r="N856" s="404"/>
    </row>
    <row r="857" spans="2:14" ht="15.75" customHeight="1">
      <c r="B857" s="402"/>
      <c r="C857" s="858"/>
      <c r="D857" s="1546"/>
      <c r="E857" s="1546"/>
      <c r="F857" s="1546"/>
      <c r="G857" s="1546"/>
      <c r="H857" s="1546"/>
      <c r="I857" s="1546"/>
      <c r="J857" s="1546"/>
      <c r="K857" s="1546"/>
      <c r="N857" s="404"/>
    </row>
    <row r="858" spans="2:14" ht="15.75" customHeight="1">
      <c r="B858" s="402"/>
      <c r="C858" s="858"/>
      <c r="D858" s="858"/>
      <c r="E858" s="858"/>
      <c r="N858" s="404"/>
    </row>
    <row r="859" spans="2:14" ht="15.75" customHeight="1">
      <c r="B859" s="402"/>
      <c r="D859" s="948" t="s">
        <v>1174</v>
      </c>
      <c r="E859" s="981"/>
      <c r="N859" s="404"/>
    </row>
    <row r="860" spans="2:14" ht="15.75" customHeight="1">
      <c r="B860" s="402"/>
      <c r="D860" s="858"/>
      <c r="E860" s="858"/>
      <c r="N860" s="404"/>
    </row>
    <row r="861" spans="2:14" ht="15.75" customHeight="1">
      <c r="B861" s="402"/>
      <c r="D861" s="858"/>
      <c r="E861" s="982" t="s">
        <v>496</v>
      </c>
      <c r="F861" s="1539">
        <v>2023</v>
      </c>
      <c r="G861" s="1540"/>
      <c r="H861" s="1539">
        <v>2022</v>
      </c>
      <c r="I861" s="1540"/>
      <c r="J861" s="1539">
        <v>2021</v>
      </c>
      <c r="K861" s="1540"/>
      <c r="L861" s="1" t="s">
        <v>1183</v>
      </c>
      <c r="N861" s="404"/>
    </row>
    <row r="862" spans="2:14" ht="15.75" customHeight="1">
      <c r="B862" s="402"/>
      <c r="D862" s="858"/>
      <c r="E862" s="983" t="s">
        <v>1184</v>
      </c>
      <c r="F862" s="1535">
        <v>2767196526808</v>
      </c>
      <c r="G862" s="1536"/>
      <c r="H862" s="1535">
        <v>2144308640401</v>
      </c>
      <c r="I862" s="1536"/>
      <c r="J862" s="1535">
        <v>2057299936159</v>
      </c>
      <c r="K862" s="1536"/>
      <c r="L862" s="2"/>
      <c r="N862" s="404"/>
    </row>
    <row r="863" spans="2:14" ht="15.75" customHeight="1">
      <c r="B863" s="402"/>
      <c r="D863" s="858"/>
      <c r="E863" s="983" t="s">
        <v>572</v>
      </c>
      <c r="F863" s="1535">
        <v>2615684026098</v>
      </c>
      <c r="G863" s="1536"/>
      <c r="H863" s="1535">
        <v>2553222418124</v>
      </c>
      <c r="I863" s="1536"/>
      <c r="J863" s="1535">
        <v>2045023976997</v>
      </c>
      <c r="K863" s="1536"/>
      <c r="L863" s="2"/>
      <c r="N863" s="404"/>
    </row>
    <row r="864" spans="2:14" ht="15.75" customHeight="1">
      <c r="B864" s="402"/>
      <c r="D864" s="858"/>
      <c r="E864" s="983" t="s">
        <v>500</v>
      </c>
      <c r="F864" s="1537">
        <f>F862-F863</f>
        <v>151512500710</v>
      </c>
      <c r="G864" s="1538"/>
      <c r="H864" s="1537">
        <f t="shared" ref="H864" si="26">H862-H863</f>
        <v>-408913777723</v>
      </c>
      <c r="I864" s="1538"/>
      <c r="J864" s="1537">
        <f>J862-J863</f>
        <v>12275959162</v>
      </c>
      <c r="K864" s="1538"/>
      <c r="L864" s="984">
        <f>-AVERAGE(F864:J864)</f>
        <v>81708439283.666672</v>
      </c>
      <c r="N864" s="404"/>
    </row>
    <row r="865" spans="2:14" ht="15.75" customHeight="1">
      <c r="B865" s="402"/>
      <c r="D865" s="858"/>
      <c r="E865" s="858"/>
      <c r="N865" s="404"/>
    </row>
    <row r="866" spans="2:14" ht="15.75" customHeight="1">
      <c r="B866" s="402"/>
      <c r="D866" s="858"/>
      <c r="E866" s="2" t="s">
        <v>1185</v>
      </c>
      <c r="F866" s="985">
        <f>1/3</f>
        <v>0.33333333333333331</v>
      </c>
      <c r="N866" s="404"/>
    </row>
    <row r="867" spans="2:14" ht="15.75" customHeight="1">
      <c r="B867" s="402"/>
      <c r="D867" s="858"/>
      <c r="E867" s="2" t="s">
        <v>1186</v>
      </c>
      <c r="F867" s="985">
        <f>L864/'[8]Metrik Strategi Risiko'!E8</f>
        <v>0.2269678868990741</v>
      </c>
      <c r="N867" s="404"/>
    </row>
    <row r="868" spans="2:14" ht="15.75" customHeight="1">
      <c r="B868" s="402"/>
      <c r="D868" s="858"/>
      <c r="E868" s="858"/>
      <c r="N868" s="404"/>
    </row>
    <row r="869" spans="2:14" ht="15.75" customHeight="1">
      <c r="B869" s="402"/>
      <c r="D869" s="948" t="s">
        <v>1175</v>
      </c>
      <c r="E869" s="858"/>
      <c r="N869" s="404"/>
    </row>
    <row r="870" spans="2:14" ht="15.75" customHeight="1">
      <c r="B870" s="402"/>
      <c r="D870" s="948"/>
      <c r="E870" s="858"/>
      <c r="N870" s="404"/>
    </row>
    <row r="871" spans="2:14" ht="15.75" customHeight="1">
      <c r="B871" s="402"/>
      <c r="D871" s="858"/>
      <c r="E871" s="982" t="s">
        <v>496</v>
      </c>
      <c r="F871" s="982">
        <v>2023</v>
      </c>
      <c r="G871" s="982">
        <v>2022</v>
      </c>
      <c r="H871" s="982">
        <v>2021</v>
      </c>
      <c r="I871" s="982">
        <v>2020</v>
      </c>
      <c r="J871" s="2" t="s">
        <v>1183</v>
      </c>
      <c r="N871" s="404"/>
    </row>
    <row r="872" spans="2:14" ht="15.75" customHeight="1">
      <c r="B872" s="402"/>
      <c r="D872" s="858"/>
      <c r="E872" s="983" t="s">
        <v>1184</v>
      </c>
      <c r="F872" s="986">
        <v>1497774.0374817201</v>
      </c>
      <c r="G872" s="987">
        <v>1208090.6595231099</v>
      </c>
      <c r="H872" s="988">
        <v>1023958.97357551</v>
      </c>
      <c r="I872" s="989">
        <f>908450505.521663/1000</f>
        <v>908450.505521663</v>
      </c>
      <c r="J872" s="2"/>
      <c r="N872" s="404"/>
    </row>
    <row r="873" spans="2:14" ht="15.75" customHeight="1">
      <c r="B873" s="402"/>
      <c r="D873" s="858"/>
      <c r="E873" s="983" t="s">
        <v>572</v>
      </c>
      <c r="F873" s="986">
        <v>1614889.1869260001</v>
      </c>
      <c r="G873" s="987">
        <v>1279364.672358</v>
      </c>
      <c r="H873" s="988">
        <v>1130056.8739829999</v>
      </c>
      <c r="I873" s="989">
        <f>985845780.208/1000</f>
        <v>985845.78020799998</v>
      </c>
      <c r="J873" s="2"/>
      <c r="N873" s="404"/>
    </row>
    <row r="874" spans="2:14" ht="15.75" customHeight="1">
      <c r="B874" s="402"/>
      <c r="D874" s="858"/>
      <c r="E874" s="983" t="s">
        <v>500</v>
      </c>
      <c r="F874" s="990">
        <f>F872-F873</f>
        <v>-117115.14944427996</v>
      </c>
      <c r="G874" s="990">
        <f t="shared" ref="G874:I874" si="27">G872-G873</f>
        <v>-71274.012834890047</v>
      </c>
      <c r="H874" s="990">
        <f t="shared" si="27"/>
        <v>-106097.90040748997</v>
      </c>
      <c r="I874" s="990">
        <f t="shared" si="27"/>
        <v>-77395.274686336983</v>
      </c>
      <c r="J874" s="984">
        <f>-AVERAGE(F874:I874)</f>
        <v>92970.58434324924</v>
      </c>
      <c r="N874" s="404"/>
    </row>
    <row r="875" spans="2:14" ht="15.75" customHeight="1">
      <c r="B875" s="402"/>
      <c r="D875" s="858"/>
      <c r="E875" s="858"/>
      <c r="J875" s="2"/>
      <c r="N875" s="404"/>
    </row>
    <row r="876" spans="2:14" ht="15.75" customHeight="1">
      <c r="B876" s="402"/>
      <c r="D876" s="858"/>
      <c r="E876" s="2" t="s">
        <v>1185</v>
      </c>
      <c r="F876" s="985">
        <v>1</v>
      </c>
      <c r="J876" s="984">
        <f>J874*10^6</f>
        <v>92970584343.249237</v>
      </c>
      <c r="N876" s="404"/>
    </row>
    <row r="877" spans="2:14" ht="15.75" customHeight="1">
      <c r="B877" s="402"/>
      <c r="D877" s="858"/>
      <c r="E877" s="2" t="s">
        <v>1186</v>
      </c>
      <c r="F877" s="985">
        <f>J876/'[9]Metrik Strategi Risiko'!$E$8</f>
        <v>0.25825162317569234</v>
      </c>
      <c r="N877" s="404"/>
    </row>
    <row r="878" spans="2:14" ht="15.75" customHeight="1">
      <c r="B878" s="402"/>
      <c r="E878" s="1529"/>
      <c r="F878" s="1529"/>
      <c r="G878" s="1529"/>
      <c r="H878" s="1529"/>
      <c r="I878" s="1529"/>
      <c r="J878" s="1529"/>
      <c r="K878" s="1529"/>
      <c r="L878" s="1529"/>
      <c r="M878" s="1529"/>
      <c r="N878" s="404"/>
    </row>
    <row r="879" spans="2:14" ht="15.75" customHeight="1" thickBot="1">
      <c r="B879" s="754"/>
      <c r="C879" s="755"/>
      <c r="D879" s="755"/>
      <c r="E879" s="1502"/>
      <c r="F879" s="1502"/>
      <c r="G879" s="1502"/>
      <c r="H879" s="1502"/>
      <c r="I879" s="1502"/>
      <c r="J879" s="1502"/>
      <c r="K879" s="1502"/>
      <c r="L879" s="1502"/>
      <c r="M879" s="1502"/>
      <c r="N879" s="756"/>
    </row>
    <row r="880" spans="2:14" ht="15.75" customHeight="1" thickBot="1"/>
    <row r="881" spans="2:14" ht="15.75" customHeight="1">
      <c r="B881" s="398"/>
      <c r="C881" s="399" t="s">
        <v>1187</v>
      </c>
      <c r="D881" s="400"/>
      <c r="E881" s="400"/>
      <c r="F881" s="400"/>
      <c r="G881" s="400"/>
      <c r="H881" s="400"/>
      <c r="I881" s="400"/>
      <c r="J881" s="400"/>
      <c r="K881" s="400"/>
      <c r="L881" s="400"/>
      <c r="M881" s="400"/>
      <c r="N881" s="401"/>
    </row>
    <row r="882" spans="2:14" ht="15.75" customHeight="1">
      <c r="B882" s="402"/>
      <c r="C882" s="858"/>
      <c r="D882" s="858"/>
      <c r="E882" s="858"/>
      <c r="N882" s="404"/>
    </row>
    <row r="883" spans="2:14" ht="15.75" customHeight="1">
      <c r="B883" s="402"/>
      <c r="C883" s="406" t="s">
        <v>1188</v>
      </c>
      <c r="D883" s="858"/>
      <c r="E883" s="858"/>
      <c r="N883" s="404"/>
    </row>
    <row r="884" spans="2:14" ht="15.75" customHeight="1">
      <c r="B884" s="402"/>
      <c r="C884" s="858"/>
      <c r="D884" s="858" t="s">
        <v>1189</v>
      </c>
      <c r="E884" s="858"/>
      <c r="N884" s="404"/>
    </row>
    <row r="885" spans="2:14" ht="15.75" customHeight="1">
      <c r="B885" s="402"/>
      <c r="C885" s="858"/>
      <c r="D885" s="858" t="s">
        <v>1190</v>
      </c>
      <c r="E885" s="858"/>
      <c r="N885" s="404"/>
    </row>
    <row r="886" spans="2:14" ht="15.75" customHeight="1">
      <c r="B886" s="402"/>
      <c r="C886" s="858"/>
      <c r="D886" s="858" t="s">
        <v>1191</v>
      </c>
      <c r="E886" s="858"/>
      <c r="N886" s="404"/>
    </row>
    <row r="887" spans="2:14" ht="15.75" customHeight="1">
      <c r="B887" s="402"/>
      <c r="C887" s="2"/>
      <c r="D887" s="2"/>
      <c r="E887" s="2"/>
      <c r="F887" s="2"/>
      <c r="G887" s="2"/>
      <c r="H887" s="2"/>
      <c r="I887" s="2"/>
      <c r="J887" s="2"/>
      <c r="K887" s="2"/>
      <c r="N887" s="404"/>
    </row>
    <row r="888" spans="2:14" ht="15.75" customHeight="1">
      <c r="B888" s="402"/>
      <c r="C888" s="83" t="s">
        <v>1192</v>
      </c>
      <c r="D888" s="2"/>
      <c r="E888" s="2"/>
      <c r="F888" s="2"/>
      <c r="G888" s="2"/>
      <c r="H888" s="2"/>
      <c r="I888" s="2"/>
      <c r="J888" s="2"/>
      <c r="K888" s="2"/>
      <c r="N888" s="404"/>
    </row>
    <row r="889" spans="2:14" ht="15.75" customHeight="1">
      <c r="B889" s="402"/>
      <c r="C889" s="2"/>
      <c r="D889" s="2"/>
      <c r="E889" s="2"/>
      <c r="F889" s="2"/>
      <c r="G889" s="2"/>
      <c r="H889" s="2"/>
      <c r="I889" s="2"/>
      <c r="J889" s="2"/>
      <c r="K889" s="2"/>
      <c r="N889" s="404"/>
    </row>
    <row r="890" spans="2:14" ht="15.75" customHeight="1">
      <c r="B890" s="402"/>
      <c r="C890" s="2"/>
      <c r="D890" s="1517" t="s">
        <v>1193</v>
      </c>
      <c r="E890" s="1517" t="s">
        <v>1194</v>
      </c>
      <c r="F890" s="1518"/>
      <c r="G890" s="1518"/>
      <c r="H890" s="1518"/>
      <c r="I890" s="1518"/>
      <c r="J890" s="2"/>
      <c r="K890" s="2"/>
      <c r="N890" s="404"/>
    </row>
    <row r="891" spans="2:14" ht="15.75" customHeight="1">
      <c r="B891" s="402"/>
      <c r="C891" s="2"/>
      <c r="D891" s="1518"/>
      <c r="E891" s="992">
        <v>1</v>
      </c>
      <c r="F891" s="992">
        <v>2</v>
      </c>
      <c r="G891" s="992">
        <v>3</v>
      </c>
      <c r="H891" s="992">
        <v>4</v>
      </c>
      <c r="I891" s="992">
        <v>5</v>
      </c>
      <c r="J891" s="2"/>
      <c r="K891" s="2"/>
      <c r="N891" s="404"/>
    </row>
    <row r="892" spans="2:14" ht="15.75" customHeight="1">
      <c r="B892" s="402"/>
      <c r="C892" s="2"/>
      <c r="D892" s="1518"/>
      <c r="E892" s="992" t="s">
        <v>1195</v>
      </c>
      <c r="F892" s="992" t="s">
        <v>1196</v>
      </c>
      <c r="G892" s="992" t="s">
        <v>1197</v>
      </c>
      <c r="H892" s="992" t="s">
        <v>1198</v>
      </c>
      <c r="I892" s="992" t="s">
        <v>1199</v>
      </c>
      <c r="J892" s="2"/>
      <c r="K892" s="2"/>
      <c r="N892" s="404"/>
    </row>
    <row r="893" spans="2:14" ht="51">
      <c r="B893" s="402"/>
      <c r="C893" s="2"/>
      <c r="D893" s="1526" t="s">
        <v>1200</v>
      </c>
      <c r="E893" s="993" t="s">
        <v>1201</v>
      </c>
      <c r="F893" s="993" t="s">
        <v>1202</v>
      </c>
      <c r="G893" s="993" t="s">
        <v>1203</v>
      </c>
      <c r="H893" s="993" t="s">
        <v>1204</v>
      </c>
      <c r="I893" s="993" t="s">
        <v>1205</v>
      </c>
      <c r="J893" s="2"/>
      <c r="K893" s="2"/>
      <c r="N893" s="404"/>
    </row>
    <row r="894" spans="2:14" ht="63.75">
      <c r="B894" s="402"/>
      <c r="C894" s="2"/>
      <c r="D894" s="1527"/>
      <c r="E894" s="993" t="s">
        <v>1206</v>
      </c>
      <c r="F894" s="993" t="s">
        <v>1207</v>
      </c>
      <c r="G894" s="993" t="s">
        <v>1208</v>
      </c>
      <c r="H894" s="993" t="s">
        <v>1209</v>
      </c>
      <c r="I894" s="993" t="s">
        <v>1210</v>
      </c>
      <c r="J894" s="2"/>
      <c r="K894" s="2"/>
      <c r="N894" s="404"/>
    </row>
    <row r="895" spans="2:14" ht="51">
      <c r="B895" s="402"/>
      <c r="C895" s="2"/>
      <c r="D895" s="1528"/>
      <c r="E895" s="994"/>
      <c r="F895" s="994"/>
      <c r="G895" s="994"/>
      <c r="H895" s="994"/>
      <c r="I895" s="993" t="s">
        <v>1211</v>
      </c>
      <c r="J895" s="2"/>
      <c r="K895" s="2"/>
      <c r="N895" s="404"/>
    </row>
    <row r="896" spans="2:14" ht="15.75" customHeight="1">
      <c r="B896" s="402"/>
      <c r="C896" s="2"/>
      <c r="D896" s="2"/>
      <c r="E896" s="2"/>
      <c r="F896" s="2"/>
      <c r="G896" s="2"/>
      <c r="H896" s="2"/>
      <c r="I896" s="2"/>
      <c r="J896" s="2"/>
      <c r="K896" s="2"/>
      <c r="N896" s="404"/>
    </row>
    <row r="897" spans="2:14" ht="31.5" customHeight="1">
      <c r="B897" s="402"/>
      <c r="C897" s="2"/>
      <c r="D897" s="1529" t="s">
        <v>1212</v>
      </c>
      <c r="E897" s="1529"/>
      <c r="F897" s="1529"/>
      <c r="G897" s="1529"/>
      <c r="H897" s="1529"/>
      <c r="I897" s="1529"/>
      <c r="J897" s="2"/>
      <c r="K897" s="2"/>
      <c r="N897" s="404"/>
    </row>
    <row r="898" spans="2:14" ht="31.5" customHeight="1">
      <c r="B898" s="402"/>
      <c r="C898" s="2"/>
      <c r="D898" s="991"/>
      <c r="E898" s="991"/>
      <c r="F898" s="991"/>
      <c r="G898" s="991"/>
      <c r="H898" s="991"/>
      <c r="I898" s="991"/>
      <c r="J898" s="2"/>
      <c r="K898" s="2"/>
      <c r="N898" s="404"/>
    </row>
    <row r="899" spans="2:14" ht="15.75" customHeight="1">
      <c r="B899" s="402"/>
      <c r="C899" s="2"/>
      <c r="D899" s="2" t="s">
        <v>1213</v>
      </c>
      <c r="E899" s="2"/>
      <c r="F899" s="2"/>
      <c r="G899" s="2"/>
      <c r="H899" s="2"/>
      <c r="I899" s="2"/>
      <c r="J899" s="2"/>
      <c r="K899" s="2"/>
      <c r="N899" s="404"/>
    </row>
    <row r="900" spans="2:14" ht="15.75" customHeight="1">
      <c r="B900" s="402"/>
      <c r="C900" s="2"/>
      <c r="D900" s="995" t="s">
        <v>570</v>
      </c>
      <c r="E900" s="995" t="s">
        <v>1214</v>
      </c>
      <c r="F900" s="995" t="s">
        <v>1215</v>
      </c>
      <c r="G900" s="1534" t="s">
        <v>1216</v>
      </c>
      <c r="H900" s="1534"/>
      <c r="I900" s="2"/>
      <c r="J900" s="2"/>
      <c r="K900" s="2"/>
      <c r="N900" s="404"/>
    </row>
    <row r="901" spans="2:14" ht="15.75" customHeight="1">
      <c r="B901" s="402"/>
      <c r="C901" s="2"/>
      <c r="D901" s="996">
        <v>2023</v>
      </c>
      <c r="E901" s="996">
        <v>2</v>
      </c>
      <c r="F901" s="997">
        <v>1040000</v>
      </c>
      <c r="G901" s="1530">
        <f>E901/F901</f>
        <v>1.923076923076923E-6</v>
      </c>
      <c r="H901" s="1530"/>
      <c r="I901" s="2"/>
      <c r="J901" s="2"/>
      <c r="K901" s="2"/>
      <c r="N901" s="404"/>
    </row>
    <row r="902" spans="2:14" ht="15.75" customHeight="1">
      <c r="B902" s="402"/>
      <c r="C902" s="2"/>
      <c r="D902" s="996">
        <v>2022</v>
      </c>
      <c r="E902" s="996">
        <v>0</v>
      </c>
      <c r="F902" s="997">
        <v>1040000</v>
      </c>
      <c r="G902" s="1530">
        <f t="shared" ref="G902:G903" si="28">E902/F902</f>
        <v>0</v>
      </c>
      <c r="H902" s="1530"/>
      <c r="I902" s="2"/>
      <c r="J902" s="998"/>
      <c r="K902" s="2"/>
      <c r="N902" s="404"/>
    </row>
    <row r="903" spans="2:14" ht="15.75" customHeight="1">
      <c r="B903" s="402"/>
      <c r="C903" s="2"/>
      <c r="D903" s="996">
        <v>2021</v>
      </c>
      <c r="E903" s="996">
        <v>0</v>
      </c>
      <c r="F903" s="997">
        <v>1040000</v>
      </c>
      <c r="G903" s="1530">
        <f t="shared" si="28"/>
        <v>0</v>
      </c>
      <c r="H903" s="1530"/>
      <c r="I903" s="2"/>
      <c r="J903"/>
      <c r="K903" s="2"/>
      <c r="N903" s="404"/>
    </row>
    <row r="904" spans="2:14" ht="15.75" customHeight="1">
      <c r="B904" s="402"/>
      <c r="C904" s="2"/>
      <c r="D904" s="999"/>
      <c r="E904" s="1531" t="s">
        <v>700</v>
      </c>
      <c r="F904" s="1531"/>
      <c r="G904" s="1532">
        <f>AVERAGE(G901:H903)</f>
        <v>6.4102564102564099E-7</v>
      </c>
      <c r="H904" s="1533"/>
      <c r="I904" s="2"/>
      <c r="J904" s="2"/>
      <c r="K904" s="2"/>
      <c r="N904" s="404"/>
    </row>
    <row r="905" spans="2:14" ht="15.75" customHeight="1">
      <c r="B905" s="402"/>
      <c r="C905" s="2"/>
      <c r="D905" s="2"/>
      <c r="E905" s="2"/>
      <c r="F905" s="2"/>
      <c r="G905" s="2"/>
      <c r="H905" s="2"/>
      <c r="I905" s="2"/>
      <c r="J905" s="2"/>
      <c r="K905" s="2"/>
      <c r="N905" s="404"/>
    </row>
    <row r="906" spans="2:14" ht="15.75" customHeight="1">
      <c r="B906" s="402"/>
      <c r="C906" s="2"/>
      <c r="D906" s="2" t="s">
        <v>1217</v>
      </c>
      <c r="E906" s="2"/>
      <c r="F906" s="2"/>
      <c r="G906" s="2"/>
      <c r="H906" s="2"/>
      <c r="I906" s="2"/>
      <c r="J906" s="2"/>
      <c r="K906" s="2"/>
      <c r="N906" s="404"/>
    </row>
    <row r="907" spans="2:14" ht="15.75" customHeight="1">
      <c r="B907" s="402"/>
      <c r="C907" s="2"/>
      <c r="D907" s="1511" t="s">
        <v>54</v>
      </c>
      <c r="E907" s="1511" t="s">
        <v>1194</v>
      </c>
      <c r="F907" s="1514"/>
      <c r="G907" s="1514"/>
      <c r="H907" s="1514"/>
      <c r="I907" s="1515"/>
      <c r="J907" s="2"/>
      <c r="K907" s="2"/>
      <c r="N907" s="404"/>
    </row>
    <row r="908" spans="2:14" ht="15.75" customHeight="1">
      <c r="B908" s="402"/>
      <c r="C908" s="2"/>
      <c r="D908" s="1512"/>
      <c r="E908" s="1000">
        <v>1</v>
      </c>
      <c r="F908" s="1000">
        <v>2</v>
      </c>
      <c r="G908" s="1000">
        <v>3</v>
      </c>
      <c r="H908" s="1000">
        <v>4</v>
      </c>
      <c r="I908" s="1000">
        <v>5</v>
      </c>
      <c r="J908" s="2"/>
      <c r="K908" s="2"/>
      <c r="N908" s="404"/>
    </row>
    <row r="909" spans="2:14" ht="15.75" customHeight="1">
      <c r="B909" s="402"/>
      <c r="C909" s="2"/>
      <c r="D909" s="1513"/>
      <c r="E909" s="1001" t="s">
        <v>1218</v>
      </c>
      <c r="F909" s="1001" t="s">
        <v>1219</v>
      </c>
      <c r="G909" s="1001" t="s">
        <v>1220</v>
      </c>
      <c r="H909" s="1001" t="s">
        <v>1221</v>
      </c>
      <c r="I909" s="1001" t="s">
        <v>1222</v>
      </c>
      <c r="J909" s="2"/>
      <c r="K909" s="2"/>
      <c r="N909" s="404"/>
    </row>
    <row r="910" spans="2:14" ht="51">
      <c r="B910" s="402"/>
      <c r="C910" s="2"/>
      <c r="D910" s="993" t="s">
        <v>1223</v>
      </c>
      <c r="E910" s="1002" t="s">
        <v>1224</v>
      </c>
      <c r="F910" s="1002" t="s">
        <v>1225</v>
      </c>
      <c r="G910" s="1002" t="s">
        <v>1226</v>
      </c>
      <c r="H910" s="1002" t="s">
        <v>1227</v>
      </c>
      <c r="I910" s="1002" t="s">
        <v>1228</v>
      </c>
      <c r="J910" s="2"/>
      <c r="K910" s="2"/>
      <c r="N910" s="404"/>
    </row>
    <row r="911" spans="2:14" ht="38.25">
      <c r="B911" s="402"/>
      <c r="C911" s="2"/>
      <c r="D911" s="993" t="s">
        <v>1229</v>
      </c>
      <c r="E911" s="993" t="s">
        <v>1230</v>
      </c>
      <c r="F911" s="993" t="s">
        <v>1231</v>
      </c>
      <c r="G911" s="993" t="s">
        <v>1232</v>
      </c>
      <c r="H911" s="993" t="s">
        <v>1233</v>
      </c>
      <c r="I911" s="993" t="s">
        <v>1234</v>
      </c>
      <c r="J911" s="2"/>
      <c r="K911" s="2"/>
      <c r="N911" s="404"/>
    </row>
    <row r="912" spans="2:14" ht="38.25">
      <c r="B912" s="402"/>
      <c r="C912" s="2"/>
      <c r="D912" s="993" t="s">
        <v>827</v>
      </c>
      <c r="E912" s="993" t="s">
        <v>1235</v>
      </c>
      <c r="F912" s="993" t="s">
        <v>1236</v>
      </c>
      <c r="G912" s="993" t="s">
        <v>1237</v>
      </c>
      <c r="H912" s="993" t="s">
        <v>1238</v>
      </c>
      <c r="I912" s="993" t="s">
        <v>1239</v>
      </c>
      <c r="J912" s="2"/>
      <c r="K912" s="2"/>
      <c r="N912" s="404"/>
    </row>
    <row r="913" spans="2:14" ht="15.75" customHeight="1">
      <c r="B913" s="402"/>
      <c r="C913" s="2"/>
      <c r="D913" s="1501" t="s">
        <v>1240</v>
      </c>
      <c r="E913" s="1516"/>
      <c r="F913" s="1516"/>
      <c r="G913" s="1516"/>
      <c r="H913" s="1516"/>
      <c r="I913" s="1516"/>
      <c r="J913" s="2"/>
      <c r="K913" s="2"/>
      <c r="N913" s="404"/>
    </row>
    <row r="914" spans="2:14" ht="15.75" customHeight="1">
      <c r="B914" s="402"/>
      <c r="C914" s="2"/>
      <c r="D914" s="2"/>
      <c r="E914" s="2"/>
      <c r="F914" s="2"/>
      <c r="G914" s="2"/>
      <c r="H914" s="2"/>
      <c r="I914" s="2"/>
      <c r="J914" s="2"/>
      <c r="K914" s="2"/>
      <c r="N914" s="404"/>
    </row>
    <row r="915" spans="2:14" ht="15.75" customHeight="1">
      <c r="B915" s="402"/>
      <c r="C915" s="2"/>
      <c r="D915" s="2"/>
      <c r="E915" s="2"/>
      <c r="F915" s="2"/>
      <c r="G915" s="2"/>
      <c r="H915" s="2"/>
      <c r="I915" s="2"/>
      <c r="J915" s="2"/>
      <c r="K915" s="2"/>
      <c r="N915" s="404"/>
    </row>
    <row r="916" spans="2:14" ht="15.75" customHeight="1">
      <c r="B916" s="402"/>
      <c r="C916" s="83" t="s">
        <v>1241</v>
      </c>
      <c r="D916" s="2"/>
      <c r="E916" s="2"/>
      <c r="F916" s="2"/>
      <c r="G916" s="2"/>
      <c r="H916" s="2"/>
      <c r="I916" s="2"/>
      <c r="J916" s="2"/>
      <c r="K916" s="2"/>
      <c r="N916" s="404"/>
    </row>
    <row r="917" spans="2:14" ht="15.75" customHeight="1">
      <c r="B917" s="402"/>
      <c r="C917" s="83"/>
      <c r="D917" s="2"/>
      <c r="E917" s="2"/>
      <c r="F917" s="2"/>
      <c r="G917" s="2"/>
      <c r="H917" s="2"/>
      <c r="I917" s="2"/>
      <c r="J917" s="2"/>
      <c r="K917" s="2"/>
      <c r="N917" s="404"/>
    </row>
    <row r="918" spans="2:14" ht="15.75" customHeight="1">
      <c r="B918" s="402"/>
      <c r="C918" s="2"/>
      <c r="D918" s="1517" t="s">
        <v>1193</v>
      </c>
      <c r="E918" s="1517" t="s">
        <v>1194</v>
      </c>
      <c r="F918" s="1518"/>
      <c r="G918" s="1518"/>
      <c r="H918" s="1518"/>
      <c r="I918" s="1518"/>
      <c r="J918" s="2"/>
      <c r="K918" s="2"/>
      <c r="N918" s="404"/>
    </row>
    <row r="919" spans="2:14" ht="15.75" customHeight="1">
      <c r="B919" s="402"/>
      <c r="C919" s="2"/>
      <c r="D919" s="1518"/>
      <c r="E919" s="992">
        <v>1</v>
      </c>
      <c r="F919" s="992">
        <v>2</v>
      </c>
      <c r="G919" s="992">
        <v>3</v>
      </c>
      <c r="H919" s="992">
        <v>4</v>
      </c>
      <c r="I919" s="992">
        <v>5</v>
      </c>
      <c r="J919" s="2"/>
      <c r="K919" s="2"/>
      <c r="N919" s="404"/>
    </row>
    <row r="920" spans="2:14" ht="15.75" customHeight="1">
      <c r="B920" s="402"/>
      <c r="C920" s="2"/>
      <c r="D920" s="1518"/>
      <c r="E920" s="992" t="s">
        <v>1195</v>
      </c>
      <c r="F920" s="992" t="s">
        <v>1196</v>
      </c>
      <c r="G920" s="992" t="s">
        <v>1197</v>
      </c>
      <c r="H920" s="992" t="s">
        <v>1198</v>
      </c>
      <c r="I920" s="992" t="s">
        <v>1199</v>
      </c>
      <c r="J920" s="2"/>
      <c r="K920" s="2"/>
      <c r="N920" s="404"/>
    </row>
    <row r="921" spans="2:14" ht="51">
      <c r="B921" s="402"/>
      <c r="C921" s="2"/>
      <c r="D921" s="1526" t="s">
        <v>1200</v>
      </c>
      <c r="E921" s="993" t="s">
        <v>1201</v>
      </c>
      <c r="F921" s="993" t="s">
        <v>1202</v>
      </c>
      <c r="G921" s="993" t="s">
        <v>1203</v>
      </c>
      <c r="H921" s="993" t="s">
        <v>1204</v>
      </c>
      <c r="I921" s="993" t="s">
        <v>1205</v>
      </c>
      <c r="J921" s="2"/>
      <c r="K921" s="2"/>
      <c r="N921" s="404"/>
    </row>
    <row r="922" spans="2:14" ht="63.75">
      <c r="B922" s="402"/>
      <c r="C922" s="2"/>
      <c r="D922" s="1527"/>
      <c r="E922" s="993" t="s">
        <v>1206</v>
      </c>
      <c r="F922" s="993" t="s">
        <v>1207</v>
      </c>
      <c r="G922" s="993" t="s">
        <v>1208</v>
      </c>
      <c r="H922" s="993" t="s">
        <v>1209</v>
      </c>
      <c r="I922" s="993" t="s">
        <v>1210</v>
      </c>
      <c r="J922" s="2"/>
      <c r="K922" s="2"/>
      <c r="N922" s="404"/>
    </row>
    <row r="923" spans="2:14" ht="51">
      <c r="B923" s="402"/>
      <c r="C923" s="2"/>
      <c r="D923" s="1528"/>
      <c r="E923" s="994"/>
      <c r="F923" s="994"/>
      <c r="G923" s="994"/>
      <c r="H923" s="994"/>
      <c r="I923" s="993" t="s">
        <v>1211</v>
      </c>
      <c r="J923" s="2"/>
      <c r="K923" s="2"/>
      <c r="N923" s="404"/>
    </row>
    <row r="924" spans="2:14" ht="15.75" customHeight="1">
      <c r="B924" s="402"/>
      <c r="C924" s="2"/>
      <c r="D924" s="2"/>
      <c r="E924" s="2"/>
      <c r="F924" s="2"/>
      <c r="G924" s="2"/>
      <c r="H924" s="2"/>
      <c r="I924" s="2"/>
      <c r="J924" s="2"/>
      <c r="K924" s="2"/>
      <c r="N924" s="404"/>
    </row>
    <row r="925" spans="2:14" ht="31.5" customHeight="1">
      <c r="B925" s="402"/>
      <c r="C925" s="2"/>
      <c r="D925" s="1529" t="s">
        <v>1212</v>
      </c>
      <c r="E925" s="1529"/>
      <c r="F925" s="1529"/>
      <c r="G925" s="1529"/>
      <c r="H925" s="1529"/>
      <c r="I925" s="1529"/>
      <c r="J925" s="2"/>
      <c r="K925" s="2"/>
      <c r="N925" s="404"/>
    </row>
    <row r="926" spans="2:14" ht="31.5" customHeight="1">
      <c r="B926" s="402"/>
      <c r="C926" s="2"/>
      <c r="D926" s="991"/>
      <c r="E926" s="991"/>
      <c r="F926" s="991"/>
      <c r="G926" s="991"/>
      <c r="H926" s="991"/>
      <c r="I926" s="991"/>
      <c r="J926" s="2"/>
      <c r="K926" s="2"/>
      <c r="N926" s="404"/>
    </row>
    <row r="927" spans="2:14" ht="15.75" customHeight="1">
      <c r="B927" s="402"/>
      <c r="C927" s="2"/>
      <c r="D927" s="2" t="s">
        <v>1213</v>
      </c>
      <c r="E927" s="2"/>
      <c r="F927" s="2"/>
      <c r="G927" s="2"/>
      <c r="H927" s="2"/>
      <c r="I927" s="2"/>
      <c r="J927" s="2"/>
      <c r="K927" s="2"/>
      <c r="N927" s="404"/>
    </row>
    <row r="928" spans="2:14" ht="15.75" customHeight="1">
      <c r="B928" s="402"/>
      <c r="C928" s="2"/>
      <c r="D928" s="1003" t="s">
        <v>570</v>
      </c>
      <c r="E928" s="1003" t="s">
        <v>1214</v>
      </c>
      <c r="F928" s="1003" t="s">
        <v>1215</v>
      </c>
      <c r="G928" s="1523" t="s">
        <v>1216</v>
      </c>
      <c r="H928" s="1523"/>
      <c r="I928" s="2"/>
      <c r="J928" s="2"/>
      <c r="K928" s="2"/>
      <c r="N928" s="404"/>
    </row>
    <row r="929" spans="2:14" ht="15.75" customHeight="1">
      <c r="B929" s="402"/>
      <c r="C929" s="2"/>
      <c r="D929" s="1004">
        <v>2023</v>
      </c>
      <c r="E929" s="1004">
        <v>2</v>
      </c>
      <c r="F929" s="1004">
        <v>1040000</v>
      </c>
      <c r="G929" s="1522">
        <f>E929/F929</f>
        <v>1.923076923076923E-6</v>
      </c>
      <c r="H929" s="1522"/>
      <c r="I929" s="2"/>
      <c r="J929" s="2"/>
      <c r="K929" s="2"/>
      <c r="N929" s="404"/>
    </row>
    <row r="930" spans="2:14" ht="15.75" customHeight="1">
      <c r="B930" s="402"/>
      <c r="C930" s="2"/>
      <c r="D930" s="1004">
        <v>2022</v>
      </c>
      <c r="E930" s="1004">
        <v>0</v>
      </c>
      <c r="F930" s="1004">
        <v>1040000</v>
      </c>
      <c r="G930" s="1522">
        <f t="shared" ref="G930:G931" si="29">E930/F930</f>
        <v>0</v>
      </c>
      <c r="H930" s="1522"/>
      <c r="I930" s="2"/>
      <c r="J930" s="998"/>
      <c r="K930" s="2"/>
      <c r="N930" s="404"/>
    </row>
    <row r="931" spans="2:14" ht="15.75" customHeight="1">
      <c r="B931" s="402"/>
      <c r="C931" s="2"/>
      <c r="D931" s="1004">
        <v>2021</v>
      </c>
      <c r="E931" s="1004">
        <v>0</v>
      </c>
      <c r="F931" s="1004">
        <v>1040000</v>
      </c>
      <c r="G931" s="1522">
        <f t="shared" si="29"/>
        <v>0</v>
      </c>
      <c r="H931" s="1522"/>
      <c r="I931" s="2"/>
      <c r="J931"/>
      <c r="K931" s="2"/>
      <c r="N931" s="404"/>
    </row>
    <row r="932" spans="2:14" ht="15.75" customHeight="1">
      <c r="B932" s="402"/>
      <c r="C932" s="2"/>
      <c r="D932" s="999"/>
      <c r="E932" s="1523" t="s">
        <v>700</v>
      </c>
      <c r="F932" s="1523"/>
      <c r="G932" s="1524">
        <f>AVERAGE(G929:H931)</f>
        <v>6.4102564102564099E-7</v>
      </c>
      <c r="H932" s="1525"/>
      <c r="I932" s="2"/>
      <c r="J932" s="2"/>
      <c r="K932" s="2"/>
      <c r="N932" s="404"/>
    </row>
    <row r="933" spans="2:14" ht="15.75" customHeight="1">
      <c r="B933" s="402"/>
      <c r="C933" s="2"/>
      <c r="D933" s="2"/>
      <c r="E933" s="2"/>
      <c r="F933" s="2"/>
      <c r="G933" s="2"/>
      <c r="H933" s="2"/>
      <c r="I933" s="2"/>
      <c r="J933" s="2"/>
      <c r="K933" s="2"/>
      <c r="N933" s="404"/>
    </row>
    <row r="934" spans="2:14" ht="15.75" customHeight="1">
      <c r="B934" s="402"/>
      <c r="C934" s="2"/>
      <c r="D934" s="2" t="s">
        <v>1217</v>
      </c>
      <c r="E934" s="2"/>
      <c r="F934" s="2"/>
      <c r="G934" s="2"/>
      <c r="H934" s="2"/>
      <c r="I934" s="2"/>
      <c r="J934" s="2"/>
      <c r="K934" s="2"/>
      <c r="N934" s="404"/>
    </row>
    <row r="935" spans="2:14" ht="15.75" customHeight="1">
      <c r="B935" s="402"/>
      <c r="C935" s="2"/>
      <c r="D935" s="1511" t="s">
        <v>54</v>
      </c>
      <c r="E935" s="1511" t="s">
        <v>1194</v>
      </c>
      <c r="F935" s="1514"/>
      <c r="G935" s="1514"/>
      <c r="H935" s="1514"/>
      <c r="I935" s="1515"/>
      <c r="J935" s="2"/>
      <c r="K935" s="2"/>
      <c r="N935" s="404"/>
    </row>
    <row r="936" spans="2:14" ht="15.75" customHeight="1">
      <c r="B936" s="402"/>
      <c r="C936" s="2"/>
      <c r="D936" s="1512"/>
      <c r="E936" s="1000">
        <v>1</v>
      </c>
      <c r="F936" s="1000">
        <v>2</v>
      </c>
      <c r="G936" s="1000">
        <v>3</v>
      </c>
      <c r="H936" s="1000">
        <v>4</v>
      </c>
      <c r="I936" s="1000">
        <v>5</v>
      </c>
      <c r="J936" s="2"/>
      <c r="K936" s="2"/>
      <c r="N936" s="404"/>
    </row>
    <row r="937" spans="2:14" ht="15.75" customHeight="1">
      <c r="B937" s="402"/>
      <c r="C937" s="2"/>
      <c r="D937" s="1513"/>
      <c r="E937" s="1001" t="s">
        <v>1218</v>
      </c>
      <c r="F937" s="1001" t="s">
        <v>1219</v>
      </c>
      <c r="G937" s="1001" t="s">
        <v>1220</v>
      </c>
      <c r="H937" s="1001" t="s">
        <v>1221</v>
      </c>
      <c r="I937" s="1001" t="s">
        <v>1222</v>
      </c>
      <c r="J937" s="2"/>
      <c r="K937" s="2"/>
      <c r="N937" s="404"/>
    </row>
    <row r="938" spans="2:14" ht="51">
      <c r="B938" s="402"/>
      <c r="C938" s="2"/>
      <c r="D938" s="993" t="s">
        <v>1223</v>
      </c>
      <c r="E938" s="1002" t="s">
        <v>1224</v>
      </c>
      <c r="F938" s="1002" t="s">
        <v>1225</v>
      </c>
      <c r="G938" s="1002" t="s">
        <v>1226</v>
      </c>
      <c r="H938" s="1002" t="s">
        <v>1227</v>
      </c>
      <c r="I938" s="1002" t="s">
        <v>1228</v>
      </c>
      <c r="J938" s="2"/>
      <c r="K938" s="2"/>
      <c r="N938" s="404"/>
    </row>
    <row r="939" spans="2:14" ht="38.25">
      <c r="B939" s="402"/>
      <c r="C939" s="2"/>
      <c r="D939" s="993" t="s">
        <v>1229</v>
      </c>
      <c r="E939" s="993" t="s">
        <v>1230</v>
      </c>
      <c r="F939" s="993" t="s">
        <v>1231</v>
      </c>
      <c r="G939" s="993" t="s">
        <v>1232</v>
      </c>
      <c r="H939" s="993" t="s">
        <v>1233</v>
      </c>
      <c r="I939" s="993" t="s">
        <v>1234</v>
      </c>
      <c r="J939" s="2"/>
      <c r="K939" s="2"/>
      <c r="N939" s="404"/>
    </row>
    <row r="940" spans="2:14" ht="38.25">
      <c r="B940" s="402"/>
      <c r="C940" s="2"/>
      <c r="D940" s="993" t="s">
        <v>827</v>
      </c>
      <c r="E940" s="993" t="s">
        <v>1235</v>
      </c>
      <c r="F940" s="993" t="s">
        <v>1236</v>
      </c>
      <c r="G940" s="993" t="s">
        <v>1237</v>
      </c>
      <c r="H940" s="993" t="s">
        <v>1238</v>
      </c>
      <c r="I940" s="993" t="s">
        <v>1239</v>
      </c>
      <c r="J940" s="2"/>
      <c r="K940" s="2"/>
      <c r="N940" s="404"/>
    </row>
    <row r="941" spans="2:14" ht="15.75" customHeight="1">
      <c r="B941" s="402"/>
      <c r="C941" s="2"/>
      <c r="D941" s="1501" t="s">
        <v>1240</v>
      </c>
      <c r="E941" s="1516"/>
      <c r="F941" s="1516"/>
      <c r="G941" s="1516"/>
      <c r="H941" s="1516"/>
      <c r="I941" s="1516"/>
      <c r="J941" s="2"/>
      <c r="K941" s="2"/>
      <c r="N941" s="404"/>
    </row>
    <row r="942" spans="2:14" ht="15.75" customHeight="1">
      <c r="B942" s="402"/>
      <c r="C942" s="83"/>
      <c r="D942" s="2"/>
      <c r="E942" s="2"/>
      <c r="F942" s="2"/>
      <c r="G942" s="2"/>
      <c r="H942" s="2"/>
      <c r="I942" s="2"/>
      <c r="J942" s="2"/>
      <c r="K942" s="2"/>
      <c r="N942" s="404"/>
    </row>
    <row r="943" spans="2:14" ht="15.75" customHeight="1">
      <c r="B943" s="402"/>
      <c r="C943" s="83" t="s">
        <v>1242</v>
      </c>
      <c r="D943" s="2"/>
      <c r="E943" s="2"/>
      <c r="F943" s="2"/>
      <c r="G943" s="2"/>
      <c r="H943" s="2"/>
      <c r="I943" s="2"/>
      <c r="J943" s="2"/>
      <c r="K943" s="2"/>
      <c r="N943" s="404"/>
    </row>
    <row r="944" spans="2:14" ht="15.75" customHeight="1">
      <c r="B944" s="402"/>
      <c r="C944" s="2"/>
      <c r="D944" s="2"/>
      <c r="E944" s="2"/>
      <c r="F944" s="2"/>
      <c r="G944" s="2"/>
      <c r="H944" s="2"/>
      <c r="I944" s="2"/>
      <c r="J944" s="2"/>
      <c r="K944" s="2"/>
      <c r="N944" s="404"/>
    </row>
    <row r="945" spans="2:14" ht="15.75" customHeight="1">
      <c r="B945" s="402"/>
      <c r="C945" s="2"/>
      <c r="D945" s="1517" t="s">
        <v>1193</v>
      </c>
      <c r="E945" s="1517" t="s">
        <v>1194</v>
      </c>
      <c r="F945" s="1518"/>
      <c r="G945" s="1518"/>
      <c r="H945" s="1518"/>
      <c r="I945" s="1518"/>
      <c r="J945" s="2"/>
      <c r="K945" s="2"/>
      <c r="N945" s="404"/>
    </row>
    <row r="946" spans="2:14" ht="15.75" customHeight="1">
      <c r="B946" s="402"/>
      <c r="C946" s="2"/>
      <c r="D946" s="1518"/>
      <c r="E946" s="992">
        <v>1</v>
      </c>
      <c r="F946" s="992">
        <v>2</v>
      </c>
      <c r="G946" s="992">
        <v>3</v>
      </c>
      <c r="H946" s="992">
        <v>4</v>
      </c>
      <c r="I946" s="992">
        <v>5</v>
      </c>
      <c r="J946" s="2"/>
      <c r="K946" s="2"/>
      <c r="N946" s="404"/>
    </row>
    <row r="947" spans="2:14" ht="15.75" customHeight="1">
      <c r="B947" s="402"/>
      <c r="C947" s="2"/>
      <c r="D947" s="1518"/>
      <c r="E947" s="992" t="s">
        <v>1195</v>
      </c>
      <c r="F947" s="992" t="s">
        <v>1196</v>
      </c>
      <c r="G947" s="992" t="s">
        <v>1197</v>
      </c>
      <c r="H947" s="992" t="s">
        <v>1198</v>
      </c>
      <c r="I947" s="992" t="s">
        <v>1199</v>
      </c>
      <c r="J947" s="2"/>
      <c r="K947" s="2"/>
      <c r="N947" s="404"/>
    </row>
    <row r="948" spans="2:14" ht="133.69999999999999" customHeight="1">
      <c r="B948" s="402"/>
      <c r="C948" s="2"/>
      <c r="D948" s="993" t="s">
        <v>1243</v>
      </c>
      <c r="E948" s="993" t="s">
        <v>1244</v>
      </c>
      <c r="F948" s="993" t="s">
        <v>1245</v>
      </c>
      <c r="G948" s="993" t="s">
        <v>1246</v>
      </c>
      <c r="H948" s="993" t="s">
        <v>1247</v>
      </c>
      <c r="I948" s="993" t="s">
        <v>1248</v>
      </c>
      <c r="J948" s="2"/>
      <c r="K948" s="2"/>
      <c r="N948" s="404"/>
    </row>
    <row r="949" spans="2:14" ht="15.75" customHeight="1">
      <c r="B949" s="402"/>
      <c r="C949" s="2"/>
      <c r="D949" s="1519" t="s">
        <v>1249</v>
      </c>
      <c r="E949" s="1519"/>
      <c r="F949" s="1519"/>
      <c r="G949" s="1519"/>
      <c r="H949" s="1519"/>
      <c r="I949" s="1519"/>
      <c r="J949" s="2"/>
      <c r="K949" s="2"/>
      <c r="N949" s="404"/>
    </row>
    <row r="950" spans="2:14" ht="15.75" customHeight="1">
      <c r="B950" s="402"/>
      <c r="C950" s="2"/>
      <c r="D950" s="2"/>
      <c r="E950" s="2"/>
      <c r="F950" s="2"/>
      <c r="G950" s="2"/>
      <c r="H950" s="2"/>
      <c r="I950" s="2"/>
      <c r="J950" s="2"/>
      <c r="K950" s="2"/>
      <c r="N950" s="404"/>
    </row>
    <row r="951" spans="2:14" ht="15.75" customHeight="1">
      <c r="B951" s="402"/>
      <c r="C951" s="2"/>
      <c r="D951" s="2" t="s">
        <v>1250</v>
      </c>
      <c r="E951" s="2"/>
      <c r="F951" s="2"/>
      <c r="G951" s="2"/>
      <c r="H951" s="2"/>
      <c r="I951" s="2"/>
      <c r="J951" s="2"/>
      <c r="K951" s="2"/>
      <c r="N951" s="404"/>
    </row>
    <row r="952" spans="2:14" ht="27.75">
      <c r="B952" s="402"/>
      <c r="C952" s="2"/>
      <c r="D952" s="1005" t="s">
        <v>1251</v>
      </c>
      <c r="E952" s="1005" t="s">
        <v>1252</v>
      </c>
      <c r="F952" s="1005" t="s">
        <v>1253</v>
      </c>
      <c r="G952" s="1006" t="s">
        <v>827</v>
      </c>
      <c r="H952" s="2"/>
      <c r="I952" s="2"/>
      <c r="J952" s="2"/>
      <c r="K952" s="2"/>
      <c r="N952" s="404"/>
    </row>
    <row r="953" spans="2:14" ht="15.75" customHeight="1">
      <c r="B953" s="402"/>
      <c r="C953" s="2"/>
      <c r="D953" s="101" t="s">
        <v>453</v>
      </c>
      <c r="E953" s="101">
        <v>0</v>
      </c>
      <c r="F953" s="1007">
        <v>0</v>
      </c>
      <c r="G953" s="1008">
        <v>0</v>
      </c>
      <c r="H953" s="2"/>
      <c r="I953" s="2"/>
      <c r="J953" s="2"/>
      <c r="K953" s="2"/>
      <c r="N953" s="404"/>
    </row>
    <row r="954" spans="2:14" ht="15.75" customHeight="1">
      <c r="B954" s="402"/>
      <c r="C954" s="2"/>
      <c r="D954" s="101" t="s">
        <v>454</v>
      </c>
      <c r="E954" s="101">
        <v>0</v>
      </c>
      <c r="F954" s="1007">
        <v>0</v>
      </c>
      <c r="G954" s="1008">
        <v>0</v>
      </c>
      <c r="H954" s="2"/>
      <c r="I954" s="2"/>
      <c r="J954" s="2"/>
      <c r="K954" s="2"/>
      <c r="N954" s="404"/>
    </row>
    <row r="955" spans="2:14" ht="15.75" customHeight="1">
      <c r="B955" s="402"/>
      <c r="C955" s="2"/>
      <c r="D955" s="101" t="s">
        <v>424</v>
      </c>
      <c r="E955" s="1009">
        <v>1</v>
      </c>
      <c r="F955" s="1009">
        <v>0</v>
      </c>
      <c r="G955" s="1008">
        <v>0</v>
      </c>
      <c r="H955" s="2"/>
      <c r="I955" s="2"/>
      <c r="J955" s="2"/>
      <c r="K955" s="2"/>
      <c r="N955" s="404"/>
    </row>
    <row r="956" spans="2:14" ht="15.75" customHeight="1">
      <c r="B956" s="402"/>
      <c r="C956" s="2"/>
      <c r="D956" s="101" t="s">
        <v>560</v>
      </c>
      <c r="E956" s="1009">
        <v>0</v>
      </c>
      <c r="F956" s="1009">
        <v>0</v>
      </c>
      <c r="G956" s="1008">
        <v>0</v>
      </c>
      <c r="H956" s="2"/>
      <c r="I956" s="2"/>
      <c r="J956" s="2"/>
      <c r="K956" s="2"/>
      <c r="N956" s="404"/>
    </row>
    <row r="957" spans="2:14" ht="15.75" customHeight="1">
      <c r="B957" s="402"/>
      <c r="C957" s="2"/>
      <c r="D957" s="101" t="s">
        <v>324</v>
      </c>
      <c r="E957" s="1009">
        <v>0</v>
      </c>
      <c r="F957" s="1009">
        <v>0</v>
      </c>
      <c r="G957" s="1008">
        <v>0</v>
      </c>
      <c r="H957" s="2"/>
      <c r="I957" s="2"/>
      <c r="J957" s="2"/>
      <c r="K957" s="2"/>
      <c r="N957" s="404"/>
    </row>
    <row r="958" spans="2:14" ht="15.75" customHeight="1">
      <c r="B958" s="402"/>
      <c r="C958" s="2"/>
      <c r="D958" s="101" t="s">
        <v>457</v>
      </c>
      <c r="E958" s="1009">
        <v>8</v>
      </c>
      <c r="F958" s="1009">
        <v>0</v>
      </c>
      <c r="G958" s="1008">
        <f t="shared" ref="G958:G964" si="30">F958/E958</f>
        <v>0</v>
      </c>
      <c r="H958" s="2"/>
      <c r="I958" s="2"/>
      <c r="J958" s="2"/>
      <c r="K958" s="2"/>
      <c r="N958" s="404"/>
    </row>
    <row r="959" spans="2:14" ht="15.75" customHeight="1">
      <c r="B959" s="402"/>
      <c r="C959" s="2"/>
      <c r="D959" s="101" t="s">
        <v>458</v>
      </c>
      <c r="E959" s="1009">
        <v>0</v>
      </c>
      <c r="F959" s="1009">
        <v>0</v>
      </c>
      <c r="G959" s="1008">
        <v>0</v>
      </c>
      <c r="H959" s="2"/>
      <c r="I959" s="2"/>
      <c r="J959" s="2"/>
      <c r="K959" s="2"/>
      <c r="N959" s="404"/>
    </row>
    <row r="960" spans="2:14" ht="15.75" customHeight="1">
      <c r="B960" s="402"/>
      <c r="C960" s="2"/>
      <c r="D960" s="101" t="s">
        <v>1254</v>
      </c>
      <c r="E960" s="1009">
        <v>0</v>
      </c>
      <c r="F960" s="1009">
        <v>0</v>
      </c>
      <c r="G960" s="1008">
        <v>0</v>
      </c>
      <c r="H960" s="2"/>
      <c r="I960" s="2"/>
      <c r="J960" s="2"/>
      <c r="K960" s="2"/>
      <c r="N960" s="404"/>
    </row>
    <row r="961" spans="2:14" ht="15.75" customHeight="1">
      <c r="B961" s="402"/>
      <c r="C961" s="2"/>
      <c r="D961" s="101" t="s">
        <v>930</v>
      </c>
      <c r="E961" s="1009">
        <v>6</v>
      </c>
      <c r="F961" s="1009">
        <v>0</v>
      </c>
      <c r="G961" s="1008">
        <v>0</v>
      </c>
      <c r="H961" s="2"/>
      <c r="I961" s="2"/>
      <c r="J961" s="2"/>
      <c r="K961" s="2"/>
      <c r="N961" s="404"/>
    </row>
    <row r="962" spans="2:14" ht="15.75" customHeight="1">
      <c r="B962" s="402"/>
      <c r="C962" s="2"/>
      <c r="D962" s="101" t="s">
        <v>461</v>
      </c>
      <c r="E962" s="1009">
        <v>0</v>
      </c>
      <c r="F962" s="1009">
        <v>0</v>
      </c>
      <c r="G962" s="1008">
        <v>0</v>
      </c>
      <c r="H962" s="2"/>
      <c r="I962" s="2"/>
      <c r="J962" s="2"/>
      <c r="K962" s="2"/>
      <c r="N962" s="404"/>
    </row>
    <row r="963" spans="2:14" ht="15.75" customHeight="1">
      <c r="B963" s="402"/>
      <c r="C963" s="2"/>
      <c r="D963" s="101" t="s">
        <v>462</v>
      </c>
      <c r="E963" s="1009">
        <v>2</v>
      </c>
      <c r="F963" s="1009">
        <v>2</v>
      </c>
      <c r="G963" s="1008">
        <f t="shared" si="30"/>
        <v>1</v>
      </c>
      <c r="H963" s="2"/>
      <c r="I963" s="2"/>
      <c r="J963" s="2"/>
      <c r="K963" s="2"/>
      <c r="N963" s="404"/>
    </row>
    <row r="964" spans="2:14" ht="15.75" customHeight="1">
      <c r="B964" s="402"/>
      <c r="C964" s="2"/>
      <c r="D964" s="101" t="s">
        <v>463</v>
      </c>
      <c r="E964" s="1009">
        <v>3</v>
      </c>
      <c r="F964" s="1009">
        <v>0</v>
      </c>
      <c r="G964" s="1008">
        <f t="shared" si="30"/>
        <v>0</v>
      </c>
      <c r="H964" s="2"/>
      <c r="I964" s="2"/>
      <c r="J964" s="2"/>
      <c r="K964" s="2"/>
      <c r="N964" s="404"/>
    </row>
    <row r="965" spans="2:14" ht="15.75" customHeight="1">
      <c r="B965" s="402"/>
      <c r="C965" s="2"/>
      <c r="D965" s="1520" t="s">
        <v>700</v>
      </c>
      <c r="E965" s="1520"/>
      <c r="F965" s="1520"/>
      <c r="G965" s="1008">
        <f>AVERAGE(G953:G964)</f>
        <v>8.3333333333333329E-2</v>
      </c>
      <c r="H965" s="2"/>
      <c r="I965" s="2"/>
      <c r="J965" s="2"/>
      <c r="K965" s="2"/>
      <c r="N965" s="404"/>
    </row>
    <row r="966" spans="2:14" ht="15.75" customHeight="1">
      <c r="B966" s="402"/>
      <c r="C966" s="2"/>
      <c r="D966" s="1521" t="s">
        <v>1255</v>
      </c>
      <c r="E966" s="1521"/>
      <c r="F966" s="1521"/>
      <c r="G966" s="1521"/>
      <c r="H966" s="1521"/>
      <c r="I966" s="1521"/>
      <c r="J966" s="2"/>
      <c r="K966" s="2"/>
      <c r="N966" s="404"/>
    </row>
    <row r="967" spans="2:14" ht="15.75" customHeight="1">
      <c r="B967" s="402"/>
      <c r="C967" s="2"/>
      <c r="D967" s="2"/>
      <c r="E967" s="2"/>
      <c r="F967" s="2"/>
      <c r="G967" s="2"/>
      <c r="H967" s="2"/>
      <c r="I967" s="2"/>
      <c r="J967" s="2"/>
      <c r="K967" s="2"/>
      <c r="N967" s="404"/>
    </row>
    <row r="968" spans="2:14" ht="15.75" customHeight="1">
      <c r="B968" s="402"/>
      <c r="C968" s="83" t="s">
        <v>1256</v>
      </c>
      <c r="D968" s="2"/>
      <c r="E968" s="2"/>
      <c r="F968" s="2"/>
      <c r="G968" s="2"/>
      <c r="H968" s="2"/>
      <c r="I968" s="2"/>
      <c r="J968" s="2"/>
      <c r="K968" s="2"/>
      <c r="N968" s="404"/>
    </row>
    <row r="969" spans="2:14" ht="15.75" customHeight="1">
      <c r="B969" s="402"/>
      <c r="C969" s="2"/>
      <c r="D969" s="2"/>
      <c r="E969" s="2"/>
      <c r="F969" s="2"/>
      <c r="G969" s="2"/>
      <c r="H969" s="2"/>
      <c r="I969" s="2"/>
      <c r="J969" s="2"/>
      <c r="K969" s="2"/>
      <c r="N969" s="404"/>
    </row>
    <row r="970" spans="2:14" ht="33.75" customHeight="1">
      <c r="B970" s="402"/>
      <c r="C970" s="2"/>
      <c r="D970" s="1505" t="s">
        <v>1257</v>
      </c>
      <c r="E970" s="1505"/>
      <c r="F970" s="1505"/>
      <c r="G970" s="1505"/>
      <c r="H970" s="1505"/>
      <c r="I970" s="1505"/>
      <c r="J970" s="1505"/>
      <c r="K970" s="2"/>
      <c r="N970" s="404"/>
    </row>
    <row r="971" spans="2:14" ht="15.75" customHeight="1">
      <c r="B971" s="402"/>
      <c r="C971" s="2"/>
      <c r="D971" s="373" t="s">
        <v>1258</v>
      </c>
      <c r="I971" s="2"/>
      <c r="J971" s="2"/>
      <c r="K971" s="2"/>
      <c r="N971" s="404"/>
    </row>
    <row r="972" spans="2:14" ht="30.75" customHeight="1">
      <c r="B972" s="402"/>
      <c r="C972" s="2"/>
      <c r="D972" s="1006" t="s">
        <v>496</v>
      </c>
      <c r="E972" s="1006" t="s">
        <v>1259</v>
      </c>
      <c r="F972" s="1005" t="s">
        <v>1260</v>
      </c>
      <c r="G972" s="2"/>
      <c r="H972" s="2"/>
      <c r="I972" s="1"/>
      <c r="J972" s="2"/>
      <c r="K972" s="2"/>
      <c r="N972" s="404"/>
    </row>
    <row r="973" spans="2:14" ht="15.75" customHeight="1">
      <c r="B973" s="402"/>
      <c r="C973" s="2"/>
      <c r="D973" s="101">
        <v>2022</v>
      </c>
      <c r="E973" s="1010">
        <v>981323.33333333302</v>
      </c>
      <c r="F973" s="1010">
        <f>E973*1450</f>
        <v>1422918833.3333328</v>
      </c>
      <c r="G973" s="2"/>
      <c r="H973" s="2"/>
      <c r="I973" s="1011"/>
      <c r="J973" s="2"/>
      <c r="K973" s="2"/>
      <c r="N973" s="404"/>
    </row>
    <row r="974" spans="2:14" ht="15.75" customHeight="1">
      <c r="B974" s="402"/>
      <c r="C974" s="2"/>
      <c r="D974" s="101">
        <v>2023</v>
      </c>
      <c r="E974" s="1010">
        <v>9065329.8333333302</v>
      </c>
      <c r="F974" s="1010">
        <f>E974*1450</f>
        <v>13144728258.333328</v>
      </c>
      <c r="G974" s="2"/>
      <c r="H974" s="2"/>
      <c r="I974" s="1011"/>
      <c r="J974" s="2"/>
      <c r="K974" s="2"/>
      <c r="N974" s="404"/>
    </row>
    <row r="975" spans="2:14" ht="30" customHeight="1">
      <c r="B975" s="402"/>
      <c r="C975" s="2"/>
      <c r="D975" s="1506" t="s">
        <v>1261</v>
      </c>
      <c r="E975" s="1507"/>
      <c r="F975" s="1012">
        <f>F974/360000000000</f>
        <v>3.6513134050925912E-2</v>
      </c>
      <c r="I975" s="2"/>
      <c r="J975" s="2"/>
      <c r="K975" s="2"/>
      <c r="N975" s="404"/>
    </row>
    <row r="976" spans="2:14" ht="15.75" customHeight="1">
      <c r="B976" s="402"/>
      <c r="C976" s="2"/>
      <c r="D976" s="1508" t="s">
        <v>1262</v>
      </c>
      <c r="E976" s="1508"/>
      <c r="F976" s="1508"/>
      <c r="G976" s="1508"/>
      <c r="H976" s="1508"/>
      <c r="I976" s="1508"/>
      <c r="J976" s="2"/>
      <c r="K976" s="2"/>
      <c r="N976" s="404"/>
    </row>
    <row r="977" spans="2:14" ht="15.75" customHeight="1">
      <c r="B977" s="402"/>
      <c r="C977" s="2"/>
      <c r="D977" s="2"/>
      <c r="E977" s="2"/>
      <c r="F977" s="2"/>
      <c r="G977" s="2"/>
      <c r="H977" s="2"/>
      <c r="I977" s="2"/>
      <c r="J977" s="2"/>
      <c r="K977" s="2"/>
      <c r="N977" s="404"/>
    </row>
    <row r="978" spans="2:14" ht="15.75" customHeight="1">
      <c r="B978" s="402"/>
      <c r="C978" s="2"/>
      <c r="D978" s="1006" t="s">
        <v>496</v>
      </c>
      <c r="E978" s="1006" t="s">
        <v>1263</v>
      </c>
      <c r="F978" s="1013" t="s">
        <v>1264</v>
      </c>
      <c r="G978" s="2"/>
      <c r="H978" s="2"/>
      <c r="I978" s="2"/>
      <c r="J978" s="2"/>
      <c r="K978" s="2"/>
      <c r="N978" s="404"/>
    </row>
    <row r="979" spans="2:14" ht="15.75" customHeight="1">
      <c r="B979" s="402"/>
      <c r="C979" s="2"/>
      <c r="D979" s="101">
        <v>2022</v>
      </c>
      <c r="E979" s="1010">
        <v>122.061396303327</v>
      </c>
      <c r="F979" s="983">
        <v>140</v>
      </c>
      <c r="G979" s="2"/>
      <c r="H979" s="2"/>
      <c r="I979" s="2"/>
      <c r="J979" s="2"/>
      <c r="K979" s="2"/>
      <c r="N979" s="404"/>
    </row>
    <row r="980" spans="2:14" ht="15.75" customHeight="1">
      <c r="B980" s="402"/>
      <c r="C980" s="2"/>
      <c r="D980" s="101">
        <v>2023</v>
      </c>
      <c r="E980" s="1010">
        <v>489.331170182704</v>
      </c>
      <c r="F980" s="983">
        <v>296</v>
      </c>
      <c r="G980" s="2"/>
      <c r="H980" s="2"/>
      <c r="I980" s="2"/>
      <c r="J980" s="2"/>
      <c r="K980" s="2"/>
      <c r="N980" s="404"/>
    </row>
    <row r="981" spans="2:14" ht="15.75" customHeight="1">
      <c r="B981" s="402"/>
      <c r="C981" s="2"/>
      <c r="D981" s="1509" t="s">
        <v>492</v>
      </c>
      <c r="E981" s="1510"/>
      <c r="F981" s="1012">
        <f>1/2</f>
        <v>0.5</v>
      </c>
      <c r="G981" s="2"/>
      <c r="H981" s="2"/>
      <c r="I981" s="2"/>
      <c r="J981" s="2"/>
      <c r="K981" s="2"/>
      <c r="N981" s="404"/>
    </row>
    <row r="982" spans="2:14" ht="15.75" customHeight="1">
      <c r="B982" s="402"/>
      <c r="C982" s="2"/>
      <c r="D982" s="2"/>
      <c r="E982" s="2"/>
      <c r="F982" s="2"/>
      <c r="G982" s="2"/>
      <c r="H982" s="2"/>
      <c r="I982" s="2"/>
      <c r="J982" s="2"/>
      <c r="K982" s="2"/>
      <c r="N982" s="404"/>
    </row>
    <row r="983" spans="2:14" ht="15.75" customHeight="1">
      <c r="B983" s="402"/>
      <c r="C983" s="2"/>
      <c r="D983" s="2" t="s">
        <v>1217</v>
      </c>
      <c r="E983" s="2"/>
      <c r="F983" s="2"/>
      <c r="G983" s="2"/>
      <c r="H983" s="2"/>
      <c r="I983" s="2"/>
      <c r="J983" s="2"/>
      <c r="K983" s="2"/>
      <c r="N983" s="404"/>
    </row>
    <row r="984" spans="2:14" ht="15.75" customHeight="1">
      <c r="B984" s="402"/>
      <c r="C984" s="2"/>
      <c r="D984" s="1511" t="s">
        <v>54</v>
      </c>
      <c r="E984" s="1511" t="s">
        <v>1194</v>
      </c>
      <c r="F984" s="1514"/>
      <c r="G984" s="1514"/>
      <c r="H984" s="1514"/>
      <c r="I984" s="1515"/>
      <c r="J984" s="2"/>
      <c r="K984" s="2"/>
      <c r="N984" s="404"/>
    </row>
    <row r="985" spans="2:14" ht="15.75" customHeight="1">
      <c r="B985" s="402"/>
      <c r="C985" s="2"/>
      <c r="D985" s="1512"/>
      <c r="E985" s="1000">
        <v>1</v>
      </c>
      <c r="F985" s="1000">
        <v>2</v>
      </c>
      <c r="G985" s="1000">
        <v>3</v>
      </c>
      <c r="H985" s="1000">
        <v>4</v>
      </c>
      <c r="I985" s="1000">
        <v>5</v>
      </c>
      <c r="J985" s="2"/>
      <c r="K985" s="2"/>
      <c r="N985" s="404"/>
    </row>
    <row r="986" spans="2:14" ht="15.75" customHeight="1">
      <c r="B986" s="402"/>
      <c r="C986" s="2"/>
      <c r="D986" s="1513"/>
      <c r="E986" s="1001" t="s">
        <v>1218</v>
      </c>
      <c r="F986" s="1001" t="s">
        <v>1219</v>
      </c>
      <c r="G986" s="1001" t="s">
        <v>1220</v>
      </c>
      <c r="H986" s="1001" t="s">
        <v>1221</v>
      </c>
      <c r="I986" s="1001" t="s">
        <v>1222</v>
      </c>
      <c r="J986" s="2"/>
      <c r="K986" s="2"/>
      <c r="N986" s="404"/>
    </row>
    <row r="987" spans="2:14" ht="51">
      <c r="B987" s="402"/>
      <c r="C987" s="2"/>
      <c r="D987" s="993" t="s">
        <v>1223</v>
      </c>
      <c r="E987" s="1002" t="s">
        <v>1224</v>
      </c>
      <c r="F987" s="1002" t="s">
        <v>1225</v>
      </c>
      <c r="G987" s="1002" t="s">
        <v>1226</v>
      </c>
      <c r="H987" s="1002" t="s">
        <v>1227</v>
      </c>
      <c r="I987" s="1002" t="s">
        <v>1228</v>
      </c>
      <c r="J987" s="2"/>
      <c r="K987" s="2"/>
      <c r="N987" s="404"/>
    </row>
    <row r="988" spans="2:14" ht="38.25">
      <c r="B988" s="402"/>
      <c r="C988" s="2"/>
      <c r="D988" s="993" t="s">
        <v>1229</v>
      </c>
      <c r="E988" s="993" t="s">
        <v>1230</v>
      </c>
      <c r="F988" s="993" t="s">
        <v>1231</v>
      </c>
      <c r="G988" s="993" t="s">
        <v>1232</v>
      </c>
      <c r="H988" s="993" t="s">
        <v>1233</v>
      </c>
      <c r="I988" s="993" t="s">
        <v>1234</v>
      </c>
      <c r="J988" s="2"/>
      <c r="K988" s="2"/>
      <c r="N988" s="404"/>
    </row>
    <row r="989" spans="2:14" ht="76.5" customHeight="1">
      <c r="B989" s="402"/>
      <c r="C989" s="2"/>
      <c r="D989" s="993" t="s">
        <v>827</v>
      </c>
      <c r="E989" s="993" t="s">
        <v>1235</v>
      </c>
      <c r="F989" s="993" t="s">
        <v>1236</v>
      </c>
      <c r="G989" s="993" t="s">
        <v>1237</v>
      </c>
      <c r="H989" s="993" t="s">
        <v>1238</v>
      </c>
      <c r="I989" s="993" t="s">
        <v>1239</v>
      </c>
      <c r="J989" s="2"/>
      <c r="K989" s="2"/>
      <c r="N989" s="404"/>
    </row>
    <row r="990" spans="2:14" ht="15.75" customHeight="1">
      <c r="B990" s="402"/>
      <c r="C990" s="2"/>
      <c r="D990" s="1501" t="s">
        <v>1265</v>
      </c>
      <c r="E990" s="1501"/>
      <c r="F990" s="1501"/>
      <c r="G990" s="1501"/>
      <c r="H990" s="1501"/>
      <c r="I990" s="1501"/>
      <c r="J990" s="2"/>
      <c r="K990" s="2"/>
      <c r="N990" s="404"/>
    </row>
    <row r="991" spans="2:14" ht="15.75" customHeight="1">
      <c r="B991" s="402"/>
      <c r="C991" s="2"/>
      <c r="D991" s="2"/>
      <c r="E991" s="2"/>
      <c r="F991" s="2"/>
      <c r="G991" s="2"/>
      <c r="H991" s="2"/>
      <c r="I991" s="2"/>
      <c r="J991" s="2"/>
      <c r="K991" s="2"/>
      <c r="N991" s="404"/>
    </row>
    <row r="992" spans="2:14" ht="15.75" customHeight="1" thickBot="1">
      <c r="B992" s="754"/>
      <c r="C992" s="755"/>
      <c r="D992" s="755"/>
      <c r="E992" s="1502"/>
      <c r="F992" s="1502"/>
      <c r="G992" s="1502"/>
      <c r="H992" s="1502"/>
      <c r="I992" s="1502"/>
      <c r="J992" s="1502"/>
      <c r="K992" s="1502"/>
      <c r="L992" s="1502"/>
      <c r="M992" s="1502"/>
      <c r="N992" s="756"/>
    </row>
    <row r="993" spans="2:14" ht="15.75" customHeight="1" thickBot="1"/>
    <row r="994" spans="2:14" ht="15.75" customHeight="1">
      <c r="B994" s="398"/>
      <c r="C994" s="399" t="s">
        <v>1266</v>
      </c>
      <c r="D994" s="400"/>
      <c r="E994" s="400"/>
      <c r="F994" s="400"/>
      <c r="G994" s="400"/>
      <c r="H994" s="400"/>
      <c r="I994" s="400"/>
      <c r="J994" s="400"/>
      <c r="K994" s="400"/>
      <c r="L994" s="400"/>
      <c r="M994" s="400"/>
      <c r="N994" s="401"/>
    </row>
    <row r="995" spans="2:14" ht="15.75" customHeight="1">
      <c r="B995" s="402"/>
      <c r="N995" s="404"/>
    </row>
    <row r="996" spans="2:14" ht="15.75" customHeight="1">
      <c r="B996" s="402"/>
      <c r="D996" s="83" t="s">
        <v>1267</v>
      </c>
      <c r="E996" s="131"/>
      <c r="F996" s="131"/>
      <c r="G996" s="131"/>
      <c r="H996" s="131"/>
      <c r="I996" s="131"/>
      <c r="J996" s="131"/>
      <c r="N996" s="404"/>
    </row>
    <row r="997" spans="2:14" ht="15.75" customHeight="1">
      <c r="B997" s="402"/>
      <c r="D997" s="468"/>
      <c r="E997" s="131"/>
      <c r="F997" s="131"/>
      <c r="G997" s="131"/>
      <c r="H997" s="131"/>
      <c r="I997" s="131"/>
      <c r="J997" s="131"/>
      <c r="N997" s="404"/>
    </row>
    <row r="998" spans="2:14" ht="15.75" customHeight="1">
      <c r="B998" s="402"/>
      <c r="D998" s="131" t="s">
        <v>1268</v>
      </c>
      <c r="E998" s="131"/>
      <c r="F998" s="131"/>
      <c r="G998" s="131"/>
      <c r="H998" s="131"/>
      <c r="I998" s="131"/>
      <c r="J998" s="131"/>
      <c r="N998" s="404"/>
    </row>
    <row r="999" spans="2:14" ht="15.75" customHeight="1">
      <c r="B999" s="402"/>
      <c r="D999" s="763" t="s">
        <v>496</v>
      </c>
      <c r="E999" s="1014" t="s">
        <v>1264</v>
      </c>
      <c r="F999" s="1014" t="s">
        <v>1263</v>
      </c>
      <c r="G999" s="1014" t="s">
        <v>1269</v>
      </c>
      <c r="H999" s="1014" t="s">
        <v>1259</v>
      </c>
      <c r="I999" s="444"/>
      <c r="J999" s="131"/>
      <c r="N999" s="404"/>
    </row>
    <row r="1000" spans="2:14" ht="15.75" customHeight="1">
      <c r="B1000" s="402"/>
      <c r="D1000" s="765">
        <v>2021</v>
      </c>
      <c r="E1000" s="740">
        <v>139.13</v>
      </c>
      <c r="F1000" s="1015">
        <v>132.72999999999999</v>
      </c>
      <c r="G1000" s="955">
        <f>F1000/E1000</f>
        <v>0.95399985624955075</v>
      </c>
      <c r="H1000" s="431"/>
      <c r="I1000" s="444"/>
      <c r="J1000" s="131"/>
      <c r="N1000" s="404"/>
    </row>
    <row r="1001" spans="2:14" ht="15.75" customHeight="1">
      <c r="B1001" s="402"/>
      <c r="D1001" s="765">
        <v>2022</v>
      </c>
      <c r="E1001" s="740">
        <v>122.3</v>
      </c>
      <c r="F1001" s="1015">
        <v>105.07</v>
      </c>
      <c r="G1001" s="955">
        <f t="shared" ref="G1001:G1002" si="31">F1001/E1001</f>
        <v>0.8591169255928045</v>
      </c>
      <c r="H1001" s="1015">
        <v>981323.33333333302</v>
      </c>
      <c r="I1001" s="463"/>
      <c r="J1001" s="131"/>
      <c r="N1001" s="404"/>
    </row>
    <row r="1002" spans="2:14" ht="15.75" customHeight="1">
      <c r="B1002" s="402"/>
      <c r="D1002" s="765">
        <v>2023</v>
      </c>
      <c r="E1002" s="740">
        <v>272.5</v>
      </c>
      <c r="F1002" s="1015">
        <v>489.331170182704</v>
      </c>
      <c r="G1002" s="955">
        <f t="shared" si="31"/>
        <v>1.7957107162668036</v>
      </c>
      <c r="H1002" s="1015">
        <v>9065329.8333333302</v>
      </c>
      <c r="I1002" s="463"/>
      <c r="J1002" s="131"/>
      <c r="N1002" s="404"/>
    </row>
    <row r="1003" spans="2:14" ht="15.75" customHeight="1">
      <c r="B1003" s="402"/>
      <c r="D1003" s="766" t="s">
        <v>700</v>
      </c>
      <c r="E1003" s="740"/>
      <c r="F1003" s="1016">
        <f>AVERAGE(F1000:F1002)</f>
        <v>242.37705672756798</v>
      </c>
      <c r="G1003" s="740"/>
      <c r="H1003" s="740"/>
      <c r="I1003" s="131"/>
      <c r="J1003" s="131"/>
      <c r="N1003" s="404"/>
    </row>
    <row r="1004" spans="2:14" ht="15.75" customHeight="1">
      <c r="B1004" s="402"/>
      <c r="D1004" s="69"/>
      <c r="E1004" s="973"/>
      <c r="F1004" s="131"/>
      <c r="G1004" s="131"/>
      <c r="H1004" s="131"/>
      <c r="I1004" s="131"/>
      <c r="J1004" s="131"/>
      <c r="N1004" s="404"/>
    </row>
    <row r="1005" spans="2:14" ht="15.75" customHeight="1">
      <c r="B1005" s="402"/>
      <c r="D1005" s="69" t="s">
        <v>1270</v>
      </c>
      <c r="E1005" s="973"/>
      <c r="F1005" s="131"/>
      <c r="G1005" s="131"/>
      <c r="H1005" s="131"/>
      <c r="I1005" s="131"/>
      <c r="J1005" s="131"/>
      <c r="N1005" s="404"/>
    </row>
    <row r="1006" spans="2:14" ht="15.75" customHeight="1">
      <c r="B1006" s="402"/>
      <c r="D1006" s="69" t="s">
        <v>1271</v>
      </c>
      <c r="E1006" s="973"/>
      <c r="F1006" s="131"/>
      <c r="G1006" s="131"/>
      <c r="H1006" s="131"/>
      <c r="I1006" s="131"/>
      <c r="J1006" s="131"/>
      <c r="N1006" s="404"/>
    </row>
    <row r="1007" spans="2:14" ht="15.75" customHeight="1">
      <c r="B1007" s="402"/>
      <c r="D1007" s="69" t="s">
        <v>1272</v>
      </c>
      <c r="E1007" s="973"/>
      <c r="F1007" s="131"/>
      <c r="G1007" s="131"/>
      <c r="H1007" s="131"/>
      <c r="I1007" s="131"/>
      <c r="J1007" s="131"/>
      <c r="N1007" s="404"/>
    </row>
    <row r="1008" spans="2:14" ht="15.75" customHeight="1">
      <c r="B1008" s="402"/>
      <c r="D1008" s="69"/>
      <c r="E1008" s="973"/>
      <c r="F1008" s="131"/>
      <c r="G1008" s="131"/>
      <c r="H1008" s="131"/>
      <c r="I1008" s="131"/>
      <c r="J1008" s="131"/>
      <c r="N1008" s="404"/>
    </row>
    <row r="1009" spans="2:14" ht="15.75" customHeight="1">
      <c r="B1009" s="402"/>
      <c r="D1009" s="69" t="s">
        <v>1273</v>
      </c>
      <c r="E1009" s="973"/>
      <c r="F1009" s="131"/>
      <c r="G1009" s="131"/>
      <c r="H1009" s="131"/>
      <c r="I1009" s="131"/>
      <c r="J1009" s="131"/>
      <c r="N1009" s="404"/>
    </row>
    <row r="1010" spans="2:14" ht="15.75" customHeight="1">
      <c r="B1010" s="402"/>
      <c r="D1010" s="69" t="s">
        <v>1274</v>
      </c>
      <c r="E1010" s="973"/>
      <c r="F1010" s="131"/>
      <c r="G1010" s="131"/>
      <c r="H1010" s="131"/>
      <c r="I1010" s="131"/>
      <c r="J1010" s="131"/>
      <c r="N1010" s="404"/>
    </row>
    <row r="1011" spans="2:14" ht="15.75" customHeight="1">
      <c r="B1011" s="402"/>
      <c r="D1011" s="69" t="s">
        <v>1275</v>
      </c>
      <c r="E1011" s="973"/>
      <c r="F1011" s="131"/>
      <c r="G1011" s="131"/>
      <c r="H1011" s="131"/>
      <c r="I1011" s="131"/>
      <c r="J1011" s="131"/>
      <c r="N1011" s="404"/>
    </row>
    <row r="1012" spans="2:14" ht="15.75" customHeight="1">
      <c r="B1012" s="402"/>
      <c r="D1012" s="69" t="s">
        <v>1276</v>
      </c>
      <c r="E1012" s="973"/>
      <c r="F1012" s="131"/>
      <c r="G1012" s="131"/>
      <c r="H1012" s="131"/>
      <c r="I1012" s="131"/>
      <c r="J1012" s="131"/>
      <c r="N1012" s="404"/>
    </row>
    <row r="1013" spans="2:14" ht="27" customHeight="1">
      <c r="B1013" s="402"/>
      <c r="D1013" s="772" t="s">
        <v>496</v>
      </c>
      <c r="E1013" s="772" t="s">
        <v>1277</v>
      </c>
      <c r="F1013" s="772" t="s">
        <v>1278</v>
      </c>
      <c r="G1013" s="772" t="s">
        <v>1279</v>
      </c>
      <c r="H1013" s="772" t="s">
        <v>1280</v>
      </c>
      <c r="I1013" s="772" t="s">
        <v>170</v>
      </c>
      <c r="J1013" s="131"/>
      <c r="N1013" s="404"/>
    </row>
    <row r="1014" spans="2:14" ht="15.75" customHeight="1">
      <c r="B1014" s="402"/>
      <c r="D1014" s="765">
        <v>2024</v>
      </c>
      <c r="E1014" s="740">
        <f>130.29+64.59</f>
        <v>194.88</v>
      </c>
      <c r="F1014" s="1015">
        <f>E1014/F1002*H1002</f>
        <v>3610339.1436527045</v>
      </c>
      <c r="G1014" s="1016">
        <f>F1014*1600</f>
        <v>5776542629.844327</v>
      </c>
      <c r="H1014" s="1017">
        <v>0.33329999999999999</v>
      </c>
      <c r="I1014" s="1017">
        <f>G1014/360000000000</f>
        <v>1.6045951749567574E-2</v>
      </c>
      <c r="J1014" s="131"/>
      <c r="N1014" s="404"/>
    </row>
    <row r="1015" spans="2:14" ht="15.75" customHeight="1">
      <c r="B1015" s="402"/>
      <c r="D1015" s="131"/>
      <c r="E1015" s="131"/>
      <c r="F1015" s="131"/>
      <c r="G1015" s="131"/>
      <c r="H1015" s="131"/>
      <c r="I1015" s="131"/>
      <c r="J1015" s="131"/>
      <c r="N1015" s="404"/>
    </row>
    <row r="1016" spans="2:14" ht="15.75" customHeight="1">
      <c r="B1016" s="402"/>
      <c r="D1016" s="83" t="s">
        <v>1281</v>
      </c>
      <c r="E1016" s="131"/>
      <c r="F1016" s="131"/>
      <c r="G1016" s="131"/>
      <c r="H1016" s="131"/>
      <c r="I1016" s="131"/>
      <c r="J1016" s="131"/>
      <c r="N1016" s="404"/>
    </row>
    <row r="1017" spans="2:14" ht="15.75" customHeight="1">
      <c r="B1017" s="402"/>
      <c r="D1017" s="131" t="s">
        <v>1282</v>
      </c>
      <c r="E1017" s="131"/>
      <c r="F1017" s="131"/>
      <c r="G1017" s="131"/>
      <c r="H1017" s="131"/>
      <c r="I1017" s="131"/>
      <c r="J1017" s="131"/>
      <c r="N1017" s="404"/>
    </row>
    <row r="1018" spans="2:14" ht="15.75" customHeight="1">
      <c r="B1018" s="402"/>
      <c r="D1018" s="1014" t="s">
        <v>496</v>
      </c>
      <c r="E1018" s="1014" t="s">
        <v>1283</v>
      </c>
      <c r="F1018" s="1014" t="s">
        <v>1284</v>
      </c>
      <c r="G1018" s="1014" t="s">
        <v>202</v>
      </c>
      <c r="H1018" s="131"/>
      <c r="I1018" s="131"/>
      <c r="J1018" s="131"/>
      <c r="N1018" s="404"/>
    </row>
    <row r="1019" spans="2:14" ht="15.75" customHeight="1">
      <c r="B1019" s="402"/>
      <c r="D1019" s="431">
        <v>2019</v>
      </c>
      <c r="E1019" s="740">
        <v>24</v>
      </c>
      <c r="F1019" s="740"/>
      <c r="G1019" s="1017">
        <v>6.5573770491803296E-2</v>
      </c>
      <c r="H1019" s="131"/>
      <c r="I1019" s="131"/>
      <c r="J1019" s="131"/>
      <c r="N1019" s="404"/>
    </row>
    <row r="1020" spans="2:14" ht="15.75" customHeight="1">
      <c r="B1020" s="402"/>
      <c r="D1020" s="431">
        <f>D1019+1</f>
        <v>2020</v>
      </c>
      <c r="E1020" s="740">
        <v>1</v>
      </c>
      <c r="F1020" s="1015">
        <v>66</v>
      </c>
      <c r="G1020" s="1017">
        <v>2.7322404371584699E-3</v>
      </c>
      <c r="H1020" s="131"/>
      <c r="I1020" s="131"/>
      <c r="J1020" s="131"/>
      <c r="N1020" s="404"/>
    </row>
    <row r="1021" spans="2:14" ht="15.75" customHeight="1">
      <c r="B1021" s="402"/>
      <c r="D1021" s="431">
        <f t="shared" ref="D1021:D1023" si="32">D1020+1</f>
        <v>2021</v>
      </c>
      <c r="E1021" s="740">
        <v>25</v>
      </c>
      <c r="F1021" s="1015">
        <v>336.58</v>
      </c>
      <c r="G1021" s="1017">
        <v>6.8493150684931503E-2</v>
      </c>
      <c r="H1021" s="131"/>
      <c r="I1021" s="131"/>
      <c r="J1021" s="131"/>
      <c r="N1021" s="404"/>
    </row>
    <row r="1022" spans="2:14" ht="15.75" customHeight="1">
      <c r="B1022" s="402"/>
      <c r="D1022" s="431">
        <f t="shared" si="32"/>
        <v>2022</v>
      </c>
      <c r="E1022" s="740">
        <v>59</v>
      </c>
      <c r="F1022" s="1015">
        <v>757.69749999999999</v>
      </c>
      <c r="G1022" s="1017">
        <v>0.161643835616438</v>
      </c>
      <c r="H1022" s="131"/>
      <c r="I1022" s="131"/>
      <c r="J1022" s="131"/>
      <c r="N1022" s="404"/>
    </row>
    <row r="1023" spans="2:14" ht="15.75" customHeight="1">
      <c r="B1023" s="402"/>
      <c r="D1023" s="431">
        <f t="shared" si="32"/>
        <v>2023</v>
      </c>
      <c r="E1023" s="740">
        <v>53</v>
      </c>
      <c r="F1023" s="1015">
        <v>1136.12625</v>
      </c>
      <c r="G1023" s="1017">
        <v>0.145205479452055</v>
      </c>
      <c r="H1023" s="131"/>
      <c r="I1023" s="131"/>
      <c r="J1023" s="131"/>
      <c r="N1023" s="404"/>
    </row>
    <row r="1024" spans="2:14" ht="15.75" customHeight="1">
      <c r="B1024" s="402"/>
      <c r="D1024" s="431" t="s">
        <v>700</v>
      </c>
      <c r="E1024" s="740">
        <f>AVERAGE(E1019:E1023)</f>
        <v>32.4</v>
      </c>
      <c r="F1024" s="1018">
        <f>AVERAGE(F1020:F1023)</f>
        <v>574.10093749999999</v>
      </c>
      <c r="G1024" s="1019">
        <f>E1024/366</f>
        <v>8.8524590163934422E-2</v>
      </c>
      <c r="H1024" s="131"/>
      <c r="I1024" s="131"/>
      <c r="J1024" s="131"/>
      <c r="N1024" s="404"/>
    </row>
    <row r="1025" spans="2:14" ht="15.75" customHeight="1">
      <c r="B1025" s="402"/>
      <c r="D1025" s="1020" t="s">
        <v>1285</v>
      </c>
      <c r="E1025" s="131"/>
      <c r="F1025" s="463"/>
      <c r="G1025" s="1021"/>
      <c r="H1025" s="131"/>
      <c r="I1025" s="131"/>
      <c r="J1025" s="131"/>
      <c r="N1025" s="404"/>
    </row>
    <row r="1026" spans="2:14" ht="15.75" customHeight="1">
      <c r="B1026" s="402"/>
      <c r="D1026" s="1020"/>
      <c r="E1026" s="131"/>
      <c r="F1026" s="463"/>
      <c r="G1026" s="1021"/>
      <c r="H1026" s="131"/>
      <c r="I1026" s="131"/>
      <c r="J1026" s="131"/>
      <c r="N1026" s="404"/>
    </row>
    <row r="1027" spans="2:14" ht="15.75" customHeight="1">
      <c r="B1027" s="402"/>
      <c r="D1027" s="1020" t="s">
        <v>1286</v>
      </c>
      <c r="E1027" s="131"/>
      <c r="F1027" s="463"/>
      <c r="G1027" s="1021"/>
      <c r="H1027" s="131"/>
      <c r="I1027" s="131"/>
      <c r="J1027" s="131"/>
      <c r="N1027" s="404"/>
    </row>
    <row r="1028" spans="2:14" ht="15.75" customHeight="1">
      <c r="B1028" s="402"/>
      <c r="D1028" s="1022" t="s">
        <v>1287</v>
      </c>
      <c r="E1028" s="165"/>
      <c r="F1028" s="1023"/>
      <c r="G1028" s="1024"/>
      <c r="H1028" s="165"/>
      <c r="I1028" s="165"/>
      <c r="J1028" s="165"/>
      <c r="N1028" s="404"/>
    </row>
    <row r="1029" spans="2:14" ht="31.5" customHeight="1">
      <c r="B1029" s="402"/>
      <c r="D1029" s="763" t="s">
        <v>496</v>
      </c>
      <c r="E1029" s="763" t="s">
        <v>492</v>
      </c>
      <c r="F1029" s="772" t="s">
        <v>1288</v>
      </c>
      <c r="G1029" s="763" t="s">
        <v>1289</v>
      </c>
      <c r="H1029" s="763" t="s">
        <v>1290</v>
      </c>
      <c r="I1029" s="763" t="s">
        <v>170</v>
      </c>
      <c r="J1029" s="69"/>
      <c r="N1029" s="404"/>
    </row>
    <row r="1030" spans="2:14" ht="15.75" customHeight="1">
      <c r="B1030" s="402"/>
      <c r="D1030" s="431">
        <v>2024</v>
      </c>
      <c r="E1030" s="955">
        <f>F1030/F1024</f>
        <v>-0.65548267442270813</v>
      </c>
      <c r="F1030" s="740">
        <v>-376.31321790108399</v>
      </c>
      <c r="G1030" s="1015">
        <f>-F1030*6*1000</f>
        <v>2257879.3074065037</v>
      </c>
      <c r="H1030" s="1016">
        <f>G1030*1377</f>
        <v>3109099806.2987556</v>
      </c>
      <c r="I1030" s="1025">
        <f>H1030/360000000000</f>
        <v>8.6363883508298774E-3</v>
      </c>
      <c r="J1030" s="131"/>
      <c r="N1030" s="404"/>
    </row>
    <row r="1031" spans="2:14" ht="15.75" customHeight="1">
      <c r="B1031" s="402"/>
      <c r="D1031" s="131"/>
      <c r="E1031" s="131"/>
      <c r="F1031" s="466"/>
      <c r="G1031" s="131"/>
      <c r="H1031" s="463"/>
      <c r="I1031" s="973"/>
      <c r="J1031" s="975"/>
      <c r="N1031" s="404"/>
    </row>
    <row r="1032" spans="2:14" ht="15.75" customHeight="1">
      <c r="B1032" s="402"/>
      <c r="D1032" s="131" t="s">
        <v>1291</v>
      </c>
      <c r="E1032" s="131"/>
      <c r="F1032" s="466"/>
      <c r="G1032" s="131"/>
      <c r="H1032" s="463"/>
      <c r="I1032" s="973"/>
      <c r="J1032" s="975"/>
      <c r="N1032" s="404"/>
    </row>
    <row r="1033" spans="2:14" ht="15.75" customHeight="1">
      <c r="B1033" s="402"/>
      <c r="D1033" s="131" t="s">
        <v>1292</v>
      </c>
      <c r="E1033" s="131"/>
      <c r="F1033" s="131"/>
      <c r="G1033" s="131"/>
      <c r="H1033" s="131"/>
      <c r="I1033" s="131"/>
      <c r="J1033" s="131"/>
      <c r="N1033" s="404"/>
    </row>
    <row r="1034" spans="2:14" ht="15.75" customHeight="1">
      <c r="B1034" s="402"/>
      <c r="D1034" s="131" t="s">
        <v>1293</v>
      </c>
      <c r="E1034" s="131"/>
      <c r="F1034" s="131"/>
      <c r="G1034" s="131"/>
      <c r="H1034" s="131"/>
      <c r="I1034" s="131"/>
      <c r="J1034" s="131"/>
      <c r="N1034" s="404"/>
    </row>
    <row r="1035" spans="2:14" ht="15.75" customHeight="1">
      <c r="B1035" s="402"/>
      <c r="D1035" s="131"/>
      <c r="E1035" s="131"/>
      <c r="F1035" s="131"/>
      <c r="G1035" s="131"/>
      <c r="H1035" s="131"/>
      <c r="I1035" s="131"/>
      <c r="J1035" s="131"/>
      <c r="N1035" s="404"/>
    </row>
    <row r="1036" spans="2:14" ht="15.75" customHeight="1">
      <c r="B1036" s="402"/>
      <c r="D1036" s="83" t="s">
        <v>1294</v>
      </c>
      <c r="E1036" s="131"/>
      <c r="F1036" s="131"/>
      <c r="G1036" s="131"/>
      <c r="H1036" s="131"/>
      <c r="I1036" s="131"/>
      <c r="J1036" s="131"/>
      <c r="N1036" s="404"/>
    </row>
    <row r="1037" spans="2:14" ht="15.75" customHeight="1">
      <c r="B1037" s="402"/>
      <c r="D1037" s="131" t="s">
        <v>1295</v>
      </c>
      <c r="E1037" s="131"/>
      <c r="F1037" s="131"/>
      <c r="G1037" s="131"/>
      <c r="H1037" s="131"/>
      <c r="I1037" s="131"/>
      <c r="J1037" s="131"/>
      <c r="N1037" s="404"/>
    </row>
    <row r="1038" spans="2:14" ht="28.5" customHeight="1">
      <c r="B1038" s="402"/>
      <c r="D1038" s="763" t="s">
        <v>496</v>
      </c>
      <c r="E1038" s="763" t="s">
        <v>1296</v>
      </c>
      <c r="F1038" s="772" t="s">
        <v>1297</v>
      </c>
      <c r="G1038" s="763" t="s">
        <v>827</v>
      </c>
      <c r="H1038" s="772" t="s">
        <v>1298</v>
      </c>
      <c r="I1038" s="131"/>
      <c r="J1038" s="131"/>
      <c r="N1038" s="404"/>
    </row>
    <row r="1039" spans="2:14" ht="15.75" customHeight="1">
      <c r="B1039" s="402"/>
      <c r="D1039" s="431">
        <v>2020</v>
      </c>
      <c r="E1039" s="1015">
        <v>1263.6199999999999</v>
      </c>
      <c r="F1039" s="1026">
        <v>1229.8676575501399</v>
      </c>
      <c r="G1039" s="1017">
        <f>F1039/E1039</f>
        <v>0.97328916727350001</v>
      </c>
      <c r="H1039" s="1016">
        <f>F1039-E1039</f>
        <v>-33.752342449859952</v>
      </c>
      <c r="I1039" s="973"/>
      <c r="J1039" s="131"/>
      <c r="N1039" s="404"/>
    </row>
    <row r="1040" spans="2:14" ht="15.75" customHeight="1">
      <c r="B1040" s="402"/>
      <c r="D1040" s="431">
        <v>2021</v>
      </c>
      <c r="E1040" s="1015">
        <v>1199</v>
      </c>
      <c r="F1040" s="1015">
        <v>1200.0567137990899</v>
      </c>
      <c r="G1040" s="1017">
        <f t="shared" ref="G1040:G1042" si="33">F1040/E1040</f>
        <v>1.0008813292736363</v>
      </c>
      <c r="H1040" s="1016">
        <f t="shared" ref="H1040:H1042" si="34">F1040-E1040</f>
        <v>1.0567137990899482</v>
      </c>
      <c r="I1040" s="973"/>
      <c r="J1040" s="131"/>
      <c r="N1040" s="404"/>
    </row>
    <row r="1041" spans="2:14" ht="15.75" customHeight="1">
      <c r="B1041" s="402"/>
      <c r="D1041" s="431">
        <v>2022</v>
      </c>
      <c r="E1041" s="1015">
        <v>1184</v>
      </c>
      <c r="F1041" s="1015">
        <v>1252.6199817300501</v>
      </c>
      <c r="G1041" s="1017">
        <f t="shared" si="33"/>
        <v>1.0579560656503801</v>
      </c>
      <c r="H1041" s="1016">
        <f t="shared" si="34"/>
        <v>68.619981730050085</v>
      </c>
      <c r="I1041" s="973"/>
      <c r="J1041" s="973"/>
      <c r="N1041" s="404"/>
    </row>
    <row r="1042" spans="2:14" ht="15.75" customHeight="1">
      <c r="B1042" s="402"/>
      <c r="D1042" s="431">
        <v>2023</v>
      </c>
      <c r="E1042" s="1015">
        <v>1231</v>
      </c>
      <c r="F1042" s="1015">
        <v>1274.1592576831499</v>
      </c>
      <c r="G1042" s="1017">
        <f t="shared" si="33"/>
        <v>1.0350603230569861</v>
      </c>
      <c r="H1042" s="1016">
        <f t="shared" si="34"/>
        <v>43.159257683149917</v>
      </c>
      <c r="I1042" s="973"/>
      <c r="J1042" s="131"/>
      <c r="N1042" s="404"/>
    </row>
    <row r="1043" spans="2:14" ht="15.75" customHeight="1">
      <c r="B1043" s="402"/>
      <c r="D1043" s="131" t="s">
        <v>1299</v>
      </c>
      <c r="E1043" s="131"/>
      <c r="F1043" s="131"/>
      <c r="G1043" s="131"/>
      <c r="H1043" s="131"/>
      <c r="I1043" s="131"/>
      <c r="J1043" s="131"/>
      <c r="N1043" s="404"/>
    </row>
    <row r="1044" spans="2:14" ht="15.75" customHeight="1">
      <c r="B1044" s="402"/>
      <c r="D1044" s="131" t="s">
        <v>1300</v>
      </c>
      <c r="E1044" s="131"/>
      <c r="F1044" s="131"/>
      <c r="G1044" s="131"/>
      <c r="H1044" s="131"/>
      <c r="I1044" s="131"/>
      <c r="J1044" s="131"/>
      <c r="N1044" s="404"/>
    </row>
    <row r="1045" spans="2:14" ht="15.75" customHeight="1">
      <c r="B1045" s="402"/>
      <c r="D1045" s="131" t="s">
        <v>1301</v>
      </c>
      <c r="E1045" s="131"/>
      <c r="F1045" s="131"/>
      <c r="G1045" s="131"/>
      <c r="H1045" s="131"/>
      <c r="I1045" s="131"/>
      <c r="J1045" s="131"/>
      <c r="N1045" s="404"/>
    </row>
    <row r="1046" spans="2:14" ht="15.75" customHeight="1">
      <c r="B1046" s="402"/>
      <c r="D1046" s="1014" t="s">
        <v>496</v>
      </c>
      <c r="E1046" s="1014" t="s">
        <v>449</v>
      </c>
      <c r="F1046" s="1014" t="s">
        <v>492</v>
      </c>
      <c r="G1046" s="131"/>
      <c r="H1046" s="131"/>
      <c r="I1046" s="131"/>
      <c r="J1046" s="131"/>
      <c r="N1046" s="404"/>
    </row>
    <row r="1047" spans="2:14" ht="15.75" customHeight="1">
      <c r="B1047" s="402"/>
      <c r="D1047" s="431">
        <v>2024</v>
      </c>
      <c r="E1047" s="740">
        <v>1319</v>
      </c>
      <c r="F1047" s="1027">
        <f>3/4</f>
        <v>0.75</v>
      </c>
      <c r="G1047" s="131"/>
      <c r="H1047" s="131"/>
      <c r="I1047" s="131"/>
      <c r="J1047" s="131"/>
      <c r="N1047" s="404"/>
    </row>
    <row r="1048" spans="2:14" ht="15.75" customHeight="1">
      <c r="B1048" s="402"/>
      <c r="D1048" s="131"/>
      <c r="E1048" s="131"/>
      <c r="F1048" s="748"/>
      <c r="G1048" s="131"/>
      <c r="H1048" s="131"/>
      <c r="I1048" s="131"/>
      <c r="J1048" s="131"/>
      <c r="N1048" s="404"/>
    </row>
    <row r="1049" spans="2:14" ht="15.75" customHeight="1">
      <c r="B1049" s="402"/>
      <c r="D1049" s="131" t="s">
        <v>1302</v>
      </c>
      <c r="E1049" s="131"/>
      <c r="F1049" s="131"/>
      <c r="G1049" s="131"/>
      <c r="H1049" s="131"/>
      <c r="I1049" s="131"/>
      <c r="J1049" s="131"/>
      <c r="N1049" s="404"/>
    </row>
    <row r="1050" spans="2:14" ht="15.75" customHeight="1">
      <c r="B1050" s="402"/>
      <c r="D1050" s="131" t="s">
        <v>1303</v>
      </c>
      <c r="E1050" s="131"/>
      <c r="F1050" s="131"/>
      <c r="G1050" s="131"/>
      <c r="H1050" s="131"/>
      <c r="I1050" s="131"/>
      <c r="J1050" s="131"/>
      <c r="N1050" s="404"/>
    </row>
    <row r="1051" spans="2:14" ht="15.75" customHeight="1">
      <c r="B1051" s="402"/>
      <c r="D1051" s="131" t="s">
        <v>1304</v>
      </c>
      <c r="E1051" s="131"/>
      <c r="F1051" s="131"/>
      <c r="G1051" s="131"/>
      <c r="H1051" s="131"/>
      <c r="I1051" s="131"/>
      <c r="J1051" s="131"/>
      <c r="N1051" s="404"/>
    </row>
    <row r="1052" spans="2:14" ht="15.75" customHeight="1">
      <c r="B1052" s="402"/>
      <c r="D1052" s="1503" t="s">
        <v>1305</v>
      </c>
      <c r="E1052" s="1503"/>
      <c r="F1052" s="1014" t="s">
        <v>505</v>
      </c>
      <c r="G1052" s="1014" t="s">
        <v>170</v>
      </c>
      <c r="H1052" s="131"/>
      <c r="I1052" s="131"/>
      <c r="J1052" s="131"/>
      <c r="N1052" s="404"/>
    </row>
    <row r="1053" spans="2:14" ht="15.75" customHeight="1">
      <c r="B1053" s="402"/>
      <c r="D1053" s="1504">
        <v>4482772394.1599998</v>
      </c>
      <c r="E1053" s="1504"/>
      <c r="F1053" s="1016">
        <f>D1053*AVERAGE(H1040:H1042)</f>
        <v>168605965376.26093</v>
      </c>
      <c r="G1053" s="955">
        <f>F1053/360000000000</f>
        <v>0.468349903822947</v>
      </c>
      <c r="H1053" s="131"/>
      <c r="I1053" s="131"/>
      <c r="J1053" s="131"/>
      <c r="N1053" s="404"/>
    </row>
    <row r="1054" spans="2:14" ht="15.75" customHeight="1">
      <c r="B1054" s="402"/>
      <c r="D1054" s="131"/>
      <c r="E1054" s="131"/>
      <c r="F1054" s="131"/>
      <c r="G1054" s="131"/>
      <c r="H1054" s="131"/>
      <c r="I1054" s="131"/>
      <c r="J1054" s="131"/>
      <c r="N1054" s="404"/>
    </row>
    <row r="1055" spans="2:14" ht="15.75" customHeight="1" thickBot="1">
      <c r="B1055" s="754"/>
      <c r="C1055" s="755"/>
      <c r="D1055" s="755"/>
      <c r="E1055" s="755"/>
      <c r="F1055" s="755"/>
      <c r="G1055" s="755"/>
      <c r="H1055" s="755"/>
      <c r="I1055" s="755"/>
      <c r="J1055" s="755"/>
      <c r="K1055" s="755"/>
      <c r="L1055" s="755"/>
      <c r="M1055" s="755"/>
      <c r="N1055" s="756"/>
    </row>
    <row r="1056" spans="2:14" ht="15.75" customHeight="1"/>
    <row r="1057" spans="2:15" ht="15.75" customHeight="1" thickBot="1"/>
    <row r="1058" spans="2:15" ht="15.75" customHeight="1">
      <c r="B1058" s="398"/>
      <c r="C1058" s="399" t="s">
        <v>1306</v>
      </c>
      <c r="D1058" s="400"/>
      <c r="E1058" s="400"/>
      <c r="F1058" s="400"/>
      <c r="G1058" s="400"/>
      <c r="H1058" s="400"/>
      <c r="I1058" s="400"/>
      <c r="J1058" s="400"/>
      <c r="K1058" s="400"/>
      <c r="L1058" s="400"/>
      <c r="M1058" s="400"/>
      <c r="N1058" s="401"/>
    </row>
    <row r="1059" spans="2:15" ht="15.75" customHeight="1">
      <c r="B1059" s="402"/>
      <c r="N1059" s="404"/>
    </row>
    <row r="1060" spans="2:15" ht="15.75" customHeight="1">
      <c r="B1060" s="760"/>
      <c r="C1060" s="83" t="s">
        <v>1307</v>
      </c>
      <c r="D1060" s="69"/>
      <c r="E1060" s="407"/>
      <c r="F1060" s="69"/>
      <c r="G1060" s="69"/>
      <c r="H1060" s="69"/>
      <c r="I1060" s="69"/>
      <c r="J1060" s="69"/>
      <c r="K1060" s="69"/>
      <c r="L1060" s="69"/>
      <c r="M1060" s="69"/>
      <c r="N1060" s="761"/>
      <c r="O1060" s="69"/>
    </row>
    <row r="1061" spans="2:15" ht="15.75" customHeight="1">
      <c r="B1061" s="760"/>
      <c r="C1061" s="131"/>
      <c r="D1061" s="69"/>
      <c r="E1061" s="407"/>
      <c r="F1061" s="69"/>
      <c r="G1061" s="69"/>
      <c r="H1061" s="69"/>
      <c r="I1061" s="69"/>
      <c r="J1061" s="69"/>
      <c r="K1061" s="69"/>
      <c r="L1061" s="69"/>
      <c r="M1061" s="69"/>
      <c r="N1061" s="761"/>
      <c r="O1061" s="69"/>
    </row>
    <row r="1062" spans="2:15" ht="15.75" customHeight="1">
      <c r="B1062" s="760"/>
      <c r="C1062" s="407"/>
      <c r="D1062" s="1028" t="s">
        <v>1308</v>
      </c>
      <c r="E1062" s="407"/>
      <c r="F1062" s="69"/>
      <c r="G1062" s="69"/>
      <c r="H1062" s="69"/>
      <c r="I1062" s="69"/>
      <c r="J1062" s="69"/>
      <c r="K1062" s="69"/>
      <c r="L1062" s="69"/>
      <c r="M1062" s="69"/>
      <c r="N1062" s="761"/>
      <c r="O1062" s="69"/>
    </row>
    <row r="1063" spans="2:15" ht="15.75" customHeight="1">
      <c r="B1063" s="760"/>
      <c r="C1063" s="407"/>
      <c r="D1063" s="826" t="s">
        <v>1309</v>
      </c>
      <c r="E1063" s="826" t="s">
        <v>1310</v>
      </c>
      <c r="F1063" s="739" t="s">
        <v>1311</v>
      </c>
      <c r="G1063" s="739" t="s">
        <v>1312</v>
      </c>
      <c r="H1063" s="72"/>
      <c r="I1063" s="69"/>
      <c r="J1063" s="69"/>
      <c r="K1063" s="69"/>
      <c r="L1063" s="69"/>
      <c r="M1063" s="69"/>
      <c r="N1063" s="761"/>
      <c r="O1063" s="69"/>
    </row>
    <row r="1064" spans="2:15" ht="15.75" customHeight="1">
      <c r="B1064" s="760"/>
      <c r="C1064" s="407"/>
      <c r="D1064" s="846">
        <v>2021</v>
      </c>
      <c r="E1064" s="1029">
        <v>92.37</v>
      </c>
      <c r="F1064" s="1029">
        <v>92.81</v>
      </c>
      <c r="G1064" s="773">
        <f>F1064/E1064</f>
        <v>1.0047634513370141</v>
      </c>
      <c r="H1064" s="70">
        <v>0</v>
      </c>
      <c r="I1064" s="69"/>
      <c r="J1064" s="69"/>
      <c r="K1064" s="69"/>
      <c r="L1064" s="69"/>
      <c r="M1064" s="69"/>
      <c r="N1064" s="761"/>
      <c r="O1064" s="69"/>
    </row>
    <row r="1065" spans="2:15" ht="15.75" customHeight="1">
      <c r="B1065" s="760"/>
      <c r="C1065" s="407"/>
      <c r="D1065" s="846">
        <v>2022</v>
      </c>
      <c r="E1065" s="1029">
        <v>95.5</v>
      </c>
      <c r="F1065" s="1029">
        <v>96.95</v>
      </c>
      <c r="G1065" s="773">
        <f>F1065/E1065</f>
        <v>1.0151832460732984</v>
      </c>
      <c r="H1065" s="70">
        <v>0</v>
      </c>
      <c r="I1065" s="69"/>
      <c r="J1065" s="69"/>
      <c r="K1065" s="69"/>
      <c r="L1065" s="69"/>
      <c r="M1065" s="69"/>
      <c r="N1065" s="761"/>
      <c r="O1065" s="69"/>
    </row>
    <row r="1066" spans="2:15" ht="15.75" customHeight="1">
      <c r="B1066" s="760"/>
      <c r="C1066" s="407"/>
      <c r="D1066" s="846">
        <v>2023</v>
      </c>
      <c r="E1066" s="1029">
        <v>96.8</v>
      </c>
      <c r="F1066" s="1029">
        <v>94.13</v>
      </c>
      <c r="G1066" s="773">
        <f>F1066/E1066</f>
        <v>0.97241735537190077</v>
      </c>
      <c r="H1066" s="70">
        <v>1</v>
      </c>
      <c r="I1066" s="69"/>
      <c r="J1066" s="69"/>
      <c r="K1066" s="69"/>
      <c r="L1066" s="69"/>
      <c r="M1066" s="69"/>
      <c r="N1066" s="761"/>
      <c r="O1066" s="69"/>
    </row>
    <row r="1067" spans="2:15" ht="15.75" customHeight="1">
      <c r="B1067" s="760"/>
      <c r="C1067" s="407"/>
      <c r="D1067" s="846" t="s">
        <v>1313</v>
      </c>
      <c r="E1067" s="1029">
        <f>AVERAGE(E1064:E1066)</f>
        <v>94.89</v>
      </c>
      <c r="F1067" s="1029">
        <f>AVERAGE(F1064:F1066)</f>
        <v>94.63</v>
      </c>
      <c r="G1067" s="806">
        <f>AVERAGE(G1064:G1066)</f>
        <v>0.9974546842607378</v>
      </c>
      <c r="H1067" s="1030">
        <f>SUM(H1064:H1066)/3</f>
        <v>0.33333333333333331</v>
      </c>
      <c r="I1067" s="69"/>
      <c r="J1067" s="69"/>
      <c r="K1067" s="69"/>
      <c r="L1067" s="69"/>
      <c r="M1067" s="69"/>
      <c r="N1067" s="761"/>
      <c r="O1067" s="69"/>
    </row>
    <row r="1068" spans="2:15" ht="15.75" customHeight="1">
      <c r="B1068" s="760"/>
      <c r="C1068" s="407"/>
      <c r="D1068" s="824"/>
      <c r="E1068" s="1031"/>
      <c r="F1068" s="1031"/>
      <c r="G1068" s="1032"/>
      <c r="H1068" s="1033"/>
      <c r="I1068" s="69"/>
      <c r="J1068" s="69"/>
      <c r="K1068" s="69"/>
      <c r="L1068" s="69"/>
      <c r="M1068" s="69"/>
      <c r="N1068" s="761"/>
      <c r="O1068" s="69"/>
    </row>
    <row r="1069" spans="2:15" ht="15.75" customHeight="1">
      <c r="B1069" s="760"/>
      <c r="C1069" s="407"/>
      <c r="D1069" s="826" t="s">
        <v>1309</v>
      </c>
      <c r="E1069" s="826" t="s">
        <v>1314</v>
      </c>
      <c r="F1069" s="739" t="s">
        <v>1310</v>
      </c>
      <c r="G1069" s="739" t="s">
        <v>1311</v>
      </c>
      <c r="H1069" s="826" t="s">
        <v>1312</v>
      </c>
      <c r="I1069" s="69"/>
      <c r="J1069" s="69"/>
      <c r="K1069" s="69"/>
      <c r="L1069" s="69"/>
      <c r="M1069" s="69"/>
      <c r="N1069" s="761"/>
      <c r="O1069" s="69"/>
    </row>
    <row r="1070" spans="2:15" ht="15.75" customHeight="1">
      <c r="B1070" s="760"/>
      <c r="C1070" s="407"/>
      <c r="D1070" s="1494">
        <v>2021</v>
      </c>
      <c r="E1070" s="1029" t="s">
        <v>1315</v>
      </c>
      <c r="F1070" s="1029">
        <v>81.5</v>
      </c>
      <c r="G1070" s="1029">
        <v>82.99</v>
      </c>
      <c r="H1070" s="1034">
        <f>G1070/F1070</f>
        <v>1.0182822085889569</v>
      </c>
      <c r="I1070" s="69"/>
      <c r="J1070" s="69"/>
      <c r="K1070" s="69"/>
      <c r="L1070" s="69"/>
      <c r="M1070" s="69"/>
      <c r="N1070" s="761"/>
      <c r="O1070" s="69"/>
    </row>
    <row r="1071" spans="2:15" ht="15.75" customHeight="1">
      <c r="B1071" s="760"/>
      <c r="C1071" s="407"/>
      <c r="D1071" s="1494"/>
      <c r="E1071" s="1029" t="s">
        <v>1316</v>
      </c>
      <c r="F1071" s="1029">
        <v>92.37</v>
      </c>
      <c r="G1071" s="1029">
        <v>97.87</v>
      </c>
      <c r="H1071" s="1034">
        <f t="shared" ref="H1071:H1093" si="35">G1071/F1071</f>
        <v>1.0595431417126773</v>
      </c>
      <c r="I1071" s="69"/>
      <c r="J1071" s="69"/>
      <c r="K1071" s="69"/>
      <c r="L1071" s="69"/>
      <c r="M1071" s="69"/>
      <c r="N1071" s="761"/>
      <c r="O1071" s="69"/>
    </row>
    <row r="1072" spans="2:15" ht="15.75" customHeight="1">
      <c r="B1072" s="760"/>
      <c r="C1072" s="407"/>
      <c r="D1072" s="1494"/>
      <c r="E1072" s="1029" t="s">
        <v>1317</v>
      </c>
      <c r="F1072" s="1029">
        <v>79.03</v>
      </c>
      <c r="G1072" s="1029">
        <v>82.7</v>
      </c>
      <c r="H1072" s="1034">
        <f t="shared" si="35"/>
        <v>1.0464380614956346</v>
      </c>
      <c r="I1072" s="69"/>
      <c r="J1072" s="69"/>
      <c r="K1072" s="69"/>
      <c r="L1072" s="69"/>
      <c r="M1072" s="69"/>
      <c r="N1072" s="761"/>
      <c r="O1072" s="69"/>
    </row>
    <row r="1073" spans="2:15" ht="15.75" customHeight="1">
      <c r="B1073" s="760"/>
      <c r="C1073" s="407"/>
      <c r="D1073" s="1494"/>
      <c r="E1073" s="1029" t="s">
        <v>1318</v>
      </c>
      <c r="F1073" s="1029">
        <v>92.37</v>
      </c>
      <c r="G1073" s="1029">
        <v>93.85</v>
      </c>
      <c r="H1073" s="1034">
        <f t="shared" si="35"/>
        <v>1.0160225181335931</v>
      </c>
      <c r="I1073" s="69"/>
      <c r="J1073" s="69"/>
      <c r="K1073" s="69"/>
      <c r="L1073" s="69"/>
      <c r="M1073" s="69"/>
      <c r="N1073" s="761"/>
      <c r="O1073" s="69"/>
    </row>
    <row r="1074" spans="2:15" ht="15.75" customHeight="1">
      <c r="B1074" s="760"/>
      <c r="C1074" s="407"/>
      <c r="D1074" s="1494"/>
      <c r="E1074" s="1029" t="s">
        <v>1319</v>
      </c>
      <c r="F1074" s="1029">
        <v>92.37</v>
      </c>
      <c r="G1074" s="1029">
        <v>95.98</v>
      </c>
      <c r="H1074" s="1034">
        <f t="shared" si="35"/>
        <v>1.0390819530150481</v>
      </c>
      <c r="I1074" s="69"/>
      <c r="J1074" s="69"/>
      <c r="K1074" s="69"/>
      <c r="L1074" s="69"/>
      <c r="M1074" s="69"/>
      <c r="N1074" s="761"/>
      <c r="O1074" s="69"/>
    </row>
    <row r="1075" spans="2:15" ht="15.75" customHeight="1">
      <c r="B1075" s="760"/>
      <c r="C1075" s="407"/>
      <c r="D1075" s="1494"/>
      <c r="E1075" s="1029" t="s">
        <v>1320</v>
      </c>
      <c r="F1075" s="1029">
        <v>92.37</v>
      </c>
      <c r="G1075" s="1029">
        <v>98.95</v>
      </c>
      <c r="H1075" s="1034">
        <f t="shared" si="35"/>
        <v>1.0712352495398938</v>
      </c>
      <c r="I1075" s="69"/>
      <c r="J1075" s="69"/>
      <c r="K1075" s="69"/>
      <c r="L1075" s="69"/>
      <c r="M1075" s="69"/>
      <c r="N1075" s="761"/>
      <c r="O1075" s="69"/>
    </row>
    <row r="1076" spans="2:15" ht="15.75" customHeight="1">
      <c r="B1076" s="760"/>
      <c r="C1076" s="407"/>
      <c r="D1076" s="1494"/>
      <c r="E1076" s="1029" t="s">
        <v>1321</v>
      </c>
      <c r="F1076" s="1029">
        <v>92.37</v>
      </c>
      <c r="G1076" s="1029">
        <v>92.81</v>
      </c>
      <c r="H1076" s="1034">
        <f t="shared" si="35"/>
        <v>1.0047634513370141</v>
      </c>
      <c r="I1076" s="69"/>
      <c r="J1076" s="69"/>
      <c r="K1076" s="69"/>
      <c r="L1076" s="69"/>
      <c r="M1076" s="69"/>
      <c r="N1076" s="761"/>
      <c r="O1076" s="69"/>
    </row>
    <row r="1077" spans="2:15" ht="15.75" customHeight="1">
      <c r="B1077" s="760"/>
      <c r="C1077" s="407"/>
      <c r="D1077" s="1494"/>
      <c r="E1077" s="1029" t="s">
        <v>1322</v>
      </c>
      <c r="F1077" s="1029">
        <v>92.37</v>
      </c>
      <c r="G1077" s="1029">
        <v>98.7</v>
      </c>
      <c r="H1077" s="1034">
        <f t="shared" si="35"/>
        <v>1.0685287430984085</v>
      </c>
      <c r="I1077" s="69"/>
      <c r="J1077" s="69"/>
      <c r="K1077" s="69"/>
      <c r="L1077" s="69"/>
      <c r="M1077" s="69"/>
      <c r="N1077" s="761"/>
      <c r="O1077" s="69"/>
    </row>
    <row r="1078" spans="2:15" ht="15.75" customHeight="1">
      <c r="B1078" s="760"/>
      <c r="C1078" s="407"/>
      <c r="D1078" s="1494">
        <v>2022</v>
      </c>
      <c r="E1078" s="1029" t="s">
        <v>1315</v>
      </c>
      <c r="F1078" s="1029">
        <v>95.3</v>
      </c>
      <c r="G1078" s="1029">
        <v>98.55</v>
      </c>
      <c r="H1078" s="1034">
        <f t="shared" si="35"/>
        <v>1.034102833158447</v>
      </c>
      <c r="I1078" s="69"/>
      <c r="J1078" s="69"/>
      <c r="K1078" s="69"/>
      <c r="L1078" s="69"/>
      <c r="M1078" s="69"/>
      <c r="N1078" s="761"/>
      <c r="O1078" s="69"/>
    </row>
    <row r="1079" spans="2:15" ht="15.75" customHeight="1">
      <c r="B1079" s="760"/>
      <c r="C1079" s="407"/>
      <c r="D1079" s="1494"/>
      <c r="E1079" s="1029" t="s">
        <v>1316</v>
      </c>
      <c r="F1079" s="1029">
        <v>98.29</v>
      </c>
      <c r="G1079" s="1029">
        <v>98.54</v>
      </c>
      <c r="H1079" s="1034">
        <f t="shared" si="35"/>
        <v>1.0025434937430053</v>
      </c>
      <c r="I1079" s="69"/>
      <c r="J1079" s="69"/>
      <c r="K1079" s="69"/>
      <c r="L1079" s="69"/>
      <c r="M1079" s="69"/>
      <c r="N1079" s="761"/>
      <c r="O1079" s="69"/>
    </row>
    <row r="1080" spans="2:15" ht="15.75" customHeight="1">
      <c r="B1080" s="760"/>
      <c r="C1080" s="407"/>
      <c r="D1080" s="1494"/>
      <c r="E1080" s="1029" t="s">
        <v>1317</v>
      </c>
      <c r="F1080" s="1029">
        <v>91.55</v>
      </c>
      <c r="G1080" s="1029">
        <v>93.56</v>
      </c>
      <c r="H1080" s="1034">
        <f t="shared" si="35"/>
        <v>1.0219552157291099</v>
      </c>
      <c r="I1080" s="69"/>
      <c r="J1080" s="69"/>
      <c r="K1080" s="69"/>
      <c r="L1080" s="69"/>
      <c r="M1080" s="69"/>
      <c r="N1080" s="761"/>
      <c r="O1080" s="69"/>
    </row>
    <row r="1081" spans="2:15" ht="15.75" customHeight="1">
      <c r="B1081" s="760"/>
      <c r="C1081" s="407"/>
      <c r="D1081" s="1494"/>
      <c r="E1081" s="1029" t="s">
        <v>1318</v>
      </c>
      <c r="F1081" s="1029">
        <v>93.29</v>
      </c>
      <c r="G1081" s="1029">
        <v>94.45</v>
      </c>
      <c r="H1081" s="1034">
        <f t="shared" si="35"/>
        <v>1.0124343445170971</v>
      </c>
      <c r="I1081" s="69"/>
      <c r="J1081" s="69"/>
      <c r="K1081" s="69"/>
      <c r="L1081" s="69"/>
      <c r="M1081" s="69"/>
      <c r="N1081" s="761"/>
      <c r="O1081" s="69"/>
    </row>
    <row r="1082" spans="2:15" ht="15.75" customHeight="1">
      <c r="B1082" s="760"/>
      <c r="C1082" s="407"/>
      <c r="D1082" s="1494"/>
      <c r="E1082" s="1029" t="s">
        <v>1319</v>
      </c>
      <c r="F1082" s="1029">
        <v>96.57</v>
      </c>
      <c r="G1082" s="1029">
        <v>97.47</v>
      </c>
      <c r="H1082" s="1034">
        <f t="shared" si="35"/>
        <v>1.0093196644920783</v>
      </c>
      <c r="I1082" s="69"/>
      <c r="J1082" s="69"/>
      <c r="K1082" s="69"/>
      <c r="L1082" s="69"/>
      <c r="M1082" s="69"/>
      <c r="N1082" s="761"/>
      <c r="O1082" s="69"/>
    </row>
    <row r="1083" spans="2:15" ht="15.75" customHeight="1">
      <c r="B1083" s="760"/>
      <c r="C1083" s="407"/>
      <c r="D1083" s="1494"/>
      <c r="E1083" s="1029" t="s">
        <v>1320</v>
      </c>
      <c r="F1083" s="1029">
        <v>95.69</v>
      </c>
      <c r="G1083" s="1029">
        <v>97.46</v>
      </c>
      <c r="H1083" s="1034">
        <f t="shared" si="35"/>
        <v>1.0184972306406104</v>
      </c>
      <c r="I1083" s="69"/>
      <c r="J1083" s="69"/>
      <c r="K1083" s="69"/>
      <c r="L1083" s="69"/>
      <c r="M1083" s="69"/>
      <c r="N1083" s="761"/>
      <c r="O1083" s="69"/>
    </row>
    <row r="1084" spans="2:15" ht="15.75" customHeight="1">
      <c r="B1084" s="760"/>
      <c r="C1084" s="407"/>
      <c r="D1084" s="1494"/>
      <c r="E1084" s="1029" t="s">
        <v>1321</v>
      </c>
      <c r="F1084" s="1029">
        <v>96.98</v>
      </c>
      <c r="G1084" s="1029">
        <v>97.65</v>
      </c>
      <c r="H1084" s="1034">
        <f t="shared" si="35"/>
        <v>1.0069086409568984</v>
      </c>
      <c r="I1084" s="69"/>
      <c r="J1084" s="69"/>
      <c r="K1084" s="69"/>
      <c r="L1084" s="69"/>
      <c r="M1084" s="69"/>
      <c r="N1084" s="761"/>
      <c r="O1084" s="69"/>
    </row>
    <row r="1085" spans="2:15" ht="15.75" customHeight="1">
      <c r="B1085" s="760"/>
      <c r="C1085" s="407"/>
      <c r="D1085" s="1494"/>
      <c r="E1085" s="1029" t="s">
        <v>1322</v>
      </c>
      <c r="F1085" s="1029">
        <v>97.99</v>
      </c>
      <c r="G1085" s="1029">
        <v>99.33</v>
      </c>
      <c r="H1085" s="1034">
        <f t="shared" si="35"/>
        <v>1.0136748647821208</v>
      </c>
      <c r="I1085" s="69"/>
      <c r="J1085" s="69"/>
      <c r="K1085" s="69"/>
      <c r="L1085" s="69"/>
      <c r="M1085" s="69"/>
      <c r="N1085" s="761"/>
      <c r="O1085" s="69"/>
    </row>
    <row r="1086" spans="2:15" ht="15.75" customHeight="1">
      <c r="B1086" s="760"/>
      <c r="C1086" s="407"/>
      <c r="D1086" s="1494">
        <v>2023</v>
      </c>
      <c r="E1086" s="1029" t="s">
        <v>1315</v>
      </c>
      <c r="F1086" s="1029">
        <v>94.1</v>
      </c>
      <c r="G1086" s="1029">
        <v>98.35</v>
      </c>
      <c r="H1086" s="1034">
        <f t="shared" si="35"/>
        <v>1.045164718384697</v>
      </c>
      <c r="I1086" s="69"/>
      <c r="J1086" s="69"/>
      <c r="K1086" s="69"/>
      <c r="L1086" s="69"/>
      <c r="M1086" s="69"/>
      <c r="N1086" s="761"/>
      <c r="O1086" s="69"/>
    </row>
    <row r="1087" spans="2:15" ht="15.75" customHeight="1">
      <c r="B1087" s="760"/>
      <c r="C1087" s="1035"/>
      <c r="D1087" s="1494"/>
      <c r="E1087" s="1029" t="s">
        <v>1316</v>
      </c>
      <c r="F1087" s="1029">
        <v>98.61</v>
      </c>
      <c r="G1087" s="1029">
        <v>98.44</v>
      </c>
      <c r="H1087" s="1034">
        <f t="shared" si="35"/>
        <v>0.99827603691309197</v>
      </c>
      <c r="I1087" s="69"/>
      <c r="J1087" s="69"/>
      <c r="K1087" s="69"/>
      <c r="L1087" s="69"/>
      <c r="M1087" s="69"/>
      <c r="N1087" s="761"/>
      <c r="O1087" s="69"/>
    </row>
    <row r="1088" spans="2:15" ht="15.75" customHeight="1">
      <c r="B1088" s="760"/>
      <c r="C1088" s="407"/>
      <c r="D1088" s="1494"/>
      <c r="E1088" s="1029" t="s">
        <v>1317</v>
      </c>
      <c r="F1088" s="1029">
        <v>94.54</v>
      </c>
      <c r="G1088" s="1036">
        <v>77.39</v>
      </c>
      <c r="H1088" s="1037">
        <f t="shared" si="35"/>
        <v>0.81859530357520627</v>
      </c>
      <c r="I1088" s="1038" t="s">
        <v>1323</v>
      </c>
      <c r="J1088" s="1039"/>
      <c r="K1088" s="69"/>
      <c r="L1088" s="69"/>
      <c r="M1088" s="69"/>
      <c r="N1088" s="761"/>
      <c r="O1088" s="69"/>
    </row>
    <row r="1089" spans="2:15" ht="15.75" customHeight="1">
      <c r="B1089" s="760"/>
      <c r="C1089" s="407"/>
      <c r="D1089" s="1494"/>
      <c r="E1089" s="1029" t="s">
        <v>1318</v>
      </c>
      <c r="F1089" s="1029">
        <v>95.78</v>
      </c>
      <c r="G1089" s="1029">
        <v>98.99</v>
      </c>
      <c r="H1089" s="1034">
        <f t="shared" si="35"/>
        <v>1.0335143036124452</v>
      </c>
      <c r="I1089" s="69"/>
      <c r="J1089" s="69"/>
      <c r="K1089" s="69"/>
      <c r="L1089" s="69"/>
      <c r="M1089" s="69"/>
      <c r="N1089" s="761"/>
      <c r="O1089" s="69"/>
    </row>
    <row r="1090" spans="2:15" ht="15.75" customHeight="1">
      <c r="B1090" s="760"/>
      <c r="C1090" s="407"/>
      <c r="D1090" s="1494"/>
      <c r="E1090" s="1029" t="s">
        <v>1319</v>
      </c>
      <c r="F1090" s="1029">
        <v>97.75</v>
      </c>
      <c r="G1090" s="1029">
        <v>98.83</v>
      </c>
      <c r="H1090" s="1034">
        <f t="shared" si="35"/>
        <v>1.0110485933503837</v>
      </c>
      <c r="I1090" s="69"/>
      <c r="J1090" s="69"/>
      <c r="K1090" s="69"/>
      <c r="L1090" s="69"/>
      <c r="M1090" s="69"/>
      <c r="N1090" s="761"/>
      <c r="O1090" s="69"/>
    </row>
    <row r="1091" spans="2:15" ht="15.75" customHeight="1">
      <c r="B1091" s="760"/>
      <c r="C1091" s="407"/>
      <c r="D1091" s="1494"/>
      <c r="E1091" s="1029" t="s">
        <v>1320</v>
      </c>
      <c r="F1091" s="1029">
        <v>96.92</v>
      </c>
      <c r="G1091" s="1029">
        <v>98.3</v>
      </c>
      <c r="H1091" s="1034">
        <f t="shared" si="35"/>
        <v>1.0142385472554685</v>
      </c>
      <c r="I1091" s="69"/>
      <c r="J1091" s="69"/>
      <c r="K1091" s="69"/>
      <c r="L1091" s="69"/>
      <c r="M1091" s="69"/>
      <c r="N1091" s="761"/>
      <c r="O1091" s="69"/>
    </row>
    <row r="1092" spans="2:15" ht="15.75" customHeight="1">
      <c r="B1092" s="760"/>
      <c r="C1092" s="407"/>
      <c r="D1092" s="1494"/>
      <c r="E1092" s="1029" t="s">
        <v>1321</v>
      </c>
      <c r="F1092" s="1029">
        <v>98.11</v>
      </c>
      <c r="G1092" s="1029">
        <v>99.21</v>
      </c>
      <c r="H1092" s="1034">
        <f t="shared" si="35"/>
        <v>1.0112119050045867</v>
      </c>
      <c r="I1092" s="69"/>
      <c r="J1092" s="69"/>
      <c r="K1092" s="69"/>
      <c r="L1092" s="69"/>
      <c r="M1092" s="69"/>
      <c r="N1092" s="761"/>
      <c r="O1092" s="69"/>
    </row>
    <row r="1093" spans="2:15" ht="15.75" customHeight="1">
      <c r="B1093" s="760"/>
      <c r="C1093" s="407"/>
      <c r="D1093" s="1494"/>
      <c r="E1093" s="1029" t="s">
        <v>1322</v>
      </c>
      <c r="F1093" s="1029">
        <v>99.22</v>
      </c>
      <c r="G1093" s="1029">
        <v>99.35</v>
      </c>
      <c r="H1093" s="1034">
        <f t="shared" si="35"/>
        <v>1.0013102197137673</v>
      </c>
      <c r="I1093" s="69"/>
      <c r="J1093" s="69"/>
      <c r="K1093" s="69"/>
      <c r="L1093" s="69"/>
      <c r="M1093" s="69"/>
      <c r="N1093" s="761"/>
      <c r="O1093" s="69"/>
    </row>
    <row r="1094" spans="2:15" ht="15.75" customHeight="1">
      <c r="B1094" s="760"/>
      <c r="C1094" s="407"/>
      <c r="D1094" s="824"/>
      <c r="E1094" s="1031"/>
      <c r="F1094" s="1031"/>
      <c r="G1094" s="1032"/>
      <c r="H1094" s="1040">
        <f>(1/8)/3</f>
        <v>4.1666666666666664E-2</v>
      </c>
      <c r="I1094" s="69"/>
      <c r="J1094" s="69"/>
      <c r="K1094" s="69"/>
      <c r="L1094" s="69"/>
      <c r="M1094" s="69"/>
      <c r="N1094" s="761"/>
      <c r="O1094" s="69"/>
    </row>
    <row r="1095" spans="2:15" ht="15.75" customHeight="1">
      <c r="B1095" s="760"/>
      <c r="C1095" s="407"/>
      <c r="D1095" s="824"/>
      <c r="E1095" s="824"/>
      <c r="F1095" s="72"/>
      <c r="G1095" s="69"/>
      <c r="H1095" s="69"/>
      <c r="I1095" s="69"/>
      <c r="J1095" s="69"/>
      <c r="K1095" s="69"/>
      <c r="L1095" s="69"/>
      <c r="M1095" s="69"/>
      <c r="N1095" s="761"/>
      <c r="O1095" s="69"/>
    </row>
    <row r="1096" spans="2:15" ht="30.75" customHeight="1">
      <c r="B1096" s="760"/>
      <c r="C1096" s="407"/>
      <c r="D1096" s="826" t="s">
        <v>1309</v>
      </c>
      <c r="E1096" s="826" t="s">
        <v>1310</v>
      </c>
      <c r="F1096" s="805" t="s">
        <v>1324</v>
      </c>
      <c r="G1096" s="72"/>
      <c r="H1096" s="69"/>
      <c r="I1096" s="69"/>
      <c r="J1096" s="69"/>
      <c r="K1096" s="69"/>
      <c r="L1096" s="69"/>
      <c r="M1096" s="69"/>
      <c r="N1096" s="761"/>
      <c r="O1096" s="69"/>
    </row>
    <row r="1097" spans="2:15" ht="15.75" customHeight="1">
      <c r="B1097" s="760"/>
      <c r="C1097" s="407"/>
      <c r="D1097" s="846">
        <v>2024</v>
      </c>
      <c r="E1097" s="846">
        <v>89.85</v>
      </c>
      <c r="F1097" s="773">
        <f>F1067/E1097</f>
        <v>1.0531997774067892</v>
      </c>
      <c r="G1097" s="69"/>
      <c r="H1097" s="69"/>
      <c r="I1097" s="69"/>
      <c r="J1097" s="69"/>
      <c r="K1097" s="69"/>
      <c r="L1097" s="69"/>
      <c r="M1097" s="69"/>
      <c r="N1097" s="761"/>
      <c r="O1097" s="69"/>
    </row>
    <row r="1098" spans="2:15" ht="15.75" customHeight="1">
      <c r="B1098" s="760"/>
      <c r="C1098" s="407"/>
      <c r="D1098" s="824"/>
      <c r="E1098" s="824"/>
      <c r="F1098" s="1041"/>
      <c r="G1098" s="69"/>
      <c r="H1098" s="69"/>
      <c r="I1098" s="69"/>
      <c r="J1098" s="69"/>
      <c r="K1098" s="69"/>
      <c r="L1098" s="69"/>
      <c r="M1098" s="69"/>
      <c r="N1098" s="761"/>
      <c r="O1098" s="69"/>
    </row>
    <row r="1099" spans="2:15" ht="15.75" customHeight="1">
      <c r="B1099" s="760"/>
      <c r="C1099" s="407"/>
      <c r="D1099" s="826" t="s">
        <v>1309</v>
      </c>
      <c r="E1099" s="826" t="s">
        <v>1314</v>
      </c>
      <c r="F1099" s="739" t="s">
        <v>1310</v>
      </c>
      <c r="G1099" s="792"/>
      <c r="H1099" s="1042"/>
      <c r="I1099" s="69"/>
      <c r="J1099" s="69"/>
      <c r="K1099" s="69"/>
      <c r="L1099" s="69"/>
      <c r="M1099" s="69"/>
      <c r="N1099" s="761"/>
      <c r="O1099" s="69"/>
    </row>
    <row r="1100" spans="2:15" ht="15.75" customHeight="1">
      <c r="B1100" s="760"/>
      <c r="C1100" s="407"/>
      <c r="D1100" s="1495">
        <v>2024</v>
      </c>
      <c r="E1100" s="1029" t="s">
        <v>1315</v>
      </c>
      <c r="F1100" s="1029">
        <v>89.81</v>
      </c>
      <c r="G1100" s="1032"/>
      <c r="H1100" s="1033"/>
      <c r="I1100" s="69"/>
      <c r="J1100" s="69"/>
      <c r="K1100" s="69"/>
      <c r="L1100" s="69"/>
      <c r="M1100" s="69"/>
      <c r="N1100" s="761"/>
      <c r="O1100" s="69"/>
    </row>
    <row r="1101" spans="2:15" ht="15.75" customHeight="1">
      <c r="B1101" s="760"/>
      <c r="C1101" s="407"/>
      <c r="D1101" s="1496"/>
      <c r="E1101" s="1029" t="s">
        <v>1316</v>
      </c>
      <c r="F1101" s="1029">
        <v>88.19</v>
      </c>
      <c r="G1101" s="1032"/>
      <c r="H1101" s="1033"/>
      <c r="I1101" s="69"/>
      <c r="J1101" s="69"/>
      <c r="K1101" s="69"/>
      <c r="L1101" s="69"/>
      <c r="M1101" s="69"/>
      <c r="N1101" s="761"/>
      <c r="O1101" s="69"/>
    </row>
    <row r="1102" spans="2:15" ht="15.75" customHeight="1">
      <c r="B1102" s="760"/>
      <c r="C1102" s="407"/>
      <c r="D1102" s="1496"/>
      <c r="E1102" s="1029" t="s">
        <v>1317</v>
      </c>
      <c r="F1102" s="1029">
        <v>81.34</v>
      </c>
      <c r="G1102" s="1032"/>
      <c r="H1102" s="1033"/>
      <c r="I1102" s="69"/>
      <c r="J1102" s="69"/>
      <c r="K1102" s="69"/>
      <c r="L1102" s="69"/>
      <c r="M1102" s="69"/>
      <c r="N1102" s="761"/>
      <c r="O1102" s="69"/>
    </row>
    <row r="1103" spans="2:15" ht="15.75" customHeight="1">
      <c r="B1103" s="760"/>
      <c r="C1103" s="407"/>
      <c r="D1103" s="1496"/>
      <c r="E1103" s="1029" t="s">
        <v>1318</v>
      </c>
      <c r="F1103" s="1029">
        <v>91.22</v>
      </c>
      <c r="G1103" s="1032"/>
      <c r="H1103" s="1033"/>
      <c r="I1103" s="69"/>
      <c r="J1103" s="69"/>
      <c r="K1103" s="69"/>
      <c r="L1103" s="69"/>
      <c r="M1103" s="69"/>
      <c r="N1103" s="761"/>
      <c r="O1103" s="69"/>
    </row>
    <row r="1104" spans="2:15" ht="15.75" customHeight="1">
      <c r="B1104" s="760"/>
      <c r="C1104" s="407"/>
      <c r="D1104" s="1496"/>
      <c r="E1104" s="1029" t="s">
        <v>1319</v>
      </c>
      <c r="F1104" s="1029">
        <v>90.91</v>
      </c>
      <c r="G1104" s="1032"/>
      <c r="H1104" s="1033"/>
      <c r="I1104" s="69"/>
      <c r="J1104" s="69"/>
      <c r="K1104" s="69"/>
      <c r="L1104" s="69"/>
      <c r="M1104" s="69"/>
      <c r="N1104" s="761"/>
      <c r="O1104" s="69"/>
    </row>
    <row r="1105" spans="2:15" ht="15.75" customHeight="1">
      <c r="B1105" s="760"/>
      <c r="C1105" s="407"/>
      <c r="D1105" s="1496"/>
      <c r="E1105" s="1029" t="s">
        <v>1320</v>
      </c>
      <c r="F1105" s="1029">
        <v>90.88</v>
      </c>
      <c r="G1105" s="1032"/>
      <c r="H1105" s="1033"/>
      <c r="I1105" s="69"/>
      <c r="J1105" s="69"/>
      <c r="K1105" s="69"/>
      <c r="L1105" s="69"/>
      <c r="M1105" s="69"/>
      <c r="N1105" s="761"/>
      <c r="O1105" s="69"/>
    </row>
    <row r="1106" spans="2:15" ht="15.75" customHeight="1">
      <c r="B1106" s="760"/>
      <c r="C1106" s="407"/>
      <c r="D1106" s="1496"/>
      <c r="E1106" s="1029" t="s">
        <v>1321</v>
      </c>
      <c r="F1106" s="1029">
        <v>92.44</v>
      </c>
      <c r="G1106" s="1032"/>
      <c r="H1106" s="1033"/>
      <c r="I1106" s="69"/>
      <c r="J1106" s="69"/>
      <c r="K1106" s="69"/>
      <c r="L1106" s="69"/>
      <c r="M1106" s="69"/>
      <c r="N1106" s="761"/>
      <c r="O1106" s="69"/>
    </row>
    <row r="1107" spans="2:15" ht="15.75" customHeight="1">
      <c r="B1107" s="760"/>
      <c r="C1107" s="407"/>
      <c r="D1107" s="1496"/>
      <c r="E1107" s="1029" t="s">
        <v>1325</v>
      </c>
      <c r="F1107" s="1029">
        <v>91.94</v>
      </c>
      <c r="G1107" s="1032"/>
      <c r="H1107" s="1033"/>
      <c r="I1107" s="69"/>
      <c r="J1107" s="69"/>
      <c r="K1107" s="69"/>
      <c r="L1107" s="69"/>
      <c r="M1107" s="69"/>
      <c r="N1107" s="761"/>
      <c r="O1107" s="69"/>
    </row>
    <row r="1108" spans="2:15" ht="15.75" customHeight="1">
      <c r="B1108" s="760"/>
      <c r="C1108" s="407"/>
      <c r="D1108" s="1497"/>
      <c r="E1108" s="846" t="s">
        <v>1326</v>
      </c>
      <c r="F1108" s="1029">
        <v>96.19</v>
      </c>
      <c r="G1108" s="69"/>
      <c r="H1108" s="69"/>
      <c r="I1108" s="69"/>
      <c r="J1108" s="69"/>
      <c r="K1108" s="69"/>
      <c r="L1108" s="69"/>
      <c r="M1108" s="69"/>
      <c r="N1108" s="761"/>
      <c r="O1108" s="69"/>
    </row>
    <row r="1109" spans="2:15" ht="15.75" customHeight="1">
      <c r="B1109" s="760"/>
      <c r="C1109" s="407"/>
      <c r="D1109" s="824"/>
      <c r="E1109" s="824"/>
      <c r="F1109" s="1041"/>
      <c r="G1109" s="69"/>
      <c r="H1109" s="69"/>
      <c r="I1109" s="69"/>
      <c r="J1109" s="69"/>
      <c r="K1109" s="69"/>
      <c r="L1109" s="69"/>
      <c r="M1109" s="69"/>
      <c r="N1109" s="761"/>
      <c r="O1109" s="69"/>
    </row>
    <row r="1110" spans="2:15" ht="15.75" customHeight="1">
      <c r="B1110" s="760"/>
      <c r="C1110" s="407"/>
      <c r="D1110" s="824"/>
      <c r="E1110" s="824"/>
      <c r="F1110" s="72"/>
      <c r="G1110" s="69"/>
      <c r="H1110" s="69"/>
      <c r="I1110" s="69"/>
      <c r="J1110" s="69"/>
      <c r="K1110" s="69"/>
      <c r="L1110" s="69"/>
      <c r="M1110" s="69"/>
      <c r="N1110" s="761"/>
      <c r="O1110" s="69"/>
    </row>
    <row r="1111" spans="2:15" ht="15.75" customHeight="1">
      <c r="B1111" s="760"/>
      <c r="C1111" s="407"/>
      <c r="D1111" s="1028" t="s">
        <v>1327</v>
      </c>
      <c r="E1111" s="824"/>
      <c r="F1111" s="72"/>
      <c r="G1111" s="69"/>
      <c r="H1111" s="69"/>
      <c r="I1111" s="69"/>
      <c r="J1111" s="69"/>
      <c r="K1111" s="69"/>
      <c r="L1111" s="69"/>
      <c r="M1111" s="69"/>
      <c r="N1111" s="761"/>
      <c r="O1111" s="69"/>
    </row>
    <row r="1112" spans="2:15" ht="15.75" customHeight="1">
      <c r="B1112" s="760"/>
      <c r="C1112" s="407"/>
      <c r="D1112" s="826" t="s">
        <v>1309</v>
      </c>
      <c r="E1112" s="826" t="s">
        <v>1328</v>
      </c>
      <c r="F1112" s="739" t="s">
        <v>1329</v>
      </c>
      <c r="G1112" s="739" t="s">
        <v>1312</v>
      </c>
      <c r="H1112" s="72"/>
      <c r="I1112" s="69"/>
      <c r="J1112" s="69"/>
      <c r="K1112" s="69"/>
      <c r="L1112" s="69"/>
      <c r="M1112" s="69"/>
      <c r="N1112" s="761"/>
      <c r="O1112" s="69"/>
    </row>
    <row r="1113" spans="2:15" ht="15.75" customHeight="1">
      <c r="B1113" s="760"/>
      <c r="C1113" s="407"/>
      <c r="D1113" s="846">
        <v>2021</v>
      </c>
      <c r="E1113" s="846" t="s">
        <v>590</v>
      </c>
      <c r="F1113" s="765" t="s">
        <v>590</v>
      </c>
      <c r="G1113" s="765" t="s">
        <v>590</v>
      </c>
      <c r="H1113" s="69"/>
      <c r="I1113" s="69"/>
      <c r="J1113" s="69"/>
      <c r="K1113" s="69"/>
      <c r="L1113" s="69"/>
      <c r="M1113" s="69"/>
      <c r="N1113" s="761"/>
      <c r="O1113" s="69"/>
    </row>
    <row r="1114" spans="2:15" ht="15.75" customHeight="1">
      <c r="B1114" s="760"/>
      <c r="C1114" s="407"/>
      <c r="D1114" s="846">
        <v>2022</v>
      </c>
      <c r="E1114" s="846" t="s">
        <v>590</v>
      </c>
      <c r="F1114" s="765" t="s">
        <v>590</v>
      </c>
      <c r="G1114" s="765" t="s">
        <v>590</v>
      </c>
      <c r="H1114" s="69"/>
      <c r="I1114" s="69"/>
      <c r="J1114" s="69"/>
      <c r="K1114" s="69"/>
      <c r="L1114" s="69"/>
      <c r="M1114" s="69"/>
      <c r="N1114" s="761"/>
      <c r="O1114" s="69"/>
    </row>
    <row r="1115" spans="2:15" ht="15.75" customHeight="1">
      <c r="B1115" s="760"/>
      <c r="C1115" s="407"/>
      <c r="D1115" s="846">
        <v>2023</v>
      </c>
      <c r="E1115" s="1029">
        <v>3.1</v>
      </c>
      <c r="F1115" s="1043">
        <v>8.4</v>
      </c>
      <c r="G1115" s="773">
        <v>0</v>
      </c>
      <c r="H1115" s="69"/>
      <c r="I1115" s="69"/>
      <c r="J1115" s="69"/>
      <c r="K1115" s="69"/>
      <c r="L1115" s="69"/>
      <c r="M1115" s="69"/>
      <c r="N1115" s="761"/>
      <c r="O1115" s="69"/>
    </row>
    <row r="1116" spans="2:15" ht="15.75" customHeight="1">
      <c r="B1116" s="760"/>
      <c r="C1116" s="407"/>
      <c r="D1116" s="846" t="s">
        <v>1313</v>
      </c>
      <c r="E1116" s="1029">
        <f>AVERAGE(E1113:E1115)</f>
        <v>3.1</v>
      </c>
      <c r="F1116" s="1043">
        <f>AVERAGE(F1113:F1115)</f>
        <v>8.4</v>
      </c>
      <c r="G1116" s="806">
        <f>IF(AVERAGE(G1112:G1115)&gt;1,1,AVERAGE(G1112:G1115))</f>
        <v>0</v>
      </c>
      <c r="H1116" s="69"/>
      <c r="I1116" s="69"/>
      <c r="J1116" s="69"/>
      <c r="K1116" s="69"/>
      <c r="L1116" s="69"/>
      <c r="M1116" s="69"/>
      <c r="N1116" s="761"/>
      <c r="O1116" s="69"/>
    </row>
    <row r="1117" spans="2:15" ht="15.75" customHeight="1">
      <c r="B1117" s="760"/>
      <c r="C1117" s="407"/>
      <c r="D1117" s="824"/>
      <c r="E1117" s="1031"/>
      <c r="F1117" s="1044"/>
      <c r="G1117" s="1032"/>
      <c r="H1117" s="69"/>
      <c r="I1117" s="69"/>
      <c r="J1117" s="69"/>
      <c r="K1117" s="69"/>
      <c r="L1117" s="69"/>
      <c r="M1117" s="69"/>
      <c r="N1117" s="761"/>
      <c r="O1117" s="69"/>
    </row>
    <row r="1118" spans="2:15" ht="15.75" customHeight="1">
      <c r="B1118" s="760"/>
      <c r="C1118" s="407"/>
      <c r="D1118" s="826" t="s">
        <v>1309</v>
      </c>
      <c r="E1118" s="826" t="s">
        <v>1314</v>
      </c>
      <c r="F1118" s="739" t="s">
        <v>1328</v>
      </c>
      <c r="G1118" s="739" t="s">
        <v>1329</v>
      </c>
      <c r="H1118" s="826" t="s">
        <v>1312</v>
      </c>
      <c r="I1118" s="69"/>
      <c r="J1118" s="69"/>
      <c r="K1118" s="69"/>
      <c r="L1118" s="69"/>
      <c r="M1118" s="69"/>
      <c r="N1118" s="761"/>
      <c r="O1118" s="69"/>
    </row>
    <row r="1119" spans="2:15" ht="15.75" customHeight="1">
      <c r="B1119" s="760"/>
      <c r="C1119" s="407"/>
      <c r="D1119" s="1494">
        <v>2023</v>
      </c>
      <c r="E1119" s="1029" t="s">
        <v>1315</v>
      </c>
      <c r="F1119" s="1029">
        <v>3.1</v>
      </c>
      <c r="G1119" s="1029">
        <v>0.33</v>
      </c>
      <c r="H1119" s="1034">
        <f>G1119/F1119</f>
        <v>0.10645161290322581</v>
      </c>
      <c r="I1119" s="69"/>
      <c r="J1119" s="69"/>
      <c r="K1119" s="69"/>
      <c r="L1119" s="69"/>
      <c r="M1119" s="69"/>
      <c r="N1119" s="761"/>
      <c r="O1119" s="69"/>
    </row>
    <row r="1120" spans="2:15" ht="15.75" customHeight="1">
      <c r="B1120" s="760"/>
      <c r="C1120" s="407"/>
      <c r="D1120" s="1494"/>
      <c r="E1120" s="1029" t="s">
        <v>1316</v>
      </c>
      <c r="F1120" s="1029">
        <v>3.1</v>
      </c>
      <c r="G1120" s="1036">
        <v>5.63</v>
      </c>
      <c r="H1120" s="1037">
        <f t="shared" ref="H1120:H1126" si="36">G1120/F1120</f>
        <v>1.8161290322580643</v>
      </c>
      <c r="I1120" s="1045" t="s">
        <v>1330</v>
      </c>
      <c r="J1120" s="1046"/>
      <c r="K1120" s="69"/>
      <c r="L1120" s="69"/>
      <c r="M1120" s="69"/>
      <c r="N1120" s="761"/>
      <c r="O1120" s="69"/>
    </row>
    <row r="1121" spans="2:15" ht="15.75" customHeight="1">
      <c r="B1121" s="760"/>
      <c r="C1121" s="407"/>
      <c r="D1121" s="1494"/>
      <c r="E1121" s="1029" t="s">
        <v>1317</v>
      </c>
      <c r="F1121" s="1029">
        <v>3.1</v>
      </c>
      <c r="G1121" s="1036">
        <v>18.010000000000002</v>
      </c>
      <c r="H1121" s="1047">
        <f t="shared" si="36"/>
        <v>5.8096774193548386</v>
      </c>
      <c r="I1121" s="69"/>
      <c r="J1121" s="69"/>
      <c r="K1121" s="69"/>
      <c r="L1121" s="69"/>
      <c r="M1121" s="69"/>
      <c r="N1121" s="761"/>
      <c r="O1121" s="69"/>
    </row>
    <row r="1122" spans="2:15" ht="15.75" customHeight="1">
      <c r="B1122" s="760"/>
      <c r="C1122" s="407"/>
      <c r="D1122" s="1494"/>
      <c r="E1122" s="1029" t="s">
        <v>1318</v>
      </c>
      <c r="F1122" s="1029">
        <v>3.1</v>
      </c>
      <c r="G1122" s="1029">
        <v>0.62</v>
      </c>
      <c r="H1122" s="1034">
        <f t="shared" si="36"/>
        <v>0.19999999999999998</v>
      </c>
      <c r="I1122" s="69"/>
      <c r="J1122" s="69"/>
      <c r="K1122" s="69"/>
      <c r="L1122" s="69"/>
      <c r="M1122" s="69"/>
      <c r="N1122" s="761"/>
      <c r="O1122" s="69"/>
    </row>
    <row r="1123" spans="2:15" ht="15.75" customHeight="1">
      <c r="B1123" s="760"/>
      <c r="C1123" s="407"/>
      <c r="D1123" s="1494"/>
      <c r="E1123" s="1029" t="s">
        <v>1319</v>
      </c>
      <c r="F1123" s="1029">
        <v>3.1</v>
      </c>
      <c r="G1123" s="1029">
        <v>0.46</v>
      </c>
      <c r="H1123" s="1034">
        <f t="shared" si="36"/>
        <v>0.14838709677419354</v>
      </c>
      <c r="I1123" s="69"/>
      <c r="J1123" s="69"/>
      <c r="K1123" s="69"/>
      <c r="L1123" s="69"/>
      <c r="M1123" s="69"/>
      <c r="N1123" s="761"/>
      <c r="O1123" s="69"/>
    </row>
    <row r="1124" spans="2:15" ht="15.75" customHeight="1">
      <c r="B1124" s="760"/>
      <c r="C1124" s="407"/>
      <c r="D1124" s="1494"/>
      <c r="E1124" s="1029" t="s">
        <v>1320</v>
      </c>
      <c r="F1124" s="1029">
        <v>3.1</v>
      </c>
      <c r="G1124" s="1029">
        <v>0.2</v>
      </c>
      <c r="H1124" s="1034">
        <f t="shared" si="36"/>
        <v>6.4516129032258063E-2</v>
      </c>
      <c r="I1124" s="69"/>
      <c r="J1124" s="69"/>
      <c r="K1124" s="69"/>
      <c r="L1124" s="69"/>
      <c r="M1124" s="69"/>
      <c r="N1124" s="761"/>
      <c r="O1124" s="69"/>
    </row>
    <row r="1125" spans="2:15" ht="15.75" customHeight="1">
      <c r="B1125" s="760"/>
      <c r="C1125" s="407"/>
      <c r="D1125" s="1494"/>
      <c r="E1125" s="1029" t="s">
        <v>1321</v>
      </c>
      <c r="F1125" s="1029">
        <v>3.1</v>
      </c>
      <c r="G1125" s="1029">
        <v>0.28999999999999998</v>
      </c>
      <c r="H1125" s="1034">
        <f t="shared" si="36"/>
        <v>9.3548387096774183E-2</v>
      </c>
      <c r="I1125" s="69"/>
      <c r="J1125" s="69"/>
      <c r="K1125" s="69"/>
      <c r="L1125" s="69"/>
      <c r="M1125" s="69"/>
      <c r="N1125" s="761"/>
      <c r="O1125" s="69"/>
    </row>
    <row r="1126" spans="2:15" ht="15.75" customHeight="1">
      <c r="B1126" s="760"/>
      <c r="C1126" s="407"/>
      <c r="D1126" s="1494"/>
      <c r="E1126" s="1029" t="s">
        <v>1322</v>
      </c>
      <c r="F1126" s="1029">
        <v>3.1</v>
      </c>
      <c r="G1126" s="1036">
        <v>8.86</v>
      </c>
      <c r="H1126" s="1037">
        <f t="shared" si="36"/>
        <v>2.8580645161290321</v>
      </c>
      <c r="I1126" s="69"/>
      <c r="J1126" s="69"/>
      <c r="K1126" s="69"/>
      <c r="L1126" s="69"/>
      <c r="M1126" s="69"/>
      <c r="N1126" s="761"/>
      <c r="O1126" s="69"/>
    </row>
    <row r="1127" spans="2:15" ht="15.75" customHeight="1">
      <c r="B1127" s="760"/>
      <c r="C1127" s="407"/>
      <c r="D1127" s="824"/>
      <c r="E1127" s="1031"/>
      <c r="F1127" s="1031"/>
      <c r="G1127" s="1031"/>
      <c r="H1127" s="1040">
        <f>(3/8)/1</f>
        <v>0.375</v>
      </c>
      <c r="I1127" s="69"/>
      <c r="J1127" s="69"/>
      <c r="K1127" s="69"/>
      <c r="L1127" s="69"/>
      <c r="M1127" s="69"/>
      <c r="N1127" s="761"/>
      <c r="O1127" s="69"/>
    </row>
    <row r="1128" spans="2:15" ht="15.75" customHeight="1">
      <c r="B1128" s="760"/>
      <c r="C1128" s="407"/>
      <c r="D1128" s="824"/>
      <c r="E1128" s="1031"/>
      <c r="F1128" s="1044"/>
      <c r="G1128" s="1041"/>
      <c r="H1128" s="69"/>
      <c r="I1128" s="69"/>
      <c r="J1128" s="69"/>
      <c r="K1128" s="69"/>
      <c r="L1128" s="69"/>
      <c r="M1128" s="69"/>
      <c r="N1128" s="761"/>
      <c r="O1128" s="69"/>
    </row>
    <row r="1129" spans="2:15" ht="26.25" customHeight="1">
      <c r="B1129" s="760"/>
      <c r="C1129" s="407"/>
      <c r="D1129" s="826" t="s">
        <v>1309</v>
      </c>
      <c r="E1129" s="826" t="s">
        <v>1328</v>
      </c>
      <c r="F1129" s="805" t="s">
        <v>1324</v>
      </c>
      <c r="G1129" s="69"/>
      <c r="H1129" s="69"/>
      <c r="I1129" s="69"/>
      <c r="J1129" s="69"/>
      <c r="K1129" s="69"/>
      <c r="L1129" s="69"/>
      <c r="M1129" s="69"/>
      <c r="N1129" s="761"/>
      <c r="O1129" s="69"/>
    </row>
    <row r="1130" spans="2:15" ht="15.75" customHeight="1">
      <c r="B1130" s="760"/>
      <c r="C1130" s="407"/>
      <c r="D1130" s="846">
        <v>2024</v>
      </c>
      <c r="E1130" s="1029">
        <v>7.5</v>
      </c>
      <c r="F1130" s="773">
        <f>E1130/F1116</f>
        <v>0.89285714285714279</v>
      </c>
      <c r="G1130" s="69"/>
      <c r="H1130" s="69"/>
      <c r="I1130" s="69"/>
      <c r="J1130" s="69"/>
      <c r="K1130" s="69"/>
      <c r="L1130" s="69"/>
      <c r="M1130" s="69"/>
      <c r="N1130" s="761"/>
      <c r="O1130" s="69"/>
    </row>
    <row r="1131" spans="2:15" ht="15.75" customHeight="1">
      <c r="B1131" s="760"/>
      <c r="C1131" s="407"/>
      <c r="D1131" s="824"/>
      <c r="E1131" s="1031"/>
      <c r="F1131" s="1041"/>
      <c r="G1131" s="69"/>
      <c r="H1131" s="69"/>
      <c r="I1131" s="69"/>
      <c r="J1131" s="69"/>
      <c r="K1131" s="69"/>
      <c r="L1131" s="69"/>
      <c r="M1131" s="69"/>
      <c r="N1131" s="761"/>
      <c r="O1131" s="69"/>
    </row>
    <row r="1132" spans="2:15" ht="15.75" customHeight="1">
      <c r="B1132" s="760"/>
      <c r="C1132" s="407"/>
      <c r="D1132" s="826" t="s">
        <v>1309</v>
      </c>
      <c r="E1132" s="826" t="s">
        <v>1314</v>
      </c>
      <c r="F1132" s="739" t="s">
        <v>1328</v>
      </c>
      <c r="G1132" s="792"/>
      <c r="H1132" s="1042"/>
      <c r="I1132" s="69"/>
      <c r="J1132" s="69"/>
      <c r="K1132" s="69"/>
      <c r="L1132" s="69"/>
      <c r="M1132" s="69"/>
      <c r="N1132" s="761"/>
      <c r="O1132" s="69"/>
    </row>
    <row r="1133" spans="2:15" ht="15.75" customHeight="1">
      <c r="B1133" s="760"/>
      <c r="C1133" s="407"/>
      <c r="D1133" s="1495">
        <v>2024</v>
      </c>
      <c r="E1133" s="1029" t="s">
        <v>1315</v>
      </c>
      <c r="F1133" s="1029">
        <v>7.5</v>
      </c>
      <c r="G1133" s="1032"/>
      <c r="H1133" s="1033"/>
      <c r="I1133" s="69"/>
      <c r="J1133" s="69"/>
      <c r="K1133" s="69"/>
      <c r="L1133" s="69"/>
      <c r="M1133" s="69"/>
      <c r="N1133" s="761"/>
      <c r="O1133" s="69"/>
    </row>
    <row r="1134" spans="2:15" ht="15.75" customHeight="1">
      <c r="B1134" s="760"/>
      <c r="C1134" s="407"/>
      <c r="D1134" s="1496"/>
      <c r="E1134" s="1029" t="s">
        <v>1316</v>
      </c>
      <c r="F1134" s="1029">
        <v>7.5</v>
      </c>
      <c r="G1134" s="1032"/>
      <c r="H1134" s="1033"/>
      <c r="I1134" s="69"/>
      <c r="J1134" s="69"/>
      <c r="K1134" s="69"/>
      <c r="L1134" s="69"/>
      <c r="M1134" s="69"/>
      <c r="N1134" s="761"/>
      <c r="O1134" s="69"/>
    </row>
    <row r="1135" spans="2:15" ht="15.75" customHeight="1">
      <c r="B1135" s="760"/>
      <c r="C1135" s="407"/>
      <c r="D1135" s="1496"/>
      <c r="E1135" s="1029" t="s">
        <v>1317</v>
      </c>
      <c r="F1135" s="1029">
        <v>7.5</v>
      </c>
      <c r="G1135" s="1032"/>
      <c r="H1135" s="1033"/>
      <c r="I1135" s="69"/>
      <c r="J1135" s="69"/>
      <c r="K1135" s="69"/>
      <c r="L1135" s="69"/>
      <c r="M1135" s="69"/>
      <c r="N1135" s="761"/>
      <c r="O1135" s="69"/>
    </row>
    <row r="1136" spans="2:15" ht="15.75" customHeight="1">
      <c r="B1136" s="760"/>
      <c r="C1136" s="407"/>
      <c r="D1136" s="1496"/>
      <c r="E1136" s="1029" t="s">
        <v>1318</v>
      </c>
      <c r="F1136" s="1029">
        <v>7.5</v>
      </c>
      <c r="G1136" s="1032"/>
      <c r="H1136" s="1033"/>
      <c r="I1136" s="69"/>
      <c r="J1136" s="69"/>
      <c r="K1136" s="69"/>
      <c r="L1136" s="69"/>
      <c r="M1136" s="69"/>
      <c r="N1136" s="761"/>
      <c r="O1136" s="69"/>
    </row>
    <row r="1137" spans="2:15" ht="15.75" customHeight="1">
      <c r="B1137" s="760"/>
      <c r="C1137" s="407"/>
      <c r="D1137" s="1496"/>
      <c r="E1137" s="1029" t="s">
        <v>1319</v>
      </c>
      <c r="F1137" s="1029">
        <v>7.5</v>
      </c>
      <c r="G1137" s="1032"/>
      <c r="H1137" s="1033"/>
      <c r="I1137" s="69"/>
      <c r="J1137" s="69"/>
      <c r="K1137" s="69"/>
      <c r="L1137" s="69"/>
      <c r="M1137" s="69"/>
      <c r="N1137" s="761"/>
      <c r="O1137" s="69"/>
    </row>
    <row r="1138" spans="2:15" ht="15.75" customHeight="1">
      <c r="B1138" s="760"/>
      <c r="C1138" s="407"/>
      <c r="D1138" s="1496"/>
      <c r="E1138" s="1029" t="s">
        <v>1320</v>
      </c>
      <c r="F1138" s="1029">
        <v>7.5</v>
      </c>
      <c r="G1138" s="1032"/>
      <c r="H1138" s="1033"/>
      <c r="I1138" s="69"/>
      <c r="J1138" s="69"/>
      <c r="K1138" s="69"/>
      <c r="L1138" s="69"/>
      <c r="M1138" s="69"/>
      <c r="N1138" s="761"/>
      <c r="O1138" s="69"/>
    </row>
    <row r="1139" spans="2:15" ht="15.75" customHeight="1">
      <c r="B1139" s="760"/>
      <c r="C1139" s="407"/>
      <c r="D1139" s="1496"/>
      <c r="E1139" s="1029" t="s">
        <v>1321</v>
      </c>
      <c r="F1139" s="1029">
        <v>7.5</v>
      </c>
      <c r="G1139" s="1032"/>
      <c r="H1139" s="1033"/>
      <c r="I1139" s="69"/>
      <c r="J1139" s="69"/>
      <c r="K1139" s="69"/>
      <c r="L1139" s="69"/>
      <c r="M1139" s="69"/>
      <c r="N1139" s="761"/>
      <c r="O1139" s="69"/>
    </row>
    <row r="1140" spans="2:15" ht="15.75" customHeight="1">
      <c r="B1140" s="760"/>
      <c r="C1140" s="407"/>
      <c r="D1140" s="1496"/>
      <c r="E1140" s="1029" t="s">
        <v>1325</v>
      </c>
      <c r="F1140" s="1029">
        <v>7.5</v>
      </c>
      <c r="G1140" s="1032"/>
      <c r="H1140" s="1033"/>
      <c r="I1140" s="69"/>
      <c r="J1140" s="69"/>
      <c r="K1140" s="69"/>
      <c r="L1140" s="69"/>
      <c r="M1140" s="69"/>
      <c r="N1140" s="761"/>
      <c r="O1140" s="69"/>
    </row>
    <row r="1141" spans="2:15" ht="15.75" customHeight="1">
      <c r="B1141" s="760"/>
      <c r="C1141" s="407"/>
      <c r="D1141" s="1497"/>
      <c r="E1141" s="846" t="s">
        <v>1326</v>
      </c>
      <c r="F1141" s="1029">
        <v>7.5</v>
      </c>
      <c r="G1141" s="69"/>
      <c r="H1141" s="69"/>
      <c r="I1141" s="69"/>
      <c r="J1141" s="69"/>
      <c r="K1141" s="69"/>
      <c r="L1141" s="69"/>
      <c r="M1141" s="69"/>
      <c r="N1141" s="761"/>
      <c r="O1141" s="69"/>
    </row>
    <row r="1142" spans="2:15" ht="15.75" customHeight="1">
      <c r="B1142" s="760"/>
      <c r="C1142" s="407"/>
      <c r="D1142" s="824"/>
      <c r="E1142" s="824"/>
      <c r="F1142" s="1041"/>
      <c r="G1142" s="69"/>
      <c r="H1142" s="69"/>
      <c r="I1142" s="69"/>
      <c r="J1142" s="69"/>
      <c r="K1142" s="69"/>
      <c r="L1142" s="69"/>
      <c r="M1142" s="69"/>
      <c r="N1142" s="761"/>
      <c r="O1142" s="69"/>
    </row>
    <row r="1143" spans="2:15" ht="15.75" customHeight="1">
      <c r="B1143" s="760"/>
      <c r="C1143" s="407"/>
      <c r="D1143" s="407"/>
      <c r="E1143" s="407"/>
      <c r="F1143" s="69"/>
      <c r="G1143" s="69"/>
      <c r="H1143" s="69"/>
      <c r="I1143" s="69"/>
      <c r="J1143" s="69"/>
      <c r="K1143" s="69"/>
      <c r="L1143" s="69"/>
      <c r="M1143" s="69"/>
      <c r="N1143" s="761"/>
      <c r="O1143" s="69"/>
    </row>
    <row r="1144" spans="2:15" ht="15.75" customHeight="1">
      <c r="B1144" s="760"/>
      <c r="C1144" s="407"/>
      <c r="D1144" s="1028" t="s">
        <v>1331</v>
      </c>
      <c r="E1144" s="407"/>
      <c r="F1144" s="69"/>
      <c r="G1144" s="69"/>
      <c r="H1144" s="69"/>
      <c r="I1144" s="69"/>
      <c r="J1144" s="69"/>
      <c r="K1144" s="69"/>
      <c r="L1144" s="69"/>
      <c r="M1144" s="69"/>
      <c r="N1144" s="761"/>
      <c r="O1144" s="69"/>
    </row>
    <row r="1145" spans="2:15" ht="30" customHeight="1">
      <c r="B1145" s="760"/>
      <c r="C1145" s="407"/>
      <c r="D1145" s="826" t="s">
        <v>1309</v>
      </c>
      <c r="E1145" s="825" t="s">
        <v>1332</v>
      </c>
      <c r="F1145" s="805" t="s">
        <v>1333</v>
      </c>
      <c r="G1145" s="805" t="s">
        <v>1312</v>
      </c>
      <c r="H1145" s="72"/>
      <c r="I1145" s="69"/>
      <c r="J1145" s="69"/>
      <c r="K1145" s="69"/>
      <c r="L1145" s="69"/>
      <c r="M1145" s="69"/>
      <c r="N1145" s="761"/>
      <c r="O1145" s="69"/>
    </row>
    <row r="1146" spans="2:15" ht="15.75" customHeight="1">
      <c r="B1146" s="760"/>
      <c r="C1146" s="407"/>
      <c r="D1146" s="846">
        <v>2021</v>
      </c>
      <c r="E1146" s="1048">
        <v>1370.71</v>
      </c>
      <c r="F1146" s="1049">
        <v>1372.51</v>
      </c>
      <c r="G1146" s="773">
        <f>F1146/E1146</f>
        <v>1.001313188055825</v>
      </c>
      <c r="H1146" s="69"/>
      <c r="I1146" s="69"/>
      <c r="J1146" s="69"/>
      <c r="K1146" s="69"/>
      <c r="L1146" s="69"/>
      <c r="M1146" s="69"/>
      <c r="N1146" s="761"/>
      <c r="O1146" s="69"/>
    </row>
    <row r="1147" spans="2:15" ht="15.75" customHeight="1">
      <c r="B1147" s="760"/>
      <c r="C1147" s="407"/>
      <c r="D1147" s="846">
        <v>2022</v>
      </c>
      <c r="E1147" s="1048">
        <v>1335.98</v>
      </c>
      <c r="F1147" s="1049">
        <v>1449.43</v>
      </c>
      <c r="G1147" s="773">
        <f>F1147/E1147</f>
        <v>1.0849189359122142</v>
      </c>
      <c r="H1147" s="69"/>
      <c r="I1147" s="69"/>
      <c r="J1147" s="69"/>
      <c r="K1147" s="69"/>
      <c r="L1147" s="69"/>
      <c r="M1147" s="69"/>
      <c r="N1147" s="761"/>
      <c r="O1147" s="69"/>
    </row>
    <row r="1148" spans="2:15" ht="15.75" customHeight="1">
      <c r="B1148" s="760"/>
      <c r="C1148" s="407"/>
      <c r="D1148" s="846">
        <v>2023</v>
      </c>
      <c r="E1148" s="1048">
        <v>1368.41</v>
      </c>
      <c r="F1148" s="1049">
        <v>1451.48</v>
      </c>
      <c r="G1148" s="773">
        <f>F1148/E1148</f>
        <v>1.0607054903135755</v>
      </c>
      <c r="H1148" s="69"/>
      <c r="I1148" s="69"/>
      <c r="J1148" s="69"/>
      <c r="K1148" s="69"/>
      <c r="L1148" s="69"/>
      <c r="M1148" s="69"/>
      <c r="N1148" s="761"/>
      <c r="O1148" s="69"/>
    </row>
    <row r="1149" spans="2:15" ht="15.75" customHeight="1">
      <c r="B1149" s="760"/>
      <c r="C1149" s="407"/>
      <c r="D1149" s="846" t="s">
        <v>1313</v>
      </c>
      <c r="E1149" s="1048">
        <f>AVERAGE(E1146:E1148)</f>
        <v>1358.3666666666668</v>
      </c>
      <c r="F1149" s="1049">
        <f>AVERAGE(F1146:F1148)</f>
        <v>1424.4733333333334</v>
      </c>
      <c r="G1149" s="806">
        <f>AVERAGE(G1146:G1148)</f>
        <v>1.0489792047605382</v>
      </c>
      <c r="H1149" s="69"/>
      <c r="I1149" s="69"/>
      <c r="J1149" s="69"/>
      <c r="K1149" s="69"/>
      <c r="L1149" s="69"/>
      <c r="M1149" s="69"/>
      <c r="N1149" s="761"/>
      <c r="O1149" s="69"/>
    </row>
    <row r="1150" spans="2:15" ht="15.75" customHeight="1">
      <c r="B1150" s="760"/>
      <c r="C1150" s="407"/>
      <c r="D1150" s="824"/>
      <c r="E1150" s="1050"/>
      <c r="F1150" s="1051"/>
      <c r="G1150" s="1032"/>
      <c r="H1150" s="69"/>
      <c r="I1150" s="69"/>
      <c r="J1150" s="69"/>
      <c r="K1150" s="69"/>
      <c r="L1150" s="69"/>
      <c r="M1150" s="69"/>
      <c r="N1150" s="761"/>
      <c r="O1150" s="69"/>
    </row>
    <row r="1151" spans="2:15" ht="31.5" customHeight="1">
      <c r="B1151" s="760"/>
      <c r="C1151" s="407"/>
      <c r="D1151" s="826" t="s">
        <v>1309</v>
      </c>
      <c r="E1151" s="826" t="s">
        <v>1314</v>
      </c>
      <c r="F1151" s="805" t="s">
        <v>1332</v>
      </c>
      <c r="G1151" s="805" t="s">
        <v>1333</v>
      </c>
      <c r="H1151" s="825" t="s">
        <v>1312</v>
      </c>
      <c r="I1151" s="69"/>
      <c r="J1151" s="69"/>
      <c r="K1151" s="69"/>
      <c r="L1151" s="69"/>
      <c r="M1151" s="69"/>
      <c r="N1151" s="761"/>
      <c r="O1151" s="69"/>
    </row>
    <row r="1152" spans="2:15" ht="15.75" customHeight="1">
      <c r="B1152" s="760"/>
      <c r="C1152" s="407"/>
      <c r="D1152" s="1494">
        <v>2021</v>
      </c>
      <c r="E1152" s="1029" t="s">
        <v>1315</v>
      </c>
      <c r="F1152" s="1029">
        <v>134.21</v>
      </c>
      <c r="G1152" s="1036">
        <v>125.88</v>
      </c>
      <c r="H1152" s="1037">
        <f>G1152/F1152</f>
        <v>0.93793308993368596</v>
      </c>
      <c r="I1152" s="69"/>
      <c r="J1152" s="69"/>
      <c r="K1152" s="69"/>
      <c r="L1152" s="69"/>
      <c r="M1152" s="69"/>
      <c r="N1152" s="761"/>
      <c r="O1152" s="69"/>
    </row>
    <row r="1153" spans="2:15" ht="15.75" customHeight="1">
      <c r="B1153" s="760"/>
      <c r="C1153" s="407"/>
      <c r="D1153" s="1494"/>
      <c r="E1153" s="1029" t="s">
        <v>1316</v>
      </c>
      <c r="F1153" s="1029">
        <v>255.74</v>
      </c>
      <c r="G1153" s="1029">
        <v>258.67</v>
      </c>
      <c r="H1153" s="1034">
        <f t="shared" ref="H1153:H1175" si="37">G1153/F1153</f>
        <v>1.0114569484632832</v>
      </c>
      <c r="I1153" s="69"/>
      <c r="J1153" s="69"/>
      <c r="K1153" s="69"/>
      <c r="L1153" s="69"/>
      <c r="M1153" s="69"/>
      <c r="N1153" s="761"/>
      <c r="O1153" s="69"/>
    </row>
    <row r="1154" spans="2:15" ht="15.75" customHeight="1">
      <c r="B1154" s="760"/>
      <c r="C1154" s="407"/>
      <c r="D1154" s="1494"/>
      <c r="E1154" s="1029" t="s">
        <v>1317</v>
      </c>
      <c r="F1154" s="1029">
        <v>299.49</v>
      </c>
      <c r="G1154" s="1029">
        <v>298.36</v>
      </c>
      <c r="H1154" s="1034">
        <f t="shared" si="37"/>
        <v>0.99622691909579619</v>
      </c>
      <c r="I1154" s="69"/>
      <c r="J1154" s="69"/>
      <c r="K1154" s="69"/>
      <c r="L1154" s="69"/>
      <c r="M1154" s="69"/>
      <c r="N1154" s="761"/>
      <c r="O1154" s="69"/>
    </row>
    <row r="1155" spans="2:15" ht="15.75" customHeight="1">
      <c r="B1155" s="760"/>
      <c r="C1155" s="407"/>
      <c r="D1155" s="1494"/>
      <c r="E1155" s="1029" t="s">
        <v>1318</v>
      </c>
      <c r="F1155" s="1029">
        <v>139.88999999999999</v>
      </c>
      <c r="G1155" s="1036">
        <v>139.38999999999999</v>
      </c>
      <c r="H1155" s="1052">
        <f t="shared" si="37"/>
        <v>0.9964257630995782</v>
      </c>
      <c r="I1155" s="69"/>
      <c r="J1155" s="69"/>
      <c r="K1155" s="69"/>
      <c r="L1155" s="69"/>
      <c r="M1155" s="69"/>
      <c r="N1155" s="761"/>
      <c r="O1155" s="69"/>
    </row>
    <row r="1156" spans="2:15" ht="15.75" customHeight="1">
      <c r="B1156" s="760"/>
      <c r="C1156" s="407"/>
      <c r="D1156" s="1494"/>
      <c r="E1156" s="1029" t="s">
        <v>1319</v>
      </c>
      <c r="F1156" s="1029">
        <v>64.75</v>
      </c>
      <c r="G1156" s="1029">
        <v>65.209999999999994</v>
      </c>
      <c r="H1156" s="1034">
        <f t="shared" si="37"/>
        <v>1.0071042471042471</v>
      </c>
      <c r="I1156" s="69"/>
      <c r="J1156" s="69"/>
      <c r="K1156" s="69"/>
      <c r="L1156" s="69"/>
      <c r="M1156" s="69"/>
      <c r="N1156" s="761"/>
      <c r="O1156" s="69"/>
    </row>
    <row r="1157" spans="2:15" ht="15.75" customHeight="1">
      <c r="B1157" s="760"/>
      <c r="C1157" s="407"/>
      <c r="D1157" s="1494"/>
      <c r="E1157" s="1029" t="s">
        <v>1320</v>
      </c>
      <c r="F1157" s="1029">
        <v>213.3</v>
      </c>
      <c r="G1157" s="1029">
        <v>218.87</v>
      </c>
      <c r="H1157" s="1034">
        <f t="shared" si="37"/>
        <v>1.0261134552273792</v>
      </c>
      <c r="I1157" s="69"/>
      <c r="J1157" s="69"/>
      <c r="K1157" s="69"/>
      <c r="L1157" s="69"/>
      <c r="M1157" s="69"/>
      <c r="N1157" s="761"/>
      <c r="O1157" s="69"/>
    </row>
    <row r="1158" spans="2:15" ht="15.75" customHeight="1">
      <c r="B1158" s="760"/>
      <c r="C1158" s="407"/>
      <c r="D1158" s="1494"/>
      <c r="E1158" s="1029" t="s">
        <v>1321</v>
      </c>
      <c r="F1158" s="1029">
        <v>63.97</v>
      </c>
      <c r="G1158" s="1029">
        <v>64.709999999999994</v>
      </c>
      <c r="H1158" s="1034">
        <f t="shared" si="37"/>
        <v>1.0115679224636547</v>
      </c>
      <c r="I1158" s="69"/>
      <c r="J1158" s="69"/>
      <c r="K1158" s="69"/>
      <c r="L1158" s="69"/>
      <c r="M1158" s="69"/>
      <c r="N1158" s="761"/>
      <c r="O1158" s="69"/>
    </row>
    <row r="1159" spans="2:15" ht="15.75" customHeight="1">
      <c r="B1159" s="760"/>
      <c r="C1159" s="407"/>
      <c r="D1159" s="1494"/>
      <c r="E1159" s="1029" t="s">
        <v>1322</v>
      </c>
      <c r="F1159" s="1029">
        <v>199.37</v>
      </c>
      <c r="G1159" s="1029">
        <v>201.44</v>
      </c>
      <c r="H1159" s="1034">
        <f t="shared" si="37"/>
        <v>1.0103827055223955</v>
      </c>
      <c r="I1159" s="69"/>
      <c r="J1159" s="69"/>
      <c r="K1159" s="69"/>
      <c r="L1159" s="69"/>
      <c r="M1159" s="69"/>
      <c r="N1159" s="761"/>
      <c r="O1159" s="69"/>
    </row>
    <row r="1160" spans="2:15" ht="15.75" customHeight="1">
      <c r="B1160" s="760"/>
      <c r="C1160" s="407"/>
      <c r="D1160" s="1494">
        <v>2022</v>
      </c>
      <c r="E1160" s="1029" t="s">
        <v>1315</v>
      </c>
      <c r="F1160" s="1029">
        <v>130.47999999999999</v>
      </c>
      <c r="G1160" s="1029">
        <v>141.71</v>
      </c>
      <c r="H1160" s="1034">
        <f t="shared" si="37"/>
        <v>1.0860668301655427</v>
      </c>
      <c r="I1160" s="69"/>
      <c r="J1160" s="69"/>
      <c r="K1160" s="69"/>
      <c r="L1160" s="69"/>
      <c r="M1160" s="69"/>
      <c r="N1160" s="761"/>
      <c r="O1160" s="69"/>
    </row>
    <row r="1161" spans="2:15" ht="15.75" customHeight="1">
      <c r="B1161" s="760"/>
      <c r="C1161" s="407"/>
      <c r="D1161" s="1494"/>
      <c r="E1161" s="1029" t="s">
        <v>1316</v>
      </c>
      <c r="F1161" s="1029">
        <v>248.78</v>
      </c>
      <c r="G1161" s="1029">
        <v>271.08999999999997</v>
      </c>
      <c r="H1161" s="1034">
        <f t="shared" si="37"/>
        <v>1.0896776268188759</v>
      </c>
      <c r="I1161" s="69"/>
      <c r="J1161" s="69"/>
      <c r="K1161" s="69"/>
      <c r="L1161" s="69"/>
      <c r="M1161" s="69"/>
      <c r="N1161" s="761"/>
      <c r="O1161" s="69"/>
    </row>
    <row r="1162" spans="2:15" ht="15.75" customHeight="1">
      <c r="B1162" s="760"/>
      <c r="C1162" s="407"/>
      <c r="D1162" s="1494"/>
      <c r="E1162" s="1029" t="s">
        <v>1317</v>
      </c>
      <c r="F1162" s="1029">
        <v>288.3</v>
      </c>
      <c r="G1162" s="1029">
        <v>316.01</v>
      </c>
      <c r="H1162" s="1034">
        <f t="shared" si="37"/>
        <v>1.0961151578217134</v>
      </c>
      <c r="I1162" s="69"/>
      <c r="J1162" s="69"/>
      <c r="K1162" s="69"/>
      <c r="L1162" s="69"/>
      <c r="M1162" s="69"/>
      <c r="N1162" s="761"/>
      <c r="O1162" s="69"/>
    </row>
    <row r="1163" spans="2:15" ht="15.75" customHeight="1">
      <c r="B1163" s="760"/>
      <c r="C1163" s="407"/>
      <c r="D1163" s="1494"/>
      <c r="E1163" s="1029" t="s">
        <v>1318</v>
      </c>
      <c r="F1163" s="1029">
        <v>136.85</v>
      </c>
      <c r="G1163" s="1029">
        <v>147.59</v>
      </c>
      <c r="H1163" s="1034">
        <f t="shared" si="37"/>
        <v>1.0784800876872489</v>
      </c>
      <c r="I1163" s="69"/>
      <c r="J1163" s="69"/>
      <c r="K1163" s="69"/>
      <c r="L1163" s="69"/>
      <c r="M1163" s="69"/>
      <c r="N1163" s="761"/>
      <c r="O1163" s="69"/>
    </row>
    <row r="1164" spans="2:15" ht="15.75" customHeight="1">
      <c r="B1164" s="760"/>
      <c r="C1164" s="407"/>
      <c r="D1164" s="1494"/>
      <c r="E1164" s="1029" t="s">
        <v>1319</v>
      </c>
      <c r="F1164" s="1029">
        <v>62.7</v>
      </c>
      <c r="G1164" s="1029">
        <v>69.06</v>
      </c>
      <c r="H1164" s="1034">
        <f t="shared" si="37"/>
        <v>1.1014354066985645</v>
      </c>
      <c r="I1164" s="69"/>
      <c r="J1164" s="69"/>
      <c r="K1164" s="69"/>
      <c r="L1164" s="69"/>
      <c r="M1164" s="69"/>
      <c r="N1164" s="761"/>
      <c r="O1164" s="69"/>
    </row>
    <row r="1165" spans="2:15" ht="15.75" customHeight="1">
      <c r="B1165" s="760"/>
      <c r="C1165" s="407"/>
      <c r="D1165" s="1494"/>
      <c r="E1165" s="1029" t="s">
        <v>1320</v>
      </c>
      <c r="F1165" s="1029">
        <v>210.69</v>
      </c>
      <c r="G1165" s="1029">
        <v>224.83</v>
      </c>
      <c r="H1165" s="1034">
        <f t="shared" si="37"/>
        <v>1.0671128197826192</v>
      </c>
      <c r="I1165" s="69"/>
      <c r="J1165" s="69"/>
      <c r="K1165" s="69"/>
      <c r="L1165" s="69"/>
      <c r="M1165" s="69"/>
      <c r="N1165" s="761"/>
      <c r="O1165" s="69"/>
    </row>
    <row r="1166" spans="2:15" ht="15.75" customHeight="1">
      <c r="B1166" s="760"/>
      <c r="C1166" s="407"/>
      <c r="D1166" s="1494"/>
      <c r="E1166" s="1029" t="s">
        <v>1321</v>
      </c>
      <c r="F1166" s="1029">
        <v>62.24</v>
      </c>
      <c r="G1166" s="1029">
        <v>67.81</v>
      </c>
      <c r="H1166" s="1034">
        <f t="shared" si="37"/>
        <v>1.0894922879177378</v>
      </c>
      <c r="I1166" s="69"/>
      <c r="J1166" s="69"/>
      <c r="K1166" s="69"/>
      <c r="L1166" s="69"/>
      <c r="M1166" s="69"/>
      <c r="N1166" s="761"/>
      <c r="O1166" s="69"/>
    </row>
    <row r="1167" spans="2:15" ht="15.75" customHeight="1">
      <c r="B1167" s="760"/>
      <c r="C1167" s="407"/>
      <c r="D1167" s="1494"/>
      <c r="E1167" s="1029" t="s">
        <v>1322</v>
      </c>
      <c r="F1167" s="1029">
        <v>195.94</v>
      </c>
      <c r="G1167" s="1029">
        <v>211.33</v>
      </c>
      <c r="H1167" s="1034">
        <f t="shared" si="37"/>
        <v>1.0785444523833827</v>
      </c>
      <c r="I1167" s="69"/>
      <c r="J1167" s="69"/>
      <c r="K1167" s="69"/>
      <c r="L1167" s="69"/>
      <c r="M1167" s="69"/>
      <c r="N1167" s="761"/>
      <c r="O1167" s="69"/>
    </row>
    <row r="1168" spans="2:15" ht="15.75" customHeight="1">
      <c r="B1168" s="760"/>
      <c r="C1168" s="407"/>
      <c r="D1168" s="1494">
        <v>2023</v>
      </c>
      <c r="E1168" s="1029" t="s">
        <v>1315</v>
      </c>
      <c r="F1168" s="1029">
        <v>133.88999999999999</v>
      </c>
      <c r="G1168" s="1029">
        <v>146.69</v>
      </c>
      <c r="H1168" s="1034">
        <f t="shared" si="37"/>
        <v>1.0956008663828516</v>
      </c>
      <c r="I1168" s="69"/>
      <c r="J1168" s="69"/>
      <c r="K1168" s="69"/>
      <c r="L1168" s="69"/>
      <c r="M1168" s="69"/>
      <c r="N1168" s="761"/>
      <c r="O1168" s="69"/>
    </row>
    <row r="1169" spans="2:15" ht="15.75" customHeight="1">
      <c r="B1169" s="760"/>
      <c r="C1169" s="407"/>
      <c r="D1169" s="1494"/>
      <c r="E1169" s="1029" t="s">
        <v>1316</v>
      </c>
      <c r="F1169" s="1029">
        <v>255.58</v>
      </c>
      <c r="G1169" s="1029">
        <v>279.67</v>
      </c>
      <c r="H1169" s="1034">
        <f t="shared" si="37"/>
        <v>1.0942562015807185</v>
      </c>
      <c r="I1169" s="69"/>
      <c r="J1169" s="69"/>
      <c r="K1169" s="69"/>
      <c r="L1169" s="69"/>
      <c r="M1169" s="69"/>
      <c r="N1169" s="761"/>
      <c r="O1169" s="69"/>
    </row>
    <row r="1170" spans="2:15" ht="15.75" customHeight="1">
      <c r="B1170" s="760"/>
      <c r="C1170" s="407"/>
      <c r="D1170" s="1494"/>
      <c r="E1170" s="1029" t="s">
        <v>1317</v>
      </c>
      <c r="F1170" s="1029">
        <v>298.23</v>
      </c>
      <c r="G1170" s="1036">
        <v>287.06</v>
      </c>
      <c r="H1170" s="1037">
        <f t="shared" si="37"/>
        <v>0.96254568621533709</v>
      </c>
      <c r="I1170" s="69"/>
      <c r="J1170" s="69"/>
      <c r="K1170" s="69"/>
      <c r="L1170" s="69"/>
      <c r="M1170" s="69"/>
      <c r="N1170" s="761"/>
      <c r="O1170" s="69"/>
    </row>
    <row r="1171" spans="2:15" ht="15.75" customHeight="1">
      <c r="B1171" s="760"/>
      <c r="C1171" s="407"/>
      <c r="D1171" s="1494"/>
      <c r="E1171" s="1029" t="s">
        <v>1318</v>
      </c>
      <c r="F1171" s="1029">
        <v>139.53</v>
      </c>
      <c r="G1171" s="1029">
        <v>184.99</v>
      </c>
      <c r="H1171" s="1034">
        <f t="shared" si="37"/>
        <v>1.325808069949115</v>
      </c>
      <c r="I1171" s="69"/>
      <c r="J1171" s="69"/>
      <c r="K1171" s="69"/>
      <c r="L1171" s="69"/>
      <c r="M1171" s="69"/>
      <c r="N1171" s="761"/>
      <c r="O1171" s="69"/>
    </row>
    <row r="1172" spans="2:15" ht="15.75" customHeight="1">
      <c r="B1172" s="760"/>
      <c r="C1172" s="407"/>
      <c r="D1172" s="1494"/>
      <c r="E1172" s="1029" t="s">
        <v>1319</v>
      </c>
      <c r="F1172" s="1029">
        <v>65.2</v>
      </c>
      <c r="G1172" s="1029">
        <v>71.09</v>
      </c>
      <c r="H1172" s="1034">
        <f t="shared" si="37"/>
        <v>1.0903374233128835</v>
      </c>
      <c r="I1172" s="69"/>
      <c r="J1172" s="69"/>
      <c r="K1172" s="69"/>
      <c r="L1172" s="69"/>
      <c r="M1172" s="69"/>
      <c r="N1172" s="761"/>
      <c r="O1172" s="69"/>
    </row>
    <row r="1173" spans="2:15" ht="15.75" customHeight="1">
      <c r="B1173" s="760"/>
      <c r="C1173" s="407"/>
      <c r="D1173" s="1494"/>
      <c r="E1173" s="1029" t="s">
        <v>1320</v>
      </c>
      <c r="F1173" s="1029">
        <v>212.1</v>
      </c>
      <c r="G1173" s="1029">
        <v>231.58</v>
      </c>
      <c r="H1173" s="1034">
        <f t="shared" si="37"/>
        <v>1.091843470061292</v>
      </c>
      <c r="I1173" s="69"/>
      <c r="J1173" s="69"/>
      <c r="K1173" s="69"/>
      <c r="L1173" s="69"/>
      <c r="M1173" s="69"/>
      <c r="N1173" s="761"/>
      <c r="O1173" s="69"/>
    </row>
    <row r="1174" spans="2:15" ht="15.75" customHeight="1">
      <c r="B1174" s="760"/>
      <c r="C1174" s="407"/>
      <c r="D1174" s="1494"/>
      <c r="E1174" s="1029" t="s">
        <v>1321</v>
      </c>
      <c r="F1174" s="1029">
        <v>63.98</v>
      </c>
      <c r="G1174" s="1029">
        <v>69.91</v>
      </c>
      <c r="H1174" s="1034">
        <f>G1173/F1174</f>
        <v>3.6195686151922479</v>
      </c>
      <c r="I1174" s="69"/>
      <c r="J1174" s="69"/>
      <c r="K1174" s="69"/>
      <c r="L1174" s="69"/>
      <c r="M1174" s="69"/>
      <c r="N1174" s="761"/>
      <c r="O1174" s="69"/>
    </row>
    <row r="1175" spans="2:15" ht="15.75" customHeight="1">
      <c r="B1175" s="760"/>
      <c r="C1175" s="407"/>
      <c r="D1175" s="1494"/>
      <c r="E1175" s="1029" t="s">
        <v>1322</v>
      </c>
      <c r="F1175" s="1029">
        <v>199.9</v>
      </c>
      <c r="G1175" s="1036">
        <v>180.47</v>
      </c>
      <c r="H1175" s="1037">
        <f t="shared" si="37"/>
        <v>0.9028014007003502</v>
      </c>
      <c r="I1175" s="69"/>
      <c r="J1175" s="69"/>
      <c r="K1175" s="69"/>
      <c r="L1175" s="69"/>
      <c r="M1175" s="69"/>
      <c r="N1175" s="761"/>
      <c r="O1175" s="69"/>
    </row>
    <row r="1176" spans="2:15" ht="15.75" customHeight="1">
      <c r="B1176" s="760"/>
      <c r="C1176" s="407"/>
      <c r="D1176" s="824"/>
      <c r="E1176" s="1050"/>
      <c r="F1176" s="1051"/>
      <c r="G1176" s="1032"/>
      <c r="H1176" s="1040">
        <f>(4/8)/3</f>
        <v>0.16666666666666666</v>
      </c>
      <c r="I1176" s="69"/>
      <c r="J1176" s="69"/>
      <c r="K1176" s="69"/>
      <c r="L1176" s="69"/>
      <c r="M1176" s="69"/>
      <c r="N1176" s="761"/>
      <c r="O1176" s="69"/>
    </row>
    <row r="1177" spans="2:15" ht="15.75" customHeight="1">
      <c r="B1177" s="760"/>
      <c r="C1177" s="407"/>
      <c r="D1177" s="824"/>
      <c r="E1177" s="1050"/>
      <c r="F1177" s="1051"/>
      <c r="G1177" s="1032"/>
      <c r="H1177" s="69"/>
      <c r="I1177" s="69"/>
      <c r="J1177" s="69"/>
      <c r="K1177" s="69"/>
      <c r="L1177" s="69"/>
      <c r="M1177" s="69"/>
      <c r="N1177" s="761"/>
      <c r="O1177" s="69"/>
    </row>
    <row r="1178" spans="2:15" ht="28.5" customHeight="1">
      <c r="B1178" s="760"/>
      <c r="C1178" s="407"/>
      <c r="D1178" s="826" t="s">
        <v>1309</v>
      </c>
      <c r="E1178" s="826" t="s">
        <v>1332</v>
      </c>
      <c r="F1178" s="805" t="s">
        <v>1324</v>
      </c>
      <c r="G1178" s="69"/>
      <c r="H1178" s="69"/>
      <c r="I1178" s="69"/>
      <c r="J1178" s="69"/>
      <c r="K1178" s="69"/>
      <c r="L1178" s="69"/>
      <c r="M1178" s="69"/>
      <c r="N1178" s="761"/>
      <c r="O1178" s="69"/>
    </row>
    <row r="1179" spans="2:15" ht="15.75" customHeight="1">
      <c r="B1179" s="760"/>
      <c r="C1179" s="407"/>
      <c r="D1179" s="846">
        <v>2024</v>
      </c>
      <c r="E1179" s="1048">
        <v>1389.21</v>
      </c>
      <c r="F1179" s="1053">
        <f>F1149/E1179</f>
        <v>1.0253837312813276</v>
      </c>
      <c r="G1179" s="1054"/>
      <c r="H1179" s="1054"/>
      <c r="I1179" s="1054"/>
      <c r="J1179" s="1054"/>
      <c r="K1179" s="1054"/>
      <c r="L1179" s="69"/>
      <c r="M1179" s="69"/>
      <c r="N1179" s="761"/>
      <c r="O1179" s="69"/>
    </row>
    <row r="1180" spans="2:15" ht="15.75" customHeight="1">
      <c r="B1180" s="760"/>
      <c r="C1180" s="407"/>
      <c r="D1180" s="824"/>
      <c r="E1180" s="1050"/>
      <c r="F1180" s="1055"/>
      <c r="G1180" s="1054"/>
      <c r="H1180" s="1054"/>
      <c r="I1180" s="1054"/>
      <c r="J1180" s="1054"/>
      <c r="K1180" s="1054"/>
      <c r="L1180" s="69"/>
      <c r="M1180" s="69"/>
      <c r="N1180" s="761"/>
      <c r="O1180" s="69"/>
    </row>
    <row r="1181" spans="2:15" ht="27.75" customHeight="1">
      <c r="B1181" s="760"/>
      <c r="C1181" s="407"/>
      <c r="D1181" s="826" t="s">
        <v>1309</v>
      </c>
      <c r="E1181" s="826" t="s">
        <v>1314</v>
      </c>
      <c r="F1181" s="805" t="s">
        <v>1332</v>
      </c>
      <c r="G1181" s="792"/>
      <c r="H1181" s="1042"/>
      <c r="I1181" s="69"/>
      <c r="J1181" s="69"/>
      <c r="K1181" s="69"/>
      <c r="L1181" s="69"/>
      <c r="M1181" s="69"/>
      <c r="N1181" s="761"/>
      <c r="O1181" s="69"/>
    </row>
    <row r="1182" spans="2:15" ht="15.75" customHeight="1">
      <c r="B1182" s="760"/>
      <c r="C1182" s="407"/>
      <c r="D1182" s="1495">
        <v>2024</v>
      </c>
      <c r="E1182" s="1029" t="s">
        <v>1315</v>
      </c>
      <c r="F1182" s="1029">
        <v>143.13999999999999</v>
      </c>
      <c r="G1182" s="1032"/>
      <c r="H1182" s="1033"/>
      <c r="I1182" s="69"/>
      <c r="J1182" s="69"/>
      <c r="K1182" s="69"/>
      <c r="L1182" s="69"/>
      <c r="M1182" s="69"/>
      <c r="N1182" s="761"/>
      <c r="O1182" s="69"/>
    </row>
    <row r="1183" spans="2:15" ht="15.75" customHeight="1">
      <c r="B1183" s="760"/>
      <c r="C1183" s="407"/>
      <c r="D1183" s="1496"/>
      <c r="E1183" s="1029" t="s">
        <v>1316</v>
      </c>
      <c r="F1183" s="1029">
        <v>273.27999999999997</v>
      </c>
      <c r="G1183" s="1032"/>
      <c r="H1183" s="1033"/>
      <c r="I1183" s="69"/>
      <c r="J1183" s="69"/>
      <c r="K1183" s="69"/>
      <c r="L1183" s="69"/>
      <c r="M1183" s="69"/>
      <c r="N1183" s="761"/>
      <c r="O1183" s="69"/>
    </row>
    <row r="1184" spans="2:15" ht="15.75" customHeight="1">
      <c r="B1184" s="760"/>
      <c r="C1184" s="407"/>
      <c r="D1184" s="1496"/>
      <c r="E1184" s="1029" t="s">
        <v>1317</v>
      </c>
      <c r="F1184" s="1029">
        <v>135.91</v>
      </c>
      <c r="G1184" s="1032"/>
      <c r="H1184" s="1033"/>
      <c r="I1184" s="69"/>
      <c r="J1184" s="69"/>
      <c r="K1184" s="69"/>
      <c r="L1184" s="69"/>
      <c r="M1184" s="69"/>
      <c r="N1184" s="761"/>
      <c r="O1184" s="69"/>
    </row>
    <row r="1185" spans="2:15" ht="15.75" customHeight="1">
      <c r="B1185" s="760"/>
      <c r="C1185" s="407"/>
      <c r="D1185" s="1496"/>
      <c r="E1185" s="1029" t="s">
        <v>1318</v>
      </c>
      <c r="F1185" s="1029">
        <v>284.27999999999997</v>
      </c>
      <c r="G1185" s="1032"/>
      <c r="H1185" s="1033"/>
      <c r="I1185" s="69"/>
      <c r="J1185" s="69"/>
      <c r="K1185" s="69"/>
      <c r="L1185" s="69"/>
      <c r="M1185" s="69"/>
      <c r="N1185" s="761"/>
      <c r="O1185" s="69"/>
    </row>
    <row r="1186" spans="2:15" ht="15.75" customHeight="1">
      <c r="B1186" s="760"/>
      <c r="C1186" s="407"/>
      <c r="D1186" s="1496"/>
      <c r="E1186" s="1029" t="s">
        <v>1319</v>
      </c>
      <c r="F1186" s="1029">
        <v>69.58</v>
      </c>
      <c r="G1186" s="1032"/>
      <c r="H1186" s="1033"/>
      <c r="I1186" s="69"/>
      <c r="J1186" s="69"/>
      <c r="K1186" s="69"/>
      <c r="L1186" s="69"/>
      <c r="M1186" s="69"/>
      <c r="N1186" s="761"/>
      <c r="O1186" s="69"/>
    </row>
    <row r="1187" spans="2:15" ht="15.75" customHeight="1">
      <c r="B1187" s="760"/>
      <c r="C1187" s="407"/>
      <c r="D1187" s="1496"/>
      <c r="E1187" s="1029" t="s">
        <v>1320</v>
      </c>
      <c r="F1187" s="1029">
        <v>161.74</v>
      </c>
      <c r="G1187" s="1032"/>
      <c r="H1187" s="1033"/>
      <c r="I1187" s="69"/>
      <c r="J1187" s="69"/>
      <c r="K1187" s="69"/>
      <c r="L1187" s="69"/>
      <c r="M1187" s="69"/>
      <c r="N1187" s="761"/>
      <c r="O1187" s="69"/>
    </row>
    <row r="1188" spans="2:15" ht="15.75" customHeight="1">
      <c r="B1188" s="760"/>
      <c r="C1188" s="407"/>
      <c r="D1188" s="1496"/>
      <c r="E1188" s="1029" t="s">
        <v>1321</v>
      </c>
      <c r="F1188" s="1029">
        <v>68.569999999999993</v>
      </c>
      <c r="G1188" s="1032"/>
      <c r="H1188" s="1033"/>
      <c r="I1188" s="69"/>
      <c r="J1188" s="69"/>
      <c r="K1188" s="69"/>
      <c r="L1188" s="69"/>
      <c r="M1188" s="69"/>
      <c r="N1188" s="761"/>
      <c r="O1188" s="69"/>
    </row>
    <row r="1189" spans="2:15" ht="15.75" customHeight="1">
      <c r="B1189" s="760"/>
      <c r="C1189" s="407"/>
      <c r="D1189" s="1496"/>
      <c r="E1189" s="1029" t="s">
        <v>1325</v>
      </c>
      <c r="F1189" s="1029">
        <v>147.81</v>
      </c>
      <c r="G1189" s="1032"/>
      <c r="H1189" s="1033"/>
      <c r="I1189" s="69"/>
      <c r="J1189" s="69"/>
      <c r="K1189" s="69"/>
      <c r="L1189" s="69"/>
      <c r="M1189" s="69"/>
      <c r="N1189" s="761"/>
      <c r="O1189" s="69"/>
    </row>
    <row r="1190" spans="2:15" ht="15.75" customHeight="1">
      <c r="B1190" s="760"/>
      <c r="C1190" s="407"/>
      <c r="D1190" s="1497"/>
      <c r="E1190" s="846" t="s">
        <v>1326</v>
      </c>
      <c r="F1190" s="1029">
        <v>131.19</v>
      </c>
      <c r="G1190" s="69"/>
      <c r="H1190" s="69"/>
      <c r="I1190" s="69"/>
      <c r="J1190" s="69"/>
      <c r="K1190" s="69"/>
      <c r="L1190" s="69"/>
      <c r="M1190" s="69"/>
      <c r="N1190" s="761"/>
      <c r="O1190" s="69"/>
    </row>
    <row r="1191" spans="2:15" ht="15.75" customHeight="1">
      <c r="B1191" s="760"/>
      <c r="C1191" s="407"/>
      <c r="D1191" s="824"/>
      <c r="E1191" s="1050"/>
      <c r="F1191" s="1055"/>
      <c r="G1191" s="1054"/>
      <c r="H1191" s="1054"/>
      <c r="I1191" s="1054"/>
      <c r="J1191" s="1054"/>
      <c r="K1191" s="1054"/>
      <c r="L1191" s="69"/>
      <c r="M1191" s="69"/>
      <c r="N1191" s="761"/>
      <c r="O1191" s="69"/>
    </row>
    <row r="1192" spans="2:15" ht="15.75" customHeight="1">
      <c r="B1192" s="760"/>
      <c r="C1192" s="407"/>
      <c r="D1192" s="1498" t="s">
        <v>1334</v>
      </c>
      <c r="E1192" s="1498"/>
      <c r="F1192" s="1056"/>
      <c r="G1192" s="1054"/>
      <c r="H1192" s="1054"/>
      <c r="I1192" s="1054"/>
      <c r="J1192" s="1054"/>
      <c r="K1192" s="1054"/>
      <c r="L1192" s="69"/>
      <c r="M1192" s="69"/>
      <c r="N1192" s="761"/>
      <c r="O1192" s="69"/>
    </row>
    <row r="1193" spans="2:15" ht="15.75" customHeight="1">
      <c r="B1193" s="760"/>
      <c r="C1193" s="407"/>
      <c r="D1193" s="1498"/>
      <c r="E1193" s="1498"/>
      <c r="F1193" s="1055"/>
      <c r="G1193" s="1054"/>
      <c r="H1193" s="1054"/>
      <c r="I1193" s="1054"/>
      <c r="J1193" s="1054"/>
      <c r="K1193" s="1054"/>
      <c r="L1193" s="69"/>
      <c r="M1193" s="69"/>
      <c r="N1193" s="761"/>
      <c r="O1193" s="69"/>
    </row>
    <row r="1194" spans="2:15" ht="15.75" customHeight="1">
      <c r="B1194" s="760"/>
      <c r="C1194" s="407"/>
      <c r="D1194" s="846" t="s">
        <v>1335</v>
      </c>
      <c r="E1194" s="1057">
        <f>H1094</f>
        <v>4.1666666666666664E-2</v>
      </c>
      <c r="F1194" s="1055"/>
      <c r="G1194" s="1054"/>
      <c r="H1194" s="1054"/>
      <c r="I1194" s="1054"/>
      <c r="J1194" s="1054"/>
      <c r="K1194" s="1054"/>
      <c r="L1194" s="69"/>
      <c r="M1194" s="69"/>
      <c r="N1194" s="761"/>
      <c r="O1194" s="69"/>
    </row>
    <row r="1195" spans="2:15" ht="15.75" customHeight="1">
      <c r="B1195" s="760"/>
      <c r="C1195" s="407"/>
      <c r="D1195" s="846" t="s">
        <v>1336</v>
      </c>
      <c r="E1195" s="1057">
        <f>H1127</f>
        <v>0.375</v>
      </c>
      <c r="F1195" s="1055"/>
      <c r="G1195" s="1054"/>
      <c r="H1195" s="1054"/>
      <c r="I1195" s="1054"/>
      <c r="J1195" s="1054"/>
      <c r="K1195" s="1054"/>
      <c r="L1195" s="69"/>
      <c r="M1195" s="69"/>
      <c r="N1195" s="761"/>
      <c r="O1195" s="69"/>
    </row>
    <row r="1196" spans="2:15" ht="15.75" customHeight="1">
      <c r="B1196" s="760"/>
      <c r="C1196" s="407"/>
      <c r="D1196" s="846" t="s">
        <v>1051</v>
      </c>
      <c r="E1196" s="1057">
        <f>H1176</f>
        <v>0.16666666666666666</v>
      </c>
      <c r="F1196" s="1055"/>
      <c r="G1196" s="1054"/>
      <c r="H1196" s="1054"/>
      <c r="I1196" s="1054"/>
      <c r="J1196" s="1054"/>
      <c r="K1196" s="1054"/>
      <c r="L1196" s="69"/>
      <c r="M1196" s="69"/>
      <c r="N1196" s="761"/>
      <c r="O1196" s="69"/>
    </row>
    <row r="1197" spans="2:15" ht="15.75" customHeight="1">
      <c r="B1197" s="760"/>
      <c r="C1197" s="407"/>
      <c r="D1197" s="1058" t="s">
        <v>1313</v>
      </c>
      <c r="E1197" s="1059">
        <f>AVERAGE(E1194:E1196)</f>
        <v>0.19444444444444445</v>
      </c>
      <c r="F1197" s="1055"/>
      <c r="G1197" s="1054"/>
      <c r="H1197" s="1054"/>
      <c r="I1197" s="1054"/>
      <c r="J1197" s="1054"/>
      <c r="K1197" s="1054"/>
      <c r="L1197" s="69"/>
      <c r="M1197" s="69"/>
      <c r="N1197" s="761"/>
      <c r="O1197" s="69"/>
    </row>
    <row r="1198" spans="2:15" ht="15.75" customHeight="1">
      <c r="B1198" s="760"/>
      <c r="C1198" s="69"/>
      <c r="D1198" s="69"/>
      <c r="E1198" s="1054"/>
      <c r="F1198" s="1054"/>
      <c r="G1198" s="1054"/>
      <c r="H1198" s="1054"/>
      <c r="I1198" s="1054"/>
      <c r="J1198" s="1054"/>
      <c r="K1198" s="1054"/>
      <c r="L1198" s="69"/>
      <c r="M1198" s="69"/>
      <c r="N1198" s="761"/>
      <c r="O1198" s="69"/>
    </row>
    <row r="1199" spans="2:15" ht="15.75" customHeight="1">
      <c r="B1199" s="760"/>
      <c r="C1199" s="69"/>
      <c r="D1199" s="69"/>
      <c r="E1199" s="1054"/>
      <c r="F1199" s="1054"/>
      <c r="G1199" s="1054"/>
      <c r="H1199" s="1054"/>
      <c r="I1199" s="1054"/>
      <c r="J1199" s="1054"/>
      <c r="K1199" s="1054"/>
      <c r="L1199" s="69"/>
      <c r="M1199" s="69"/>
      <c r="N1199" s="761"/>
      <c r="O1199" s="69"/>
    </row>
    <row r="1200" spans="2:15" ht="15.75" customHeight="1">
      <c r="B1200" s="760"/>
      <c r="C1200" s="69"/>
      <c r="D1200" s="1499" t="s">
        <v>1337</v>
      </c>
      <c r="E1200" s="1499"/>
      <c r="F1200" s="1499"/>
      <c r="G1200" s="1499"/>
      <c r="H1200" s="1499"/>
      <c r="I1200" s="1054"/>
      <c r="J1200" s="1054"/>
      <c r="K1200" s="1054"/>
      <c r="L1200" s="69"/>
      <c r="M1200" s="69"/>
      <c r="N1200" s="761"/>
      <c r="O1200" s="69"/>
    </row>
    <row r="1201" spans="2:15" ht="15.75" customHeight="1">
      <c r="B1201" s="760"/>
      <c r="C1201" s="69"/>
      <c r="D1201" s="1060" t="s">
        <v>1309</v>
      </c>
      <c r="E1201" s="1060" t="s">
        <v>1338</v>
      </c>
      <c r="F1201" s="1060" t="s">
        <v>1339</v>
      </c>
      <c r="G1201" s="1060" t="s">
        <v>1340</v>
      </c>
      <c r="H1201" s="1061" t="s">
        <v>1341</v>
      </c>
      <c r="I1201" s="1054"/>
      <c r="J1201" s="1054"/>
      <c r="K1201" s="1054"/>
      <c r="L1201" s="69"/>
      <c r="M1201" s="69"/>
      <c r="N1201" s="761"/>
      <c r="O1201" s="69"/>
    </row>
    <row r="1202" spans="2:15" ht="15.75" customHeight="1">
      <c r="B1202" s="760"/>
      <c r="C1202" s="1062"/>
      <c r="D1202" s="431">
        <v>2023</v>
      </c>
      <c r="E1202" s="1015">
        <v>133977604.53667399</v>
      </c>
      <c r="F1202" s="431">
        <v>8760</v>
      </c>
      <c r="G1202" s="431">
        <v>352.11</v>
      </c>
      <c r="H1202" s="1063">
        <f>E1202*G1202</f>
        <v>47174854333.408279</v>
      </c>
      <c r="I1202" s="1054"/>
      <c r="J1202" s="1054"/>
      <c r="K1202" s="1054"/>
      <c r="L1202" s="69"/>
      <c r="M1202" s="69"/>
      <c r="N1202" s="761"/>
      <c r="O1202" s="69"/>
    </row>
    <row r="1203" spans="2:15" ht="15.75" customHeight="1">
      <c r="B1203" s="760"/>
      <c r="C1203" s="131"/>
      <c r="D1203" s="431">
        <v>2022</v>
      </c>
      <c r="E1203" s="1015">
        <v>61919745</v>
      </c>
      <c r="F1203" s="431">
        <v>8760</v>
      </c>
      <c r="G1203" s="431">
        <v>352.11</v>
      </c>
      <c r="H1203" s="1063">
        <f>E1203*G1203</f>
        <v>21802561411.950001</v>
      </c>
      <c r="I1203" s="131"/>
      <c r="J1203" s="131"/>
      <c r="K1203" s="131"/>
      <c r="L1203" s="69"/>
      <c r="M1203" s="69"/>
      <c r="N1203" s="761"/>
      <c r="O1203" s="69"/>
    </row>
    <row r="1204" spans="2:15" ht="15.75" customHeight="1">
      <c r="B1204" s="760"/>
      <c r="C1204" s="131"/>
      <c r="D1204" s="431">
        <v>2021</v>
      </c>
      <c r="E1204" s="1015">
        <v>258855611</v>
      </c>
      <c r="F1204" s="431">
        <v>8760</v>
      </c>
      <c r="G1204" s="431">
        <v>352.11</v>
      </c>
      <c r="H1204" s="1063">
        <f>E1204*G1204</f>
        <v>91145649189.210007</v>
      </c>
      <c r="I1204" s="468" t="s">
        <v>1342</v>
      </c>
      <c r="J1204" s="131"/>
      <c r="K1204" s="131"/>
      <c r="L1204" s="69"/>
      <c r="M1204" s="69"/>
      <c r="N1204" s="761"/>
      <c r="O1204" s="69"/>
    </row>
    <row r="1205" spans="2:15" ht="15.75" customHeight="1">
      <c r="B1205" s="760"/>
      <c r="C1205" s="131"/>
      <c r="D1205" s="1500" t="s">
        <v>1343</v>
      </c>
      <c r="E1205" s="1500"/>
      <c r="F1205" s="1500"/>
      <c r="G1205" s="1500"/>
      <c r="H1205" s="1064">
        <f>SUM(H1202:H1204)/3</f>
        <v>53374354978.18943</v>
      </c>
      <c r="I1205" s="131"/>
      <c r="J1205" s="131"/>
      <c r="K1205" s="131"/>
      <c r="L1205" s="69"/>
      <c r="M1205" s="69"/>
      <c r="N1205" s="761"/>
      <c r="O1205" s="69"/>
    </row>
    <row r="1206" spans="2:15" ht="15.75" customHeight="1">
      <c r="B1206" s="760"/>
      <c r="C1206" s="131"/>
      <c r="D1206" s="131"/>
      <c r="E1206" s="131"/>
      <c r="F1206" s="131"/>
      <c r="G1206" s="131"/>
      <c r="H1206" s="131"/>
      <c r="I1206" s="131"/>
      <c r="J1206" s="131"/>
      <c r="K1206" s="131"/>
      <c r="L1206" s="69"/>
      <c r="M1206" s="69"/>
      <c r="N1206" s="761"/>
      <c r="O1206" s="69"/>
    </row>
    <row r="1207" spans="2:15" ht="15.75" customHeight="1">
      <c r="B1207" s="760"/>
      <c r="C1207" s="131"/>
      <c r="D1207" s="131"/>
      <c r="E1207" s="131"/>
      <c r="F1207" s="131"/>
      <c r="G1207" s="131"/>
      <c r="H1207" s="131"/>
      <c r="I1207" s="131"/>
      <c r="J1207" s="131"/>
      <c r="K1207" s="131"/>
      <c r="L1207" s="69"/>
      <c r="M1207" s="69"/>
      <c r="N1207" s="761"/>
      <c r="O1207" s="69"/>
    </row>
    <row r="1208" spans="2:15" ht="15.75" customHeight="1">
      <c r="B1208" s="760"/>
      <c r="C1208" s="131"/>
      <c r="D1208" s="131"/>
      <c r="E1208" s="131"/>
      <c r="F1208" s="131"/>
      <c r="G1208" s="131"/>
      <c r="H1208" s="131"/>
      <c r="I1208" s="131"/>
      <c r="J1208" s="131"/>
      <c r="K1208" s="131"/>
      <c r="L1208" s="69"/>
      <c r="M1208" s="69"/>
      <c r="N1208" s="761"/>
      <c r="O1208" s="69"/>
    </row>
    <row r="1209" spans="2:15" ht="24.75" customHeight="1">
      <c r="B1209" s="760"/>
      <c r="C1209" s="131"/>
      <c r="D1209" s="1065" t="s">
        <v>1309</v>
      </c>
      <c r="E1209" s="1065" t="s">
        <v>1314</v>
      </c>
      <c r="F1209" s="1065" t="s">
        <v>1344</v>
      </c>
      <c r="G1209" s="1065" t="s">
        <v>1345</v>
      </c>
      <c r="H1209" s="1066" t="s">
        <v>1346</v>
      </c>
      <c r="I1209" s="131"/>
      <c r="J1209" s="131"/>
      <c r="K1209" s="131"/>
      <c r="L1209" s="69"/>
      <c r="M1209" s="69"/>
      <c r="N1209" s="761"/>
      <c r="O1209" s="69"/>
    </row>
    <row r="1210" spans="2:15" ht="15.75" customHeight="1">
      <c r="B1210" s="760"/>
      <c r="C1210" s="1067">
        <v>1</v>
      </c>
      <c r="D1210" s="1492">
        <v>2021</v>
      </c>
      <c r="E1210" s="431" t="s">
        <v>1347</v>
      </c>
      <c r="F1210" s="431" t="s">
        <v>1348</v>
      </c>
      <c r="G1210" s="971">
        <v>4074804030</v>
      </c>
      <c r="H1210" s="740"/>
      <c r="I1210" s="131"/>
      <c r="J1210" s="131"/>
      <c r="K1210" s="131"/>
      <c r="L1210" s="69"/>
      <c r="M1210" s="69"/>
      <c r="N1210" s="761"/>
      <c r="O1210" s="69"/>
    </row>
    <row r="1211" spans="2:15" ht="15.75" customHeight="1">
      <c r="B1211" s="760"/>
      <c r="C1211" s="1067">
        <v>1</v>
      </c>
      <c r="D1211" s="1492"/>
      <c r="E1211" s="431" t="s">
        <v>1349</v>
      </c>
      <c r="F1211" s="431" t="s">
        <v>1350</v>
      </c>
      <c r="G1211" s="971">
        <v>5935600000</v>
      </c>
      <c r="H1211" s="740"/>
      <c r="I1211" s="131"/>
      <c r="J1211" s="131"/>
      <c r="K1211" s="131"/>
      <c r="L1211" s="69"/>
      <c r="M1211" s="69"/>
      <c r="N1211" s="761"/>
      <c r="O1211" s="69"/>
    </row>
    <row r="1212" spans="2:15" ht="15.75" customHeight="1">
      <c r="B1212" s="760"/>
      <c r="C1212" s="1067"/>
      <c r="D1212" s="765">
        <v>2022</v>
      </c>
      <c r="E1212" s="431" t="s">
        <v>590</v>
      </c>
      <c r="F1212" s="431" t="s">
        <v>590</v>
      </c>
      <c r="G1212" s="431"/>
      <c r="H1212" s="740"/>
      <c r="I1212" s="131"/>
      <c r="J1212" s="131"/>
      <c r="K1212" s="131"/>
      <c r="L1212" s="69"/>
      <c r="M1212" s="69"/>
      <c r="N1212" s="761"/>
      <c r="O1212" s="69"/>
    </row>
    <row r="1213" spans="2:15" ht="15.75" customHeight="1">
      <c r="B1213" s="760"/>
      <c r="C1213" s="1067">
        <v>1</v>
      </c>
      <c r="D1213" s="1492">
        <v>2023</v>
      </c>
      <c r="E1213" s="431" t="s">
        <v>1351</v>
      </c>
      <c r="F1213" s="431" t="s">
        <v>1352</v>
      </c>
      <c r="G1213" s="740"/>
      <c r="H1213" s="953">
        <v>322332214730</v>
      </c>
      <c r="I1213" s="131"/>
      <c r="J1213" s="131"/>
      <c r="K1213" s="131"/>
      <c r="L1213" s="69"/>
      <c r="M1213" s="69"/>
      <c r="N1213" s="761"/>
      <c r="O1213" s="69"/>
    </row>
    <row r="1214" spans="2:15" ht="15.75" customHeight="1">
      <c r="B1214" s="760"/>
      <c r="C1214" s="1067">
        <v>1</v>
      </c>
      <c r="D1214" s="1492"/>
      <c r="E1214" s="431" t="s">
        <v>1353</v>
      </c>
      <c r="F1214" s="431" t="s">
        <v>1350</v>
      </c>
      <c r="G1214" s="971">
        <v>5935600000</v>
      </c>
      <c r="H1214" s="740"/>
      <c r="I1214" s="468" t="s">
        <v>1354</v>
      </c>
      <c r="J1214" s="131"/>
      <c r="K1214" s="131"/>
      <c r="L1214" s="69"/>
      <c r="M1214" s="69"/>
      <c r="N1214" s="761"/>
      <c r="O1214" s="69"/>
    </row>
    <row r="1215" spans="2:15" ht="15.75" customHeight="1">
      <c r="B1215" s="760"/>
      <c r="C1215" s="131"/>
      <c r="D1215" s="131"/>
      <c r="E1215" s="131"/>
      <c r="F1215" s="131"/>
      <c r="G1215" s="961">
        <f>(G1210+G1211+G1214)/3</f>
        <v>5315334676.666667</v>
      </c>
      <c r="H1215" s="953">
        <v>322332214730</v>
      </c>
      <c r="I1215" s="131"/>
      <c r="J1215" s="131"/>
      <c r="K1215" s="131"/>
      <c r="L1215" s="69"/>
      <c r="M1215" s="69"/>
      <c r="N1215" s="761"/>
      <c r="O1215" s="69"/>
    </row>
    <row r="1216" spans="2:15" ht="15.75" customHeight="1">
      <c r="B1216" s="760"/>
      <c r="C1216" s="1493" t="s">
        <v>1355</v>
      </c>
      <c r="D1216" s="1493"/>
      <c r="E1216" s="1493"/>
      <c r="F1216" s="1493"/>
      <c r="G1216" s="131"/>
      <c r="H1216" s="974"/>
      <c r="I1216" s="131"/>
      <c r="J1216" s="131"/>
      <c r="K1216" s="131"/>
      <c r="L1216" s="69"/>
      <c r="M1216" s="69"/>
      <c r="N1216" s="761"/>
      <c r="O1216" s="69"/>
    </row>
    <row r="1217" spans="2:15" ht="15.75" customHeight="1">
      <c r="B1217" s="760"/>
      <c r="C1217" s="1493"/>
      <c r="D1217" s="1493"/>
      <c r="E1217" s="1493"/>
      <c r="F1217" s="1493"/>
      <c r="G1217" s="131"/>
      <c r="H1217" s="131"/>
      <c r="I1217" s="131"/>
      <c r="J1217" s="131"/>
      <c r="K1217" s="131"/>
      <c r="L1217" s="69"/>
      <c r="M1217" s="69"/>
      <c r="N1217" s="761"/>
      <c r="O1217" s="69"/>
    </row>
    <row r="1218" spans="2:15" ht="15.75" customHeight="1">
      <c r="B1218" s="760"/>
      <c r="C1218" s="1493"/>
      <c r="D1218" s="1493"/>
      <c r="E1218" s="1493"/>
      <c r="F1218" s="1493"/>
      <c r="G1218" s="131"/>
      <c r="H1218" s="131"/>
      <c r="I1218" s="131"/>
      <c r="J1218" s="131"/>
      <c r="K1218" s="131"/>
      <c r="L1218" s="69"/>
      <c r="M1218" s="69"/>
      <c r="N1218" s="761"/>
      <c r="O1218" s="69"/>
    </row>
    <row r="1219" spans="2:15" ht="15.75" customHeight="1">
      <c r="B1219" s="760"/>
      <c r="C1219" s="131"/>
      <c r="D1219" s="131"/>
      <c r="E1219" s="131"/>
      <c r="F1219" s="131"/>
      <c r="G1219" s="131"/>
      <c r="H1219" s="131"/>
      <c r="I1219" s="131"/>
      <c r="J1219" s="131"/>
      <c r="K1219" s="131"/>
      <c r="L1219" s="69"/>
      <c r="M1219" s="69"/>
      <c r="N1219" s="761"/>
      <c r="O1219" s="69"/>
    </row>
    <row r="1220" spans="2:15" ht="15.75" customHeight="1">
      <c r="B1220" s="760"/>
      <c r="C1220" s="131"/>
      <c r="D1220" s="131"/>
      <c r="E1220" s="131"/>
      <c r="F1220" s="131"/>
      <c r="G1220" s="131"/>
      <c r="H1220" s="131"/>
      <c r="I1220" s="131"/>
      <c r="J1220" s="131"/>
      <c r="K1220" s="131"/>
      <c r="L1220" s="69"/>
      <c r="M1220" s="69"/>
      <c r="N1220" s="761"/>
      <c r="O1220" s="69"/>
    </row>
    <row r="1221" spans="2:15" ht="15.75" customHeight="1">
      <c r="B1221" s="760"/>
      <c r="C1221" s="83" t="s">
        <v>1356</v>
      </c>
      <c r="D1221" s="131"/>
      <c r="E1221" s="131"/>
      <c r="F1221" s="131"/>
      <c r="G1221" s="131"/>
      <c r="H1221" s="131"/>
      <c r="I1221" s="131"/>
      <c r="J1221" s="131"/>
      <c r="K1221" s="131"/>
      <c r="L1221" s="69"/>
      <c r="M1221" s="69"/>
      <c r="N1221" s="761"/>
      <c r="O1221" s="69"/>
    </row>
    <row r="1222" spans="2:15" ht="15.75" customHeight="1">
      <c r="B1222" s="760"/>
      <c r="C1222" s="131"/>
      <c r="D1222" s="131"/>
      <c r="E1222" s="131"/>
      <c r="F1222" s="131"/>
      <c r="G1222" s="131"/>
      <c r="H1222" s="131"/>
      <c r="I1222" s="131"/>
      <c r="J1222" s="131"/>
      <c r="K1222" s="131"/>
      <c r="L1222" s="69"/>
      <c r="M1222" s="69"/>
      <c r="N1222" s="761"/>
      <c r="O1222" s="69"/>
    </row>
    <row r="1223" spans="2:15" ht="26.25">
      <c r="B1223" s="760"/>
      <c r="C1223" s="1067"/>
      <c r="D1223" s="826" t="s">
        <v>1309</v>
      </c>
      <c r="E1223" s="826" t="s">
        <v>751</v>
      </c>
      <c r="F1223" s="826" t="s">
        <v>1314</v>
      </c>
      <c r="G1223" s="826" t="s">
        <v>1357</v>
      </c>
      <c r="H1223" s="826" t="s">
        <v>1345</v>
      </c>
      <c r="I1223" s="825" t="s">
        <v>1346</v>
      </c>
      <c r="J1223" s="792"/>
      <c r="K1223" s="131"/>
      <c r="L1223" s="69"/>
      <c r="M1223" s="69"/>
      <c r="N1223" s="761"/>
      <c r="O1223" s="69"/>
    </row>
    <row r="1224" spans="2:15" ht="15.75" customHeight="1">
      <c r="B1224" s="760"/>
      <c r="C1224" s="1067"/>
      <c r="D1224" s="1485">
        <v>2021</v>
      </c>
      <c r="E1224" s="1488" t="s">
        <v>1315</v>
      </c>
      <c r="F1224" s="765">
        <v>1</v>
      </c>
      <c r="G1224" s="740" t="s">
        <v>590</v>
      </c>
      <c r="H1224" s="740"/>
      <c r="I1224" s="740"/>
      <c r="J1224" s="131"/>
      <c r="K1224" s="131"/>
      <c r="L1224" s="69"/>
      <c r="M1224" s="69"/>
      <c r="N1224" s="761"/>
      <c r="O1224" s="69"/>
    </row>
    <row r="1225" spans="2:15" ht="15.75" customHeight="1">
      <c r="B1225" s="760"/>
      <c r="C1225" s="1067">
        <v>1</v>
      </c>
      <c r="D1225" s="1486"/>
      <c r="E1225" s="1488"/>
      <c r="F1225" s="765">
        <v>2</v>
      </c>
      <c r="G1225" s="740" t="s">
        <v>1358</v>
      </c>
      <c r="H1225" s="971">
        <v>4074804030</v>
      </c>
      <c r="I1225" s="740"/>
      <c r="J1225" s="131"/>
      <c r="K1225" s="131"/>
      <c r="L1225" s="69"/>
      <c r="M1225" s="69"/>
      <c r="N1225" s="761"/>
      <c r="O1225" s="69"/>
    </row>
    <row r="1226" spans="2:15" ht="15.75" customHeight="1">
      <c r="B1226" s="760"/>
      <c r="C1226" s="1067"/>
      <c r="D1226" s="1486"/>
      <c r="E1226" s="1488" t="s">
        <v>1316</v>
      </c>
      <c r="F1226" s="765">
        <v>1</v>
      </c>
      <c r="G1226" s="740" t="s">
        <v>590</v>
      </c>
      <c r="H1226" s="740"/>
      <c r="I1226" s="740"/>
      <c r="J1226" s="131"/>
      <c r="K1226" s="131"/>
      <c r="L1226" s="69"/>
      <c r="M1226" s="69"/>
      <c r="N1226" s="761"/>
      <c r="O1226" s="69"/>
    </row>
    <row r="1227" spans="2:15" ht="15.75" customHeight="1">
      <c r="B1227" s="760"/>
      <c r="C1227" s="1067"/>
      <c r="D1227" s="1486"/>
      <c r="E1227" s="1488"/>
      <c r="F1227" s="765">
        <v>2</v>
      </c>
      <c r="G1227" s="740" t="s">
        <v>590</v>
      </c>
      <c r="H1227" s="740"/>
      <c r="I1227" s="740"/>
      <c r="J1227" s="131"/>
      <c r="K1227" s="131"/>
      <c r="L1227" s="69"/>
      <c r="M1227" s="69"/>
      <c r="N1227" s="761"/>
      <c r="O1227" s="69"/>
    </row>
    <row r="1228" spans="2:15" ht="15.75" customHeight="1">
      <c r="B1228" s="760"/>
      <c r="C1228" s="1067"/>
      <c r="D1228" s="1486"/>
      <c r="E1228" s="1488"/>
      <c r="F1228" s="765">
        <v>3</v>
      </c>
      <c r="G1228" s="740" t="s">
        <v>590</v>
      </c>
      <c r="H1228" s="740"/>
      <c r="I1228" s="740"/>
      <c r="J1228" s="131"/>
      <c r="K1228" s="131"/>
      <c r="L1228" s="69"/>
      <c r="M1228" s="69"/>
      <c r="N1228" s="761"/>
      <c r="O1228" s="69"/>
    </row>
    <row r="1229" spans="2:15" ht="15.75" customHeight="1">
      <c r="B1229" s="760"/>
      <c r="C1229" s="1067"/>
      <c r="D1229" s="1486"/>
      <c r="E1229" s="1488"/>
      <c r="F1229" s="765">
        <v>4</v>
      </c>
      <c r="G1229" s="740" t="s">
        <v>590</v>
      </c>
      <c r="H1229" s="740"/>
      <c r="I1229" s="740"/>
      <c r="J1229" s="131"/>
      <c r="K1229" s="131"/>
      <c r="L1229" s="69"/>
      <c r="M1229" s="69"/>
      <c r="N1229" s="761"/>
      <c r="O1229" s="69"/>
    </row>
    <row r="1230" spans="2:15" ht="15.75" customHeight="1">
      <c r="B1230" s="760"/>
      <c r="C1230" s="1067"/>
      <c r="D1230" s="1486"/>
      <c r="E1230" s="1485" t="s">
        <v>1317</v>
      </c>
      <c r="F1230" s="765">
        <v>1</v>
      </c>
      <c r="G1230" s="740" t="s">
        <v>590</v>
      </c>
      <c r="H1230" s="740"/>
      <c r="I1230" s="740"/>
      <c r="J1230" s="131"/>
      <c r="K1230" s="131"/>
      <c r="L1230" s="69"/>
      <c r="M1230" s="69"/>
      <c r="N1230" s="761"/>
      <c r="O1230" s="69"/>
    </row>
    <row r="1231" spans="2:15" ht="15.75" customHeight="1">
      <c r="B1231" s="760"/>
      <c r="C1231" s="1067"/>
      <c r="D1231" s="1486"/>
      <c r="E1231" s="1486"/>
      <c r="F1231" s="765">
        <v>2</v>
      </c>
      <c r="G1231" s="740" t="s">
        <v>590</v>
      </c>
      <c r="H1231" s="740"/>
      <c r="I1231" s="740"/>
      <c r="J1231" s="131"/>
      <c r="K1231" s="131"/>
      <c r="L1231" s="69"/>
      <c r="M1231" s="69"/>
      <c r="N1231" s="761"/>
      <c r="O1231" s="69"/>
    </row>
    <row r="1232" spans="2:15" ht="15.75" customHeight="1">
      <c r="B1232" s="760"/>
      <c r="C1232" s="1067"/>
      <c r="D1232" s="1486"/>
      <c r="E1232" s="1486"/>
      <c r="F1232" s="765">
        <v>3</v>
      </c>
      <c r="G1232" s="740" t="s">
        <v>590</v>
      </c>
      <c r="H1232" s="740"/>
      <c r="I1232" s="740"/>
      <c r="J1232" s="131"/>
      <c r="K1232" s="131"/>
      <c r="L1232" s="69"/>
      <c r="M1232" s="69"/>
      <c r="N1232" s="761"/>
      <c r="O1232" s="69"/>
    </row>
    <row r="1233" spans="2:15" ht="15.75" customHeight="1">
      <c r="B1233" s="760"/>
      <c r="C1233" s="1067"/>
      <c r="D1233" s="1486"/>
      <c r="E1233" s="1487"/>
      <c r="F1233" s="765">
        <v>4</v>
      </c>
      <c r="G1233" s="740" t="s">
        <v>590</v>
      </c>
      <c r="H1233" s="740"/>
      <c r="I1233" s="740"/>
      <c r="J1233" s="131"/>
      <c r="K1233" s="131"/>
      <c r="L1233" s="69"/>
      <c r="M1233" s="69"/>
      <c r="N1233" s="761"/>
      <c r="O1233" s="69"/>
    </row>
    <row r="1234" spans="2:15" ht="15.75" customHeight="1">
      <c r="B1234" s="760"/>
      <c r="C1234" s="1067">
        <v>1</v>
      </c>
      <c r="D1234" s="1486"/>
      <c r="E1234" s="1488" t="s">
        <v>1318</v>
      </c>
      <c r="F1234" s="765">
        <v>1</v>
      </c>
      <c r="G1234" s="740" t="s">
        <v>1359</v>
      </c>
      <c r="H1234" s="971">
        <v>5935600000</v>
      </c>
      <c r="I1234" s="740"/>
      <c r="J1234" s="131"/>
      <c r="K1234" s="131"/>
      <c r="L1234" s="69"/>
      <c r="M1234" s="69"/>
      <c r="N1234" s="761"/>
      <c r="O1234" s="69"/>
    </row>
    <row r="1235" spans="2:15" ht="15.75" customHeight="1">
      <c r="B1235" s="760"/>
      <c r="C1235" s="1067"/>
      <c r="D1235" s="1486"/>
      <c r="E1235" s="1488"/>
      <c r="F1235" s="765">
        <v>2</v>
      </c>
      <c r="G1235" s="740" t="s">
        <v>590</v>
      </c>
      <c r="H1235" s="740"/>
      <c r="I1235" s="740"/>
      <c r="J1235" s="131"/>
      <c r="K1235" s="131"/>
      <c r="L1235" s="69"/>
      <c r="M1235" s="69"/>
      <c r="N1235" s="761"/>
      <c r="O1235" s="69"/>
    </row>
    <row r="1236" spans="2:15" ht="15.75" customHeight="1">
      <c r="B1236" s="760"/>
      <c r="C1236" s="1067"/>
      <c r="D1236" s="1486"/>
      <c r="E1236" s="765" t="s">
        <v>1319</v>
      </c>
      <c r="F1236" s="765">
        <v>1</v>
      </c>
      <c r="G1236" s="740" t="s">
        <v>590</v>
      </c>
      <c r="H1236" s="740"/>
      <c r="I1236" s="740"/>
      <c r="J1236" s="131"/>
      <c r="K1236" s="131"/>
      <c r="L1236" s="69"/>
      <c r="M1236" s="69"/>
      <c r="N1236" s="761"/>
      <c r="O1236" s="69"/>
    </row>
    <row r="1237" spans="2:15" ht="15.75" customHeight="1">
      <c r="B1237" s="760"/>
      <c r="C1237" s="1067"/>
      <c r="D1237" s="1486"/>
      <c r="E1237" s="1485" t="s">
        <v>1320</v>
      </c>
      <c r="F1237" s="765">
        <v>1</v>
      </c>
      <c r="G1237" s="740" t="s">
        <v>590</v>
      </c>
      <c r="H1237" s="740"/>
      <c r="I1237" s="740"/>
      <c r="J1237" s="131"/>
      <c r="K1237" s="131"/>
      <c r="L1237" s="69"/>
      <c r="M1237" s="69"/>
      <c r="N1237" s="761"/>
      <c r="O1237" s="69"/>
    </row>
    <row r="1238" spans="2:15" ht="15.75" customHeight="1">
      <c r="B1238" s="760"/>
      <c r="C1238" s="1067"/>
      <c r="D1238" s="1486"/>
      <c r="E1238" s="1486"/>
      <c r="F1238" s="765">
        <v>2</v>
      </c>
      <c r="G1238" s="740" t="s">
        <v>590</v>
      </c>
      <c r="H1238" s="740"/>
      <c r="I1238" s="740"/>
      <c r="J1238" s="131"/>
      <c r="K1238" s="131"/>
      <c r="L1238" s="69"/>
      <c r="M1238" s="69"/>
      <c r="N1238" s="761"/>
      <c r="O1238" s="69"/>
    </row>
    <row r="1239" spans="2:15" ht="15.75" customHeight="1">
      <c r="B1239" s="760"/>
      <c r="C1239" s="1067"/>
      <c r="D1239" s="1486"/>
      <c r="E1239" s="1487"/>
      <c r="F1239" s="765">
        <v>3</v>
      </c>
      <c r="G1239" s="740" t="s">
        <v>590</v>
      </c>
      <c r="H1239" s="740"/>
      <c r="I1239" s="740"/>
      <c r="J1239" s="131"/>
      <c r="K1239" s="131"/>
      <c r="L1239" s="69"/>
      <c r="M1239" s="69"/>
      <c r="N1239" s="761"/>
      <c r="O1239" s="69"/>
    </row>
    <row r="1240" spans="2:15" ht="15.75" customHeight="1">
      <c r="B1240" s="760"/>
      <c r="C1240" s="1067"/>
      <c r="D1240" s="1486"/>
      <c r="E1240" s="765" t="s">
        <v>1321</v>
      </c>
      <c r="F1240" s="765">
        <v>1</v>
      </c>
      <c r="G1240" s="740" t="s">
        <v>590</v>
      </c>
      <c r="H1240" s="740"/>
      <c r="I1240" s="740"/>
      <c r="J1240" s="131"/>
      <c r="K1240" s="131"/>
      <c r="L1240" s="69"/>
      <c r="M1240" s="69"/>
      <c r="N1240" s="761"/>
      <c r="O1240" s="69"/>
    </row>
    <row r="1241" spans="2:15" ht="15.75" customHeight="1">
      <c r="B1241" s="760"/>
      <c r="C1241" s="1067"/>
      <c r="D1241" s="1486"/>
      <c r="E1241" s="1489" t="s">
        <v>1322</v>
      </c>
      <c r="F1241" s="765">
        <v>1</v>
      </c>
      <c r="G1241" s="740" t="s">
        <v>590</v>
      </c>
      <c r="H1241" s="740"/>
      <c r="I1241" s="740"/>
      <c r="J1241" s="131"/>
      <c r="K1241" s="131"/>
      <c r="L1241" s="69"/>
      <c r="M1241" s="69"/>
      <c r="N1241" s="761"/>
      <c r="O1241" s="69"/>
    </row>
    <row r="1242" spans="2:15" ht="15.75" customHeight="1">
      <c r="B1242" s="760"/>
      <c r="C1242" s="1067"/>
      <c r="D1242" s="1486"/>
      <c r="E1242" s="1490"/>
      <c r="F1242" s="765">
        <v>2</v>
      </c>
      <c r="G1242" s="740" t="s">
        <v>590</v>
      </c>
      <c r="H1242" s="740"/>
      <c r="I1242" s="740"/>
      <c r="J1242" s="131"/>
      <c r="K1242" s="131"/>
      <c r="L1242" s="69"/>
      <c r="M1242" s="69"/>
      <c r="N1242" s="761"/>
      <c r="O1242" s="69"/>
    </row>
    <row r="1243" spans="2:15" ht="15.75" customHeight="1">
      <c r="B1243" s="760"/>
      <c r="C1243" s="1067"/>
      <c r="D1243" s="1487"/>
      <c r="E1243" s="1491"/>
      <c r="F1243" s="765">
        <v>3</v>
      </c>
      <c r="G1243" s="740"/>
      <c r="H1243" s="740"/>
      <c r="I1243" s="740"/>
      <c r="J1243" s="131"/>
      <c r="K1243" s="131"/>
      <c r="L1243" s="69"/>
      <c r="M1243" s="69"/>
      <c r="N1243" s="761"/>
      <c r="O1243" s="69"/>
    </row>
    <row r="1244" spans="2:15" ht="15.75" customHeight="1">
      <c r="B1244" s="760"/>
      <c r="C1244" s="1067"/>
      <c r="D1244" s="1485">
        <v>2022</v>
      </c>
      <c r="E1244" s="1488" t="s">
        <v>1315</v>
      </c>
      <c r="F1244" s="765">
        <v>1</v>
      </c>
      <c r="G1244" s="740" t="s">
        <v>590</v>
      </c>
      <c r="H1244" s="740"/>
      <c r="I1244" s="740"/>
      <c r="J1244" s="131"/>
      <c r="K1244" s="131"/>
      <c r="L1244" s="69"/>
      <c r="M1244" s="69"/>
      <c r="N1244" s="761"/>
      <c r="O1244" s="69"/>
    </row>
    <row r="1245" spans="2:15" ht="15.75" customHeight="1">
      <c r="B1245" s="760"/>
      <c r="C1245" s="1067"/>
      <c r="D1245" s="1486"/>
      <c r="E1245" s="1488"/>
      <c r="F1245" s="765">
        <v>2</v>
      </c>
      <c r="G1245" s="740" t="s">
        <v>590</v>
      </c>
      <c r="H1245" s="740"/>
      <c r="I1245" s="740"/>
      <c r="J1245" s="131"/>
      <c r="K1245" s="131"/>
      <c r="L1245" s="69"/>
      <c r="M1245" s="69"/>
      <c r="N1245" s="761"/>
      <c r="O1245" s="69"/>
    </row>
    <row r="1246" spans="2:15" ht="15.75" customHeight="1">
      <c r="B1246" s="760"/>
      <c r="C1246" s="1067"/>
      <c r="D1246" s="1486"/>
      <c r="E1246" s="1488" t="s">
        <v>1316</v>
      </c>
      <c r="F1246" s="765">
        <v>1</v>
      </c>
      <c r="G1246" s="740" t="s">
        <v>590</v>
      </c>
      <c r="H1246" s="740"/>
      <c r="I1246" s="740"/>
      <c r="J1246" s="131"/>
      <c r="K1246" s="131"/>
      <c r="L1246" s="69"/>
      <c r="M1246" s="69"/>
      <c r="N1246" s="761"/>
      <c r="O1246" s="69"/>
    </row>
    <row r="1247" spans="2:15" ht="15.75" customHeight="1">
      <c r="B1247" s="760"/>
      <c r="C1247" s="1067"/>
      <c r="D1247" s="1486"/>
      <c r="E1247" s="1488"/>
      <c r="F1247" s="765">
        <v>2</v>
      </c>
      <c r="G1247" s="740" t="s">
        <v>590</v>
      </c>
      <c r="H1247" s="740"/>
      <c r="I1247" s="740"/>
      <c r="J1247" s="131"/>
      <c r="K1247" s="131"/>
      <c r="L1247" s="69"/>
      <c r="M1247" s="69"/>
      <c r="N1247" s="761"/>
      <c r="O1247" s="69"/>
    </row>
    <row r="1248" spans="2:15" ht="15.75" customHeight="1">
      <c r="B1248" s="760"/>
      <c r="C1248" s="1067"/>
      <c r="D1248" s="1486"/>
      <c r="E1248" s="1488"/>
      <c r="F1248" s="765">
        <v>3</v>
      </c>
      <c r="G1248" s="740" t="s">
        <v>590</v>
      </c>
      <c r="H1248" s="740"/>
      <c r="I1248" s="740"/>
      <c r="J1248" s="131"/>
      <c r="K1248" s="131"/>
      <c r="L1248" s="69"/>
      <c r="M1248" s="69"/>
      <c r="N1248" s="761"/>
      <c r="O1248" s="69"/>
    </row>
    <row r="1249" spans="2:15" ht="15.75" customHeight="1">
      <c r="B1249" s="760"/>
      <c r="C1249" s="1067"/>
      <c r="D1249" s="1486"/>
      <c r="E1249" s="1488"/>
      <c r="F1249" s="765">
        <v>4</v>
      </c>
      <c r="G1249" s="740" t="s">
        <v>590</v>
      </c>
      <c r="H1249" s="740"/>
      <c r="I1249" s="740"/>
      <c r="J1249" s="131"/>
      <c r="K1249" s="131"/>
      <c r="L1249" s="69"/>
      <c r="M1249" s="69"/>
      <c r="N1249" s="761"/>
      <c r="O1249" s="69"/>
    </row>
    <row r="1250" spans="2:15" ht="15.75" customHeight="1">
      <c r="B1250" s="760"/>
      <c r="C1250" s="1067"/>
      <c r="D1250" s="1486"/>
      <c r="E1250" s="1485" t="s">
        <v>1317</v>
      </c>
      <c r="F1250" s="765">
        <v>1</v>
      </c>
      <c r="G1250" s="740" t="s">
        <v>590</v>
      </c>
      <c r="H1250" s="740"/>
      <c r="I1250" s="740"/>
      <c r="J1250" s="131"/>
      <c r="K1250" s="131"/>
      <c r="L1250" s="69"/>
      <c r="M1250" s="69"/>
      <c r="N1250" s="761"/>
      <c r="O1250" s="69"/>
    </row>
    <row r="1251" spans="2:15" ht="15.75" customHeight="1">
      <c r="B1251" s="760"/>
      <c r="C1251" s="1067"/>
      <c r="D1251" s="1486"/>
      <c r="E1251" s="1486"/>
      <c r="F1251" s="765">
        <v>2</v>
      </c>
      <c r="G1251" s="740" t="s">
        <v>590</v>
      </c>
      <c r="H1251" s="740"/>
      <c r="I1251" s="740"/>
      <c r="J1251" s="131"/>
      <c r="K1251" s="131"/>
      <c r="L1251" s="69"/>
      <c r="M1251" s="69"/>
      <c r="N1251" s="761"/>
      <c r="O1251" s="69"/>
    </row>
    <row r="1252" spans="2:15" ht="15.75" customHeight="1">
      <c r="B1252" s="760"/>
      <c r="C1252" s="1067"/>
      <c r="D1252" s="1486"/>
      <c r="E1252" s="1486"/>
      <c r="F1252" s="765">
        <v>3</v>
      </c>
      <c r="G1252" s="740" t="s">
        <v>590</v>
      </c>
      <c r="H1252" s="740"/>
      <c r="I1252" s="740"/>
      <c r="J1252" s="131"/>
      <c r="K1252" s="131"/>
      <c r="L1252" s="69"/>
      <c r="M1252" s="69"/>
      <c r="N1252" s="761"/>
      <c r="O1252" s="69"/>
    </row>
    <row r="1253" spans="2:15" ht="15.75" customHeight="1">
      <c r="B1253" s="760"/>
      <c r="C1253" s="1067"/>
      <c r="D1253" s="1486"/>
      <c r="E1253" s="1487"/>
      <c r="F1253" s="765">
        <v>4</v>
      </c>
      <c r="G1253" s="740" t="s">
        <v>590</v>
      </c>
      <c r="H1253" s="740"/>
      <c r="I1253" s="740"/>
      <c r="J1253" s="131"/>
      <c r="K1253" s="131"/>
      <c r="L1253" s="69"/>
      <c r="M1253" s="69"/>
      <c r="N1253" s="761"/>
      <c r="O1253" s="69"/>
    </row>
    <row r="1254" spans="2:15" ht="15.75" customHeight="1">
      <c r="B1254" s="760"/>
      <c r="C1254" s="1067"/>
      <c r="D1254" s="1486"/>
      <c r="E1254" s="1488" t="s">
        <v>1318</v>
      </c>
      <c r="F1254" s="765">
        <v>1</v>
      </c>
      <c r="G1254" s="740" t="s">
        <v>590</v>
      </c>
      <c r="H1254" s="740"/>
      <c r="I1254" s="740"/>
      <c r="J1254" s="131"/>
      <c r="K1254" s="131"/>
      <c r="L1254" s="69"/>
      <c r="M1254" s="69"/>
      <c r="N1254" s="761"/>
      <c r="O1254" s="69"/>
    </row>
    <row r="1255" spans="2:15" ht="15.75" customHeight="1">
      <c r="B1255" s="760"/>
      <c r="C1255" s="1067"/>
      <c r="D1255" s="1486"/>
      <c r="E1255" s="1488"/>
      <c r="F1255" s="765">
        <v>2</v>
      </c>
      <c r="G1255" s="740" t="s">
        <v>590</v>
      </c>
      <c r="H1255" s="740"/>
      <c r="I1255" s="740"/>
      <c r="J1255" s="131"/>
      <c r="K1255" s="131"/>
      <c r="L1255" s="69"/>
      <c r="M1255" s="69"/>
      <c r="N1255" s="761"/>
      <c r="O1255" s="69"/>
    </row>
    <row r="1256" spans="2:15" ht="15.75" customHeight="1">
      <c r="B1256" s="760"/>
      <c r="C1256" s="1067"/>
      <c r="D1256" s="1486"/>
      <c r="E1256" s="765" t="s">
        <v>1319</v>
      </c>
      <c r="F1256" s="765">
        <v>1</v>
      </c>
      <c r="G1256" s="740" t="s">
        <v>590</v>
      </c>
      <c r="H1256" s="740"/>
      <c r="I1256" s="740"/>
      <c r="J1256" s="131"/>
      <c r="K1256" s="131"/>
      <c r="L1256" s="69"/>
      <c r="M1256" s="69"/>
      <c r="N1256" s="761"/>
      <c r="O1256" s="69"/>
    </row>
    <row r="1257" spans="2:15" ht="15.75" customHeight="1">
      <c r="B1257" s="760"/>
      <c r="C1257" s="1067"/>
      <c r="D1257" s="1486"/>
      <c r="E1257" s="1485" t="s">
        <v>1320</v>
      </c>
      <c r="F1257" s="765">
        <v>1</v>
      </c>
      <c r="G1257" s="740" t="s">
        <v>590</v>
      </c>
      <c r="H1257" s="740"/>
      <c r="I1257" s="740"/>
      <c r="J1257" s="131"/>
      <c r="K1257" s="131"/>
      <c r="L1257" s="69"/>
      <c r="M1257" s="69"/>
      <c r="N1257" s="761"/>
      <c r="O1257" s="69"/>
    </row>
    <row r="1258" spans="2:15" ht="15.75" customHeight="1">
      <c r="B1258" s="760"/>
      <c r="C1258" s="1067"/>
      <c r="D1258" s="1486"/>
      <c r="E1258" s="1486"/>
      <c r="F1258" s="765">
        <v>2</v>
      </c>
      <c r="G1258" s="740" t="s">
        <v>590</v>
      </c>
      <c r="H1258" s="740"/>
      <c r="I1258" s="740"/>
      <c r="J1258" s="131"/>
      <c r="K1258" s="131"/>
      <c r="L1258" s="69"/>
      <c r="M1258" s="69"/>
      <c r="N1258" s="761"/>
      <c r="O1258" s="69"/>
    </row>
    <row r="1259" spans="2:15" ht="15.75" customHeight="1">
      <c r="B1259" s="760"/>
      <c r="C1259" s="1067"/>
      <c r="D1259" s="1486"/>
      <c r="E1259" s="1487"/>
      <c r="F1259" s="765">
        <v>3</v>
      </c>
      <c r="G1259" s="740" t="s">
        <v>590</v>
      </c>
      <c r="H1259" s="740"/>
      <c r="I1259" s="740"/>
      <c r="J1259" s="131"/>
      <c r="K1259" s="131"/>
      <c r="L1259" s="69"/>
      <c r="M1259" s="69"/>
      <c r="N1259" s="761"/>
      <c r="O1259" s="69"/>
    </row>
    <row r="1260" spans="2:15" ht="15.75" customHeight="1">
      <c r="B1260" s="760"/>
      <c r="C1260" s="1067"/>
      <c r="D1260" s="1486"/>
      <c r="E1260" s="765" t="s">
        <v>1321</v>
      </c>
      <c r="F1260" s="765">
        <v>1</v>
      </c>
      <c r="G1260" s="740" t="s">
        <v>590</v>
      </c>
      <c r="H1260" s="740"/>
      <c r="I1260" s="740"/>
      <c r="J1260" s="131"/>
      <c r="K1260" s="131"/>
      <c r="L1260" s="69"/>
      <c r="M1260" s="69"/>
      <c r="N1260" s="761"/>
      <c r="O1260" s="69"/>
    </row>
    <row r="1261" spans="2:15" ht="15.75" customHeight="1">
      <c r="B1261" s="760"/>
      <c r="C1261" s="1067"/>
      <c r="D1261" s="1486"/>
      <c r="E1261" s="1489" t="s">
        <v>1322</v>
      </c>
      <c r="F1261" s="765">
        <v>1</v>
      </c>
      <c r="G1261" s="740" t="s">
        <v>590</v>
      </c>
      <c r="H1261" s="740"/>
      <c r="I1261" s="740"/>
      <c r="J1261" s="131"/>
      <c r="K1261" s="131"/>
      <c r="L1261" s="69"/>
      <c r="M1261" s="69"/>
      <c r="N1261" s="761"/>
      <c r="O1261" s="69"/>
    </row>
    <row r="1262" spans="2:15" ht="15.75" customHeight="1">
      <c r="B1262" s="760"/>
      <c r="C1262" s="1067"/>
      <c r="D1262" s="1486"/>
      <c r="E1262" s="1490"/>
      <c r="F1262" s="765">
        <v>2</v>
      </c>
      <c r="G1262" s="740" t="s">
        <v>590</v>
      </c>
      <c r="H1262" s="740"/>
      <c r="I1262" s="740"/>
      <c r="J1262" s="131"/>
      <c r="K1262" s="131"/>
      <c r="L1262" s="69"/>
      <c r="M1262" s="69"/>
      <c r="N1262" s="761"/>
      <c r="O1262" s="69"/>
    </row>
    <row r="1263" spans="2:15" ht="15.75" customHeight="1">
      <c r="B1263" s="760"/>
      <c r="C1263" s="1067"/>
      <c r="D1263" s="1487"/>
      <c r="E1263" s="1491"/>
      <c r="F1263" s="765">
        <v>3</v>
      </c>
      <c r="G1263" s="740"/>
      <c r="H1263" s="740"/>
      <c r="I1263" s="740"/>
      <c r="J1263" s="131"/>
      <c r="K1263" s="131"/>
      <c r="L1263" s="69"/>
      <c r="M1263" s="69"/>
      <c r="N1263" s="761"/>
      <c r="O1263" s="69"/>
    </row>
    <row r="1264" spans="2:15" ht="15.75" customHeight="1">
      <c r="B1264" s="760"/>
      <c r="C1264" s="1067"/>
      <c r="D1264" s="1485">
        <v>2023</v>
      </c>
      <c r="E1264" s="1488" t="s">
        <v>1315</v>
      </c>
      <c r="F1264" s="765">
        <v>1</v>
      </c>
      <c r="G1264" s="740" t="s">
        <v>590</v>
      </c>
      <c r="H1264" s="740"/>
      <c r="I1264" s="740"/>
      <c r="J1264" s="131"/>
      <c r="K1264" s="131"/>
      <c r="L1264" s="69"/>
      <c r="M1264" s="69"/>
      <c r="N1264" s="761"/>
      <c r="O1264" s="69"/>
    </row>
    <row r="1265" spans="2:15" ht="15.75" customHeight="1">
      <c r="B1265" s="760"/>
      <c r="C1265" s="1067"/>
      <c r="D1265" s="1486"/>
      <c r="E1265" s="1488"/>
      <c r="F1265" s="765">
        <v>2</v>
      </c>
      <c r="G1265" s="740" t="s">
        <v>590</v>
      </c>
      <c r="H1265" s="740"/>
      <c r="I1265" s="740"/>
      <c r="J1265" s="131"/>
      <c r="K1265" s="131"/>
      <c r="L1265" s="69"/>
      <c r="M1265" s="69"/>
      <c r="N1265" s="761"/>
      <c r="O1265" s="69"/>
    </row>
    <row r="1266" spans="2:15" ht="15.75" customHeight="1">
      <c r="B1266" s="760"/>
      <c r="C1266" s="1067"/>
      <c r="D1266" s="1486"/>
      <c r="E1266" s="1488" t="s">
        <v>1316</v>
      </c>
      <c r="F1266" s="765">
        <v>1</v>
      </c>
      <c r="G1266" s="740" t="s">
        <v>590</v>
      </c>
      <c r="H1266" s="740"/>
      <c r="I1266" s="740"/>
      <c r="J1266" s="131"/>
      <c r="K1266" s="131"/>
      <c r="L1266" s="69"/>
      <c r="M1266" s="69"/>
      <c r="N1266" s="761"/>
      <c r="O1266" s="69"/>
    </row>
    <row r="1267" spans="2:15" ht="15.75" customHeight="1">
      <c r="B1267" s="760"/>
      <c r="C1267" s="1067"/>
      <c r="D1267" s="1486"/>
      <c r="E1267" s="1488"/>
      <c r="F1267" s="765">
        <v>2</v>
      </c>
      <c r="G1267" s="740" t="s">
        <v>590</v>
      </c>
      <c r="H1267" s="740"/>
      <c r="I1267" s="740"/>
      <c r="J1267" s="131"/>
      <c r="K1267" s="131"/>
      <c r="L1267" s="69"/>
      <c r="M1267" s="69"/>
      <c r="N1267" s="761"/>
      <c r="O1267" s="69"/>
    </row>
    <row r="1268" spans="2:15" ht="15.75" customHeight="1">
      <c r="B1268" s="760"/>
      <c r="C1268" s="1067"/>
      <c r="D1268" s="1486"/>
      <c r="E1268" s="1488"/>
      <c r="F1268" s="765">
        <v>3</v>
      </c>
      <c r="G1268" s="740" t="s">
        <v>590</v>
      </c>
      <c r="H1268" s="740"/>
      <c r="I1268" s="740"/>
      <c r="J1268" s="131"/>
      <c r="K1268" s="131"/>
      <c r="L1268" s="69"/>
      <c r="M1268" s="69"/>
      <c r="N1268" s="761"/>
      <c r="O1268" s="69"/>
    </row>
    <row r="1269" spans="2:15" ht="15.75" customHeight="1">
      <c r="B1269" s="760"/>
      <c r="C1269" s="1067"/>
      <c r="D1269" s="1486"/>
      <c r="E1269" s="1488"/>
      <c r="F1269" s="765">
        <v>4</v>
      </c>
      <c r="G1269" s="740" t="s">
        <v>590</v>
      </c>
      <c r="H1269" s="740"/>
      <c r="I1269" s="740"/>
      <c r="J1269" s="131"/>
      <c r="K1269" s="131"/>
      <c r="L1269" s="69"/>
      <c r="M1269" s="69"/>
      <c r="N1269" s="761"/>
      <c r="O1269" s="69"/>
    </row>
    <row r="1270" spans="2:15" ht="15.75" customHeight="1">
      <c r="B1270" s="760"/>
      <c r="C1270" s="1067">
        <v>1</v>
      </c>
      <c r="D1270" s="1486"/>
      <c r="E1270" s="1485" t="s">
        <v>1317</v>
      </c>
      <c r="F1270" s="765">
        <v>1</v>
      </c>
      <c r="G1270" s="740" t="s">
        <v>1360</v>
      </c>
      <c r="H1270" s="740"/>
      <c r="I1270" s="953">
        <v>322332214730</v>
      </c>
      <c r="J1270" s="131"/>
      <c r="K1270" s="131"/>
      <c r="L1270" s="69"/>
      <c r="M1270" s="69"/>
      <c r="N1270" s="761"/>
      <c r="O1270" s="69"/>
    </row>
    <row r="1271" spans="2:15" ht="15.75" customHeight="1">
      <c r="B1271" s="760"/>
      <c r="C1271" s="1067"/>
      <c r="D1271" s="1486"/>
      <c r="E1271" s="1486"/>
      <c r="F1271" s="765">
        <v>2</v>
      </c>
      <c r="G1271" s="740" t="s">
        <v>590</v>
      </c>
      <c r="H1271" s="740"/>
      <c r="I1271" s="740"/>
      <c r="J1271" s="131"/>
      <c r="K1271" s="131"/>
      <c r="L1271" s="69"/>
      <c r="M1271" s="69"/>
      <c r="N1271" s="761"/>
      <c r="O1271" s="69"/>
    </row>
    <row r="1272" spans="2:15" ht="15.75" customHeight="1">
      <c r="B1272" s="760"/>
      <c r="C1272" s="1067"/>
      <c r="D1272" s="1486"/>
      <c r="E1272" s="1486"/>
      <c r="F1272" s="765">
        <v>3</v>
      </c>
      <c r="G1272" s="740" t="s">
        <v>590</v>
      </c>
      <c r="H1272" s="740"/>
      <c r="I1272" s="740"/>
      <c r="J1272" s="131"/>
      <c r="K1272" s="131"/>
      <c r="L1272" s="69"/>
      <c r="M1272" s="69"/>
      <c r="N1272" s="761"/>
      <c r="O1272" s="69"/>
    </row>
    <row r="1273" spans="2:15" ht="15.75" customHeight="1">
      <c r="B1273" s="760"/>
      <c r="C1273" s="1067">
        <v>1</v>
      </c>
      <c r="D1273" s="1486"/>
      <c r="E1273" s="1487"/>
      <c r="F1273" s="765">
        <v>4</v>
      </c>
      <c r="G1273" s="740" t="s">
        <v>1359</v>
      </c>
      <c r="H1273" s="971">
        <v>5935600000</v>
      </c>
      <c r="I1273" s="740"/>
      <c r="J1273" s="131"/>
      <c r="K1273" s="131"/>
      <c r="L1273" s="69"/>
      <c r="M1273" s="69"/>
      <c r="N1273" s="761"/>
      <c r="O1273" s="69"/>
    </row>
    <row r="1274" spans="2:15" ht="15.75" customHeight="1">
      <c r="B1274" s="760"/>
      <c r="C1274" s="1067"/>
      <c r="D1274" s="1486"/>
      <c r="E1274" s="1488" t="s">
        <v>1318</v>
      </c>
      <c r="F1274" s="765">
        <v>1</v>
      </c>
      <c r="G1274" s="740" t="s">
        <v>590</v>
      </c>
      <c r="H1274" s="740"/>
      <c r="I1274" s="740"/>
      <c r="J1274" s="131"/>
      <c r="K1274" s="131"/>
      <c r="L1274" s="69"/>
      <c r="M1274" s="69"/>
      <c r="N1274" s="761"/>
      <c r="O1274" s="69"/>
    </row>
    <row r="1275" spans="2:15" ht="15.75" customHeight="1">
      <c r="B1275" s="760"/>
      <c r="C1275" s="1067"/>
      <c r="D1275" s="1486"/>
      <c r="E1275" s="1488"/>
      <c r="F1275" s="765">
        <v>2</v>
      </c>
      <c r="G1275" s="740" t="s">
        <v>590</v>
      </c>
      <c r="H1275" s="740"/>
      <c r="I1275" s="740"/>
      <c r="J1275" s="131"/>
      <c r="K1275" s="131"/>
      <c r="L1275" s="69"/>
      <c r="M1275" s="69"/>
      <c r="N1275" s="761"/>
      <c r="O1275" s="69"/>
    </row>
    <row r="1276" spans="2:15" ht="15.75" customHeight="1">
      <c r="B1276" s="760"/>
      <c r="C1276" s="1067"/>
      <c r="D1276" s="1486"/>
      <c r="E1276" s="765" t="s">
        <v>1319</v>
      </c>
      <c r="F1276" s="765">
        <v>1</v>
      </c>
      <c r="G1276" s="740" t="s">
        <v>590</v>
      </c>
      <c r="H1276" s="740"/>
      <c r="I1276" s="740"/>
      <c r="J1276" s="131"/>
      <c r="K1276" s="131"/>
      <c r="L1276" s="69"/>
      <c r="M1276" s="69"/>
      <c r="N1276" s="761"/>
      <c r="O1276" s="69"/>
    </row>
    <row r="1277" spans="2:15" ht="15.75" customHeight="1">
      <c r="B1277" s="760"/>
      <c r="C1277" s="1067"/>
      <c r="D1277" s="1486"/>
      <c r="E1277" s="1485" t="s">
        <v>1320</v>
      </c>
      <c r="F1277" s="765">
        <v>1</v>
      </c>
      <c r="G1277" s="740" t="s">
        <v>590</v>
      </c>
      <c r="H1277" s="740"/>
      <c r="I1277" s="740"/>
      <c r="J1277" s="131"/>
      <c r="K1277" s="131"/>
      <c r="L1277" s="69"/>
      <c r="M1277" s="69"/>
      <c r="N1277" s="761"/>
      <c r="O1277" s="69"/>
    </row>
    <row r="1278" spans="2:15" ht="15.75" customHeight="1">
      <c r="B1278" s="760"/>
      <c r="C1278" s="1067"/>
      <c r="D1278" s="1486"/>
      <c r="E1278" s="1486"/>
      <c r="F1278" s="765">
        <v>2</v>
      </c>
      <c r="G1278" s="740" t="s">
        <v>590</v>
      </c>
      <c r="H1278" s="740"/>
      <c r="I1278" s="740"/>
      <c r="J1278" s="131"/>
      <c r="K1278" s="131"/>
      <c r="L1278" s="69"/>
      <c r="M1278" s="69"/>
      <c r="N1278" s="761"/>
      <c r="O1278" s="69"/>
    </row>
    <row r="1279" spans="2:15" ht="15.75" customHeight="1">
      <c r="B1279" s="760"/>
      <c r="C1279" s="1067"/>
      <c r="D1279" s="1486"/>
      <c r="E1279" s="1487"/>
      <c r="F1279" s="765">
        <v>3</v>
      </c>
      <c r="G1279" s="740" t="s">
        <v>590</v>
      </c>
      <c r="H1279" s="740"/>
      <c r="I1279" s="740"/>
      <c r="J1279" s="131"/>
      <c r="K1279" s="131"/>
      <c r="L1279" s="69"/>
      <c r="M1279" s="69"/>
      <c r="N1279" s="761"/>
      <c r="O1279" s="69"/>
    </row>
    <row r="1280" spans="2:15" ht="15.75" customHeight="1">
      <c r="B1280" s="760"/>
      <c r="C1280" s="1067"/>
      <c r="D1280" s="1486"/>
      <c r="E1280" s="765" t="s">
        <v>1321</v>
      </c>
      <c r="F1280" s="765">
        <v>1</v>
      </c>
      <c r="G1280" s="740" t="s">
        <v>590</v>
      </c>
      <c r="H1280" s="740"/>
      <c r="I1280" s="740"/>
      <c r="J1280" s="131"/>
      <c r="K1280" s="131" t="s">
        <v>1361</v>
      </c>
      <c r="L1280" s="69"/>
      <c r="M1280" s="69"/>
      <c r="N1280" s="761"/>
      <c r="O1280" s="69"/>
    </row>
    <row r="1281" spans="2:15" ht="15.75" customHeight="1">
      <c r="B1281" s="760"/>
      <c r="C1281" s="1067"/>
      <c r="D1281" s="1486"/>
      <c r="E1281" s="1489" t="s">
        <v>1322</v>
      </c>
      <c r="F1281" s="765">
        <v>1</v>
      </c>
      <c r="G1281" s="740" t="s">
        <v>590</v>
      </c>
      <c r="H1281" s="740"/>
      <c r="I1281" s="740"/>
      <c r="J1281" s="131"/>
      <c r="K1281" s="131"/>
      <c r="L1281" s="69"/>
      <c r="M1281" s="69"/>
      <c r="N1281" s="761"/>
      <c r="O1281" s="69"/>
    </row>
    <row r="1282" spans="2:15" ht="15.75" customHeight="1">
      <c r="B1282" s="760"/>
      <c r="C1282" s="1067"/>
      <c r="D1282" s="1486"/>
      <c r="E1282" s="1490"/>
      <c r="F1282" s="765">
        <v>2</v>
      </c>
      <c r="G1282" s="740" t="s">
        <v>590</v>
      </c>
      <c r="H1282" s="740"/>
      <c r="I1282" s="740"/>
      <c r="J1282" s="131"/>
      <c r="K1282" s="131"/>
      <c r="L1282" s="69"/>
      <c r="M1282" s="69"/>
      <c r="N1282" s="761"/>
      <c r="O1282" s="69"/>
    </row>
    <row r="1283" spans="2:15" ht="15.75" customHeight="1">
      <c r="B1283" s="760"/>
      <c r="C1283" s="1067"/>
      <c r="D1283" s="1487"/>
      <c r="E1283" s="1491"/>
      <c r="F1283" s="765">
        <v>3</v>
      </c>
      <c r="G1283" s="740"/>
      <c r="H1283" s="740"/>
      <c r="I1283" s="740"/>
      <c r="J1283" s="131"/>
      <c r="K1283" s="131"/>
      <c r="L1283" s="69"/>
      <c r="M1283" s="69"/>
      <c r="N1283" s="761"/>
      <c r="O1283" s="69"/>
    </row>
    <row r="1284" spans="2:15" ht="15.75" customHeight="1">
      <c r="B1284" s="760"/>
      <c r="C1284" s="131"/>
      <c r="D1284" s="131"/>
      <c r="E1284" s="131"/>
      <c r="F1284" s="131"/>
      <c r="G1284" s="1068">
        <f>(4/20)/3</f>
        <v>6.6666666666666666E-2</v>
      </c>
      <c r="H1284" s="131"/>
      <c r="I1284" s="131"/>
      <c r="J1284" s="131"/>
      <c r="K1284" s="131"/>
      <c r="L1284" s="69"/>
      <c r="M1284" s="69"/>
      <c r="N1284" s="761"/>
      <c r="O1284" s="69"/>
    </row>
    <row r="1285" spans="2:15" ht="15.75" customHeight="1">
      <c r="B1285" s="760"/>
      <c r="C1285" s="1484" t="s">
        <v>1362</v>
      </c>
      <c r="D1285" s="1484"/>
      <c r="E1285" s="1484"/>
      <c r="F1285" s="131"/>
      <c r="G1285" s="131"/>
      <c r="H1285" s="974"/>
      <c r="I1285" s="131"/>
      <c r="J1285" s="131"/>
      <c r="K1285" s="131"/>
      <c r="L1285" s="69"/>
      <c r="M1285" s="69"/>
      <c r="N1285" s="761"/>
      <c r="O1285" s="69"/>
    </row>
    <row r="1286" spans="2:15" ht="15.75" customHeight="1">
      <c r="B1286" s="760"/>
      <c r="C1286" s="1484"/>
      <c r="D1286" s="1484"/>
      <c r="E1286" s="1484"/>
      <c r="F1286" s="131"/>
      <c r="G1286" s="131"/>
      <c r="H1286" s="131"/>
      <c r="I1286" s="131"/>
      <c r="J1286" s="131"/>
      <c r="K1286" s="131"/>
      <c r="L1286" s="69"/>
      <c r="M1286" s="69"/>
      <c r="N1286" s="761"/>
      <c r="O1286" s="69"/>
    </row>
    <row r="1287" spans="2:15" ht="15.75" customHeight="1">
      <c r="B1287" s="760"/>
      <c r="C1287" s="1484"/>
      <c r="D1287" s="1484"/>
      <c r="E1287" s="1484"/>
      <c r="F1287" s="131"/>
      <c r="G1287" s="131"/>
      <c r="H1287" s="131"/>
      <c r="I1287" s="131"/>
      <c r="J1287" s="131"/>
      <c r="K1287" s="131"/>
      <c r="L1287" s="69"/>
      <c r="M1287" s="69"/>
      <c r="N1287" s="761"/>
      <c r="O1287" s="69"/>
    </row>
    <row r="1288" spans="2:15" ht="15.75" customHeight="1" thickBot="1">
      <c r="B1288" s="795"/>
      <c r="C1288" s="1069"/>
      <c r="D1288" s="1069"/>
      <c r="E1288" s="1069"/>
      <c r="F1288" s="1069"/>
      <c r="G1288" s="1069"/>
      <c r="H1288" s="1069"/>
      <c r="I1288" s="1069"/>
      <c r="J1288" s="1069"/>
      <c r="K1288" s="1069"/>
      <c r="L1288" s="796"/>
      <c r="M1288" s="796"/>
      <c r="N1288" s="797"/>
      <c r="O1288" s="69"/>
    </row>
    <row r="1289" spans="2:15" ht="15.75" customHeight="1">
      <c r="B1289" s="69"/>
      <c r="C1289" s="69"/>
      <c r="D1289" s="69"/>
      <c r="E1289" s="69"/>
      <c r="F1289" s="69"/>
      <c r="G1289" s="69"/>
      <c r="H1289" s="69"/>
      <c r="I1289" s="69"/>
      <c r="J1289" s="69"/>
      <c r="K1289" s="69"/>
      <c r="L1289" s="69"/>
      <c r="M1289" s="69"/>
      <c r="N1289" s="69"/>
      <c r="O1289" s="69"/>
    </row>
    <row r="1290" spans="2:15" ht="15.75" customHeight="1">
      <c r="B1290" s="69"/>
      <c r="C1290" s="69"/>
      <c r="D1290" s="69"/>
      <c r="E1290" s="69"/>
      <c r="F1290" s="69"/>
      <c r="G1290" s="69"/>
      <c r="H1290" s="69"/>
      <c r="I1290" s="69"/>
      <c r="J1290" s="69"/>
      <c r="K1290" s="69"/>
      <c r="L1290" s="69"/>
      <c r="M1290" s="69"/>
      <c r="N1290" s="69"/>
      <c r="O1290" s="69"/>
    </row>
    <row r="1291" spans="2:15" ht="15.75" customHeight="1">
      <c r="B1291" s="69"/>
      <c r="C1291" s="69"/>
      <c r="D1291" s="69"/>
      <c r="E1291" s="69"/>
      <c r="F1291" s="69"/>
      <c r="G1291" s="69"/>
      <c r="H1291" s="69"/>
      <c r="I1291" s="69"/>
      <c r="J1291" s="69"/>
      <c r="K1291" s="69"/>
      <c r="L1291" s="69"/>
      <c r="M1291" s="69"/>
      <c r="N1291" s="69"/>
      <c r="O1291" s="69"/>
    </row>
    <row r="1292" spans="2:15" ht="15.75" customHeight="1">
      <c r="B1292" s="69"/>
      <c r="C1292" s="69"/>
      <c r="D1292" s="69"/>
      <c r="E1292" s="69"/>
      <c r="F1292" s="69"/>
      <c r="G1292" s="69"/>
      <c r="H1292" s="69"/>
      <c r="I1292" s="69"/>
      <c r="J1292" s="69"/>
      <c r="K1292" s="69"/>
      <c r="L1292" s="69"/>
      <c r="M1292" s="69"/>
      <c r="N1292" s="69"/>
      <c r="O1292" s="69"/>
    </row>
    <row r="1293" spans="2:15" ht="15.75" customHeight="1">
      <c r="B1293" s="69"/>
      <c r="C1293" s="69"/>
      <c r="D1293" s="69"/>
      <c r="E1293" s="69"/>
      <c r="F1293" s="69"/>
      <c r="G1293" s="69"/>
      <c r="H1293" s="69"/>
      <c r="I1293" s="69"/>
      <c r="J1293" s="69"/>
      <c r="K1293" s="69"/>
      <c r="L1293" s="69"/>
      <c r="M1293" s="69"/>
      <c r="N1293" s="69"/>
      <c r="O1293" s="69"/>
    </row>
    <row r="1294" spans="2:15" ht="15.75" customHeight="1">
      <c r="B1294" s="69"/>
      <c r="C1294" s="69"/>
      <c r="D1294" s="69"/>
      <c r="E1294" s="69"/>
      <c r="F1294" s="69"/>
      <c r="G1294" s="69"/>
      <c r="H1294" s="69"/>
      <c r="I1294" s="69"/>
      <c r="J1294" s="69"/>
      <c r="K1294" s="69"/>
      <c r="L1294" s="69"/>
      <c r="M1294" s="69"/>
      <c r="N1294" s="69"/>
      <c r="O1294" s="69"/>
    </row>
    <row r="1295" spans="2:15" ht="15.75" customHeight="1">
      <c r="B1295" s="69"/>
      <c r="C1295" s="69"/>
      <c r="D1295" s="69"/>
      <c r="E1295" s="69"/>
      <c r="F1295" s="69"/>
      <c r="G1295" s="69"/>
      <c r="H1295" s="69"/>
      <c r="I1295" s="69"/>
      <c r="J1295" s="69"/>
      <c r="K1295" s="69"/>
      <c r="L1295" s="69"/>
      <c r="M1295" s="69"/>
      <c r="N1295" s="69"/>
      <c r="O1295" s="69"/>
    </row>
    <row r="1296" spans="2:15" ht="15.75" customHeight="1">
      <c r="B1296" s="69"/>
      <c r="C1296" s="69"/>
      <c r="D1296" s="69"/>
      <c r="E1296" s="69"/>
      <c r="F1296" s="69"/>
      <c r="G1296" s="69"/>
      <c r="H1296" s="69"/>
      <c r="I1296" s="69"/>
      <c r="J1296" s="69"/>
      <c r="K1296" s="69"/>
      <c r="L1296" s="69"/>
      <c r="M1296" s="69"/>
      <c r="N1296" s="69"/>
      <c r="O1296" s="69"/>
    </row>
    <row r="1297" spans="2:15" ht="15.75" customHeight="1">
      <c r="B1297" s="69"/>
      <c r="C1297" s="69"/>
      <c r="D1297" s="69"/>
      <c r="E1297" s="69"/>
      <c r="F1297" s="69"/>
      <c r="G1297" s="69"/>
      <c r="H1297" s="69"/>
      <c r="I1297" s="69"/>
      <c r="J1297" s="69"/>
      <c r="K1297" s="69"/>
      <c r="L1297" s="69"/>
      <c r="M1297" s="69"/>
      <c r="N1297" s="69"/>
      <c r="O1297" s="69"/>
    </row>
    <row r="1298" spans="2:15" ht="15.75" customHeight="1">
      <c r="B1298" s="69"/>
      <c r="C1298" s="69"/>
      <c r="D1298" s="69"/>
      <c r="E1298" s="69"/>
      <c r="F1298" s="69"/>
      <c r="G1298" s="69"/>
      <c r="H1298" s="69"/>
      <c r="I1298" s="69"/>
      <c r="J1298" s="69"/>
      <c r="K1298" s="69"/>
      <c r="L1298" s="69"/>
      <c r="M1298" s="69"/>
      <c r="N1298" s="69"/>
      <c r="O1298" s="69"/>
    </row>
    <row r="1299" spans="2:15" ht="15.75" customHeight="1">
      <c r="B1299" s="69"/>
      <c r="C1299" s="69"/>
      <c r="D1299" s="69"/>
      <c r="E1299" s="69"/>
      <c r="F1299" s="69"/>
      <c r="G1299" s="69"/>
      <c r="H1299" s="69"/>
      <c r="I1299" s="69"/>
      <c r="J1299" s="69"/>
      <c r="K1299" s="69"/>
      <c r="L1299" s="69"/>
      <c r="M1299" s="69"/>
      <c r="N1299" s="69"/>
      <c r="O1299" s="69"/>
    </row>
    <row r="1300" spans="2:15" ht="15.75" customHeight="1">
      <c r="B1300" s="69"/>
      <c r="C1300" s="69"/>
      <c r="D1300" s="69"/>
      <c r="E1300" s="69"/>
      <c r="F1300" s="69"/>
      <c r="G1300" s="69"/>
      <c r="H1300" s="69"/>
      <c r="I1300" s="69"/>
      <c r="J1300" s="69"/>
      <c r="K1300" s="69"/>
      <c r="L1300" s="69"/>
      <c r="M1300" s="69"/>
      <c r="N1300" s="69"/>
      <c r="O1300" s="69"/>
    </row>
    <row r="1301" spans="2:15" ht="15.75" customHeight="1">
      <c r="B1301" s="69"/>
      <c r="C1301" s="69"/>
      <c r="D1301" s="69"/>
      <c r="E1301" s="69"/>
      <c r="F1301" s="69"/>
      <c r="G1301" s="69"/>
      <c r="H1301" s="69"/>
      <c r="I1301" s="69"/>
      <c r="J1301" s="69"/>
      <c r="K1301" s="69"/>
      <c r="L1301" s="69"/>
      <c r="M1301" s="69"/>
      <c r="N1301" s="69"/>
      <c r="O1301" s="69"/>
    </row>
    <row r="1302" spans="2:15" ht="15.75" customHeight="1"/>
    <row r="1303" spans="2:15" ht="15.75" customHeight="1"/>
    <row r="1304" spans="2:15" ht="15.75" customHeight="1"/>
    <row r="1305" spans="2:15" ht="15.75" customHeight="1"/>
    <row r="1306" spans="2:15" ht="15.75" customHeight="1"/>
    <row r="1307" spans="2:15" ht="15.75" customHeight="1"/>
    <row r="1308" spans="2:15" ht="15.75" customHeight="1"/>
    <row r="1309" spans="2:15" ht="15.75" customHeight="1"/>
    <row r="1310" spans="2:15" ht="15.75" customHeight="1"/>
    <row r="1311" spans="2:15" ht="15.75" customHeight="1"/>
    <row r="1312" spans="2:15"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sheetData>
  <mergeCells count="310">
    <mergeCell ref="B1:L5"/>
    <mergeCell ref="C8:L8"/>
    <mergeCell ref="C10:E10"/>
    <mergeCell ref="C11:E11"/>
    <mergeCell ref="C12:E12"/>
    <mergeCell ref="C13:E13"/>
    <mergeCell ref="D32:D33"/>
    <mergeCell ref="E32:G32"/>
    <mergeCell ref="H32:H33"/>
    <mergeCell ref="D38:L38"/>
    <mergeCell ref="N43:N45"/>
    <mergeCell ref="O43:O44"/>
    <mergeCell ref="D14:L14"/>
    <mergeCell ref="D16:L16"/>
    <mergeCell ref="H19:I21"/>
    <mergeCell ref="D22:E22"/>
    <mergeCell ref="D26:L26"/>
    <mergeCell ref="D29:L29"/>
    <mergeCell ref="AD43:AD44"/>
    <mergeCell ref="AE43:AE44"/>
    <mergeCell ref="AF43:AF44"/>
    <mergeCell ref="AG43:AG44"/>
    <mergeCell ref="D45:I45"/>
    <mergeCell ref="K57:K58"/>
    <mergeCell ref="N58:Q58"/>
    <mergeCell ref="U58:X58"/>
    <mergeCell ref="AB58:AE58"/>
    <mergeCell ref="W43:W44"/>
    <mergeCell ref="X43:X44"/>
    <mergeCell ref="Y43:Y44"/>
    <mergeCell ref="Z43:Z44"/>
    <mergeCell ref="AB43:AB45"/>
    <mergeCell ref="AC43:AC44"/>
    <mergeCell ref="P43:P44"/>
    <mergeCell ref="Q43:Q44"/>
    <mergeCell ref="R43:R44"/>
    <mergeCell ref="S43:S44"/>
    <mergeCell ref="U43:U45"/>
    <mergeCell ref="V43:V44"/>
    <mergeCell ref="C148:P148"/>
    <mergeCell ref="C149:P149"/>
    <mergeCell ref="C151:C152"/>
    <mergeCell ref="D151:F152"/>
    <mergeCell ref="G151:G152"/>
    <mergeCell ref="H151:H152"/>
    <mergeCell ref="K151:M151"/>
    <mergeCell ref="F121:F122"/>
    <mergeCell ref="Q121:Q122"/>
    <mergeCell ref="F128:F129"/>
    <mergeCell ref="Q128:Q129"/>
    <mergeCell ref="F135:F136"/>
    <mergeCell ref="Q135:Q136"/>
    <mergeCell ref="D153:F153"/>
    <mergeCell ref="C190:P190"/>
    <mergeCell ref="C191:P191"/>
    <mergeCell ref="C193:C194"/>
    <mergeCell ref="D193:F194"/>
    <mergeCell ref="G193:G194"/>
    <mergeCell ref="H193:H194"/>
    <mergeCell ref="J193:J194"/>
    <mergeCell ref="K193:M193"/>
    <mergeCell ref="D195:F195"/>
    <mergeCell ref="C232:P232"/>
    <mergeCell ref="C233:P233"/>
    <mergeCell ref="C235:C236"/>
    <mergeCell ref="D235:F236"/>
    <mergeCell ref="G235:G236"/>
    <mergeCell ref="H235:H236"/>
    <mergeCell ref="J235:J236"/>
    <mergeCell ref="K235:M235"/>
    <mergeCell ref="L293:M293"/>
    <mergeCell ref="N293:O293"/>
    <mergeCell ref="D304:J304"/>
    <mergeCell ref="D237:F237"/>
    <mergeCell ref="D274:J274"/>
    <mergeCell ref="D281:D282"/>
    <mergeCell ref="E281:E282"/>
    <mergeCell ref="D289:E289"/>
    <mergeCell ref="D291:F291"/>
    <mergeCell ref="D306:J306"/>
    <mergeCell ref="D313:J313"/>
    <mergeCell ref="D326:J326"/>
    <mergeCell ref="D331:J331"/>
    <mergeCell ref="D344:J344"/>
    <mergeCell ref="D349:J349"/>
    <mergeCell ref="F293:G293"/>
    <mergeCell ref="H293:I293"/>
    <mergeCell ref="J293:K293"/>
    <mergeCell ref="E368:F368"/>
    <mergeCell ref="G368:H368"/>
    <mergeCell ref="E369:F369"/>
    <mergeCell ref="G369:H369"/>
    <mergeCell ref="E370:F370"/>
    <mergeCell ref="G370:H370"/>
    <mergeCell ref="E365:F365"/>
    <mergeCell ref="G365:H365"/>
    <mergeCell ref="E366:F366"/>
    <mergeCell ref="G366:H366"/>
    <mergeCell ref="E367:F367"/>
    <mergeCell ref="G367:H367"/>
    <mergeCell ref="D395:J395"/>
    <mergeCell ref="G403:H403"/>
    <mergeCell ref="D414:J414"/>
    <mergeCell ref="D422:J422"/>
    <mergeCell ref="D423:F423"/>
    <mergeCell ref="D439:J439"/>
    <mergeCell ref="D373:J373"/>
    <mergeCell ref="D380:J380"/>
    <mergeCell ref="P380:V380"/>
    <mergeCell ref="D386:G386"/>
    <mergeCell ref="P386:S386"/>
    <mergeCell ref="D388:J388"/>
    <mergeCell ref="P388:V388"/>
    <mergeCell ref="D493:D494"/>
    <mergeCell ref="D495:D496"/>
    <mergeCell ref="D498:E498"/>
    <mergeCell ref="D499:D500"/>
    <mergeCell ref="D501:D502"/>
    <mergeCell ref="D503:D504"/>
    <mergeCell ref="D477:J477"/>
    <mergeCell ref="D483:D484"/>
    <mergeCell ref="D485:D486"/>
    <mergeCell ref="D487:D488"/>
    <mergeCell ref="D489:D490"/>
    <mergeCell ref="D491:D492"/>
    <mergeCell ref="D539:E539"/>
    <mergeCell ref="D540:E540"/>
    <mergeCell ref="D542:L542"/>
    <mergeCell ref="D557:D561"/>
    <mergeCell ref="D563:L563"/>
    <mergeCell ref="D566:L566"/>
    <mergeCell ref="D505:J505"/>
    <mergeCell ref="D515:J515"/>
    <mergeCell ref="D528:J528"/>
    <mergeCell ref="D535:L535"/>
    <mergeCell ref="D537:E537"/>
    <mergeCell ref="D538:E538"/>
    <mergeCell ref="G579:H579"/>
    <mergeCell ref="G580:H580"/>
    <mergeCell ref="G581:H581"/>
    <mergeCell ref="D582:J582"/>
    <mergeCell ref="D584:L584"/>
    <mergeCell ref="D586:L586"/>
    <mergeCell ref="D572:L572"/>
    <mergeCell ref="G574:H574"/>
    <mergeCell ref="G575:H575"/>
    <mergeCell ref="G576:H576"/>
    <mergeCell ref="G577:H577"/>
    <mergeCell ref="G578:H578"/>
    <mergeCell ref="D644:L644"/>
    <mergeCell ref="D645:L645"/>
    <mergeCell ref="D646:D647"/>
    <mergeCell ref="E646:E647"/>
    <mergeCell ref="F646:G646"/>
    <mergeCell ref="H646:I646"/>
    <mergeCell ref="J646:K647"/>
    <mergeCell ref="F588:F597"/>
    <mergeCell ref="G588:G597"/>
    <mergeCell ref="D599:L599"/>
    <mergeCell ref="D608:L608"/>
    <mergeCell ref="D625:L625"/>
    <mergeCell ref="D627:F627"/>
    <mergeCell ref="G627:I627"/>
    <mergeCell ref="J627:L627"/>
    <mergeCell ref="D657:L657"/>
    <mergeCell ref="D658:L658"/>
    <mergeCell ref="D660:L660"/>
    <mergeCell ref="D662:L662"/>
    <mergeCell ref="D663:F663"/>
    <mergeCell ref="D664:F664"/>
    <mergeCell ref="J648:K648"/>
    <mergeCell ref="D650:L650"/>
    <mergeCell ref="D653:L653"/>
    <mergeCell ref="D654:L654"/>
    <mergeCell ref="D655:L655"/>
    <mergeCell ref="D656:L656"/>
    <mergeCell ref="E707:N708"/>
    <mergeCell ref="E714:N715"/>
    <mergeCell ref="E718:N719"/>
    <mergeCell ref="G739:H739"/>
    <mergeCell ref="G740:H740"/>
    <mergeCell ref="G741:H741"/>
    <mergeCell ref="D665:F665"/>
    <mergeCell ref="D667:L667"/>
    <mergeCell ref="D672:F672"/>
    <mergeCell ref="D673:F673"/>
    <mergeCell ref="D675:L675"/>
    <mergeCell ref="E682:N683"/>
    <mergeCell ref="G748:H748"/>
    <mergeCell ref="G749:H749"/>
    <mergeCell ref="G750:H750"/>
    <mergeCell ref="G751:H751"/>
    <mergeCell ref="G752:H752"/>
    <mergeCell ref="G753:H753"/>
    <mergeCell ref="G742:H742"/>
    <mergeCell ref="G743:H743"/>
    <mergeCell ref="G744:H744"/>
    <mergeCell ref="G745:H745"/>
    <mergeCell ref="G746:H746"/>
    <mergeCell ref="G747:H747"/>
    <mergeCell ref="G760:H760"/>
    <mergeCell ref="G761:H761"/>
    <mergeCell ref="G762:H762"/>
    <mergeCell ref="G763:H763"/>
    <mergeCell ref="E767:N767"/>
    <mergeCell ref="E772:N773"/>
    <mergeCell ref="G754:H754"/>
    <mergeCell ref="G755:H755"/>
    <mergeCell ref="G756:H756"/>
    <mergeCell ref="G757:H757"/>
    <mergeCell ref="G758:H758"/>
    <mergeCell ref="G759:H759"/>
    <mergeCell ref="F861:G861"/>
    <mergeCell ref="H861:I861"/>
    <mergeCell ref="J861:K861"/>
    <mergeCell ref="F862:G862"/>
    <mergeCell ref="H862:I862"/>
    <mergeCell ref="J862:K862"/>
    <mergeCell ref="E778:N779"/>
    <mergeCell ref="E782:N783"/>
    <mergeCell ref="E800:N801"/>
    <mergeCell ref="D828:J828"/>
    <mergeCell ref="D847:K853"/>
    <mergeCell ref="D855:K857"/>
    <mergeCell ref="E878:M879"/>
    <mergeCell ref="D890:D892"/>
    <mergeCell ref="E890:I890"/>
    <mergeCell ref="D893:D895"/>
    <mergeCell ref="D897:I897"/>
    <mergeCell ref="G900:H900"/>
    <mergeCell ref="F863:G863"/>
    <mergeCell ref="H863:I863"/>
    <mergeCell ref="J863:K863"/>
    <mergeCell ref="F864:G864"/>
    <mergeCell ref="H864:I864"/>
    <mergeCell ref="J864:K864"/>
    <mergeCell ref="D913:I913"/>
    <mergeCell ref="D918:D920"/>
    <mergeCell ref="E918:I918"/>
    <mergeCell ref="D921:D923"/>
    <mergeCell ref="D925:I925"/>
    <mergeCell ref="G928:H928"/>
    <mergeCell ref="G901:H901"/>
    <mergeCell ref="G902:H902"/>
    <mergeCell ref="G903:H903"/>
    <mergeCell ref="E904:F904"/>
    <mergeCell ref="G904:H904"/>
    <mergeCell ref="D907:D909"/>
    <mergeCell ref="E907:I907"/>
    <mergeCell ref="D941:I941"/>
    <mergeCell ref="D945:D947"/>
    <mergeCell ref="E945:I945"/>
    <mergeCell ref="D949:I949"/>
    <mergeCell ref="D965:F965"/>
    <mergeCell ref="D966:I966"/>
    <mergeCell ref="G929:H929"/>
    <mergeCell ref="G930:H930"/>
    <mergeCell ref="G931:H931"/>
    <mergeCell ref="E932:F932"/>
    <mergeCell ref="G932:H932"/>
    <mergeCell ref="D935:D937"/>
    <mergeCell ref="E935:I935"/>
    <mergeCell ref="D990:I990"/>
    <mergeCell ref="E992:M992"/>
    <mergeCell ref="D1052:E1052"/>
    <mergeCell ref="D1053:E1053"/>
    <mergeCell ref="D1070:D1077"/>
    <mergeCell ref="D1078:D1085"/>
    <mergeCell ref="D970:J970"/>
    <mergeCell ref="D975:E975"/>
    <mergeCell ref="D976:I976"/>
    <mergeCell ref="D981:E981"/>
    <mergeCell ref="D984:D986"/>
    <mergeCell ref="E984:I984"/>
    <mergeCell ref="D1168:D1175"/>
    <mergeCell ref="D1182:D1190"/>
    <mergeCell ref="D1192:E1193"/>
    <mergeCell ref="D1200:H1200"/>
    <mergeCell ref="D1205:G1205"/>
    <mergeCell ref="D1210:D1211"/>
    <mergeCell ref="D1086:D1093"/>
    <mergeCell ref="D1100:D1108"/>
    <mergeCell ref="D1119:D1126"/>
    <mergeCell ref="D1133:D1141"/>
    <mergeCell ref="D1152:D1159"/>
    <mergeCell ref="D1160:D1167"/>
    <mergeCell ref="D1213:D1214"/>
    <mergeCell ref="C1216:F1218"/>
    <mergeCell ref="D1224:D1243"/>
    <mergeCell ref="E1224:E1225"/>
    <mergeCell ref="E1226:E1229"/>
    <mergeCell ref="E1230:E1233"/>
    <mergeCell ref="E1234:E1235"/>
    <mergeCell ref="E1237:E1239"/>
    <mergeCell ref="E1241:E1243"/>
    <mergeCell ref="C1285:E1287"/>
    <mergeCell ref="D1264:D1283"/>
    <mergeCell ref="E1264:E1265"/>
    <mergeCell ref="E1266:E1269"/>
    <mergeCell ref="E1270:E1273"/>
    <mergeCell ref="E1274:E1275"/>
    <mergeCell ref="E1277:E1279"/>
    <mergeCell ref="E1281:E1283"/>
    <mergeCell ref="D1244:D1263"/>
    <mergeCell ref="E1244:E1245"/>
    <mergeCell ref="E1246:E1249"/>
    <mergeCell ref="E1250:E1253"/>
    <mergeCell ref="E1254:E1255"/>
    <mergeCell ref="E1257:E1259"/>
    <mergeCell ref="E1261:E1263"/>
  </mergeCells>
  <pageMargins left="0.7" right="0.7" top="0.75" bottom="0.75" header="0" footer="0"/>
  <pageSetup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DA0D-ECD5-4639-81F2-5419D3516B69}">
  <sheetPr>
    <tabColor theme="1"/>
  </sheetPr>
  <dimension ref="A1:AA751"/>
  <sheetViews>
    <sheetView showGridLines="0" topLeftCell="A21" zoomScale="57" zoomScaleNormal="57" workbookViewId="0">
      <selection activeCell="A21" sqref="A21"/>
    </sheetView>
  </sheetViews>
  <sheetFormatPr defaultColWidth="14.3984375" defaultRowHeight="15" customHeight="1"/>
  <cols>
    <col min="1" max="1" width="8.59765625" style="219" customWidth="1"/>
    <col min="2" max="2" width="19" style="219" customWidth="1"/>
    <col min="3" max="3" width="18.86328125" style="219" customWidth="1"/>
    <col min="4" max="4" width="16.59765625" style="219" customWidth="1"/>
    <col min="5" max="21" width="16.3984375" style="219" customWidth="1"/>
    <col min="22" max="22" width="37.1328125" style="219" customWidth="1"/>
    <col min="23" max="34" width="16.3984375" style="219" customWidth="1"/>
    <col min="35" max="16384" width="14.3984375" style="219"/>
  </cols>
  <sheetData>
    <row r="1" spans="1:10" ht="13.5" customHeight="1">
      <c r="A1" s="221" t="s">
        <v>29</v>
      </c>
      <c r="B1" s="278"/>
      <c r="C1" s="224"/>
      <c r="D1" s="278"/>
      <c r="E1" s="278"/>
      <c r="F1" s="278"/>
      <c r="G1" s="278"/>
      <c r="H1" s="278"/>
      <c r="I1" s="278"/>
      <c r="J1" s="278"/>
    </row>
    <row r="2" spans="1:10" ht="13.5" customHeight="1" thickBot="1">
      <c r="A2" s="278"/>
      <c r="B2" s="278"/>
      <c r="C2" s="224"/>
      <c r="D2" s="278"/>
      <c r="E2" s="278"/>
      <c r="F2" s="278"/>
      <c r="G2" s="278"/>
      <c r="H2" s="278"/>
      <c r="I2" s="278"/>
      <c r="J2" s="278"/>
    </row>
    <row r="3" spans="1:10" ht="18" customHeight="1">
      <c r="A3" s="278"/>
      <c r="B3" s="1711" t="s">
        <v>1363</v>
      </c>
      <c r="C3" s="1689" t="s">
        <v>1222</v>
      </c>
      <c r="D3" s="1692">
        <v>5</v>
      </c>
      <c r="E3" s="1701" t="s">
        <v>1364</v>
      </c>
      <c r="F3" s="1702" t="s">
        <v>1365</v>
      </c>
      <c r="G3" s="1703" t="s">
        <v>1366</v>
      </c>
      <c r="H3" s="1699" t="s">
        <v>1367</v>
      </c>
      <c r="I3" s="1699" t="s">
        <v>1368</v>
      </c>
      <c r="J3" s="278"/>
    </row>
    <row r="4" spans="1:10" ht="18" customHeight="1">
      <c r="A4" s="278"/>
      <c r="B4" s="1712"/>
      <c r="C4" s="1690"/>
      <c r="D4" s="1693"/>
      <c r="E4" s="1696"/>
      <c r="F4" s="1686"/>
      <c r="G4" s="1686"/>
      <c r="H4" s="1686"/>
      <c r="I4" s="1686"/>
      <c r="J4" s="278"/>
    </row>
    <row r="5" spans="1:10" ht="18" customHeight="1">
      <c r="A5" s="278"/>
      <c r="B5" s="1712"/>
      <c r="C5" s="1690"/>
      <c r="D5" s="1693"/>
      <c r="E5" s="1696"/>
      <c r="F5" s="1686"/>
      <c r="G5" s="1686"/>
      <c r="H5" s="1686"/>
      <c r="I5" s="1686"/>
      <c r="J5" s="278"/>
    </row>
    <row r="6" spans="1:10" ht="18" customHeight="1">
      <c r="A6" s="278"/>
      <c r="B6" s="1712"/>
      <c r="C6" s="1690"/>
      <c r="D6" s="1693"/>
      <c r="E6" s="1696"/>
      <c r="F6" s="1686"/>
      <c r="G6" s="1686"/>
      <c r="H6" s="1686"/>
      <c r="I6" s="1686"/>
      <c r="J6" s="278"/>
    </row>
    <row r="7" spans="1:10" ht="18" customHeight="1">
      <c r="A7" s="278"/>
      <c r="B7" s="1712"/>
      <c r="C7" s="1691"/>
      <c r="D7" s="1694"/>
      <c r="E7" s="1697"/>
      <c r="F7" s="1687"/>
      <c r="G7" s="1687"/>
      <c r="H7" s="1687"/>
      <c r="I7" s="1687"/>
      <c r="J7" s="278"/>
    </row>
    <row r="8" spans="1:10" ht="18" customHeight="1">
      <c r="A8" s="278"/>
      <c r="B8" s="1712"/>
      <c r="C8" s="1689" t="s">
        <v>1221</v>
      </c>
      <c r="D8" s="1692">
        <v>4</v>
      </c>
      <c r="E8" s="1695" t="s">
        <v>1369</v>
      </c>
      <c r="F8" s="1698" t="s">
        <v>1370</v>
      </c>
      <c r="G8" s="1700" t="s">
        <v>1371</v>
      </c>
      <c r="H8" s="1685" t="s">
        <v>1372</v>
      </c>
      <c r="I8" s="1688" t="s">
        <v>1373</v>
      </c>
      <c r="J8" s="278"/>
    </row>
    <row r="9" spans="1:10" ht="18" customHeight="1">
      <c r="A9" s="278"/>
      <c r="B9" s="1712"/>
      <c r="C9" s="1690"/>
      <c r="D9" s="1693"/>
      <c r="E9" s="1696"/>
      <c r="F9" s="1686"/>
      <c r="G9" s="1686"/>
      <c r="H9" s="1686"/>
      <c r="I9" s="1686"/>
      <c r="J9" s="278"/>
    </row>
    <row r="10" spans="1:10" ht="18" customHeight="1">
      <c r="A10" s="278"/>
      <c r="B10" s="1712"/>
      <c r="C10" s="1690"/>
      <c r="D10" s="1693"/>
      <c r="E10" s="1696"/>
      <c r="F10" s="1686"/>
      <c r="G10" s="1686"/>
      <c r="H10" s="1686"/>
      <c r="I10" s="1686"/>
      <c r="J10" s="278"/>
    </row>
    <row r="11" spans="1:10" ht="18" customHeight="1">
      <c r="A11" s="278"/>
      <c r="B11" s="1712"/>
      <c r="C11" s="1690"/>
      <c r="D11" s="1693"/>
      <c r="E11" s="1696"/>
      <c r="F11" s="1686"/>
      <c r="G11" s="1686"/>
      <c r="H11" s="1686"/>
      <c r="I11" s="1686"/>
      <c r="J11" s="278"/>
    </row>
    <row r="12" spans="1:10" ht="18" customHeight="1">
      <c r="A12" s="278"/>
      <c r="B12" s="1712"/>
      <c r="C12" s="1691"/>
      <c r="D12" s="1694"/>
      <c r="E12" s="1697"/>
      <c r="F12" s="1687"/>
      <c r="G12" s="1687"/>
      <c r="H12" s="1687"/>
      <c r="I12" s="1687"/>
      <c r="J12" s="278"/>
    </row>
    <row r="13" spans="1:10" ht="18" customHeight="1">
      <c r="A13" s="278"/>
      <c r="B13" s="1712"/>
      <c r="C13" s="1689" t="s">
        <v>1220</v>
      </c>
      <c r="D13" s="1692">
        <v>3</v>
      </c>
      <c r="E13" s="1695" t="s">
        <v>1374</v>
      </c>
      <c r="F13" s="1698" t="s">
        <v>1375</v>
      </c>
      <c r="G13" s="1700" t="s">
        <v>1376</v>
      </c>
      <c r="H13" s="1685" t="s">
        <v>1377</v>
      </c>
      <c r="I13" s="1688" t="s">
        <v>1378</v>
      </c>
      <c r="J13" s="278"/>
    </row>
    <row r="14" spans="1:10" ht="18" customHeight="1">
      <c r="A14" s="278"/>
      <c r="B14" s="1712"/>
      <c r="C14" s="1690"/>
      <c r="D14" s="1693"/>
      <c r="E14" s="1696"/>
      <c r="F14" s="1686"/>
      <c r="G14" s="1686"/>
      <c r="H14" s="1686"/>
      <c r="I14" s="1686"/>
      <c r="J14" s="278"/>
    </row>
    <row r="15" spans="1:10" ht="18" customHeight="1">
      <c r="A15" s="278"/>
      <c r="B15" s="1712"/>
      <c r="C15" s="1690"/>
      <c r="D15" s="1693"/>
      <c r="E15" s="1696"/>
      <c r="F15" s="1686"/>
      <c r="G15" s="1686"/>
      <c r="H15" s="1686"/>
      <c r="I15" s="1686"/>
      <c r="J15" s="278"/>
    </row>
    <row r="16" spans="1:10" ht="18" customHeight="1">
      <c r="A16" s="278"/>
      <c r="B16" s="1712"/>
      <c r="C16" s="1690"/>
      <c r="D16" s="1693"/>
      <c r="E16" s="1696"/>
      <c r="F16" s="1686"/>
      <c r="G16" s="1686"/>
      <c r="H16" s="1686"/>
      <c r="I16" s="1686"/>
      <c r="J16" s="278"/>
    </row>
    <row r="17" spans="1:10" ht="18" customHeight="1">
      <c r="A17" s="278"/>
      <c r="B17" s="1712"/>
      <c r="C17" s="1691"/>
      <c r="D17" s="1694"/>
      <c r="E17" s="1697"/>
      <c r="F17" s="1687"/>
      <c r="G17" s="1687"/>
      <c r="H17" s="1687"/>
      <c r="I17" s="1687"/>
      <c r="J17" s="278"/>
    </row>
    <row r="18" spans="1:10" ht="18" customHeight="1">
      <c r="A18" s="278"/>
      <c r="B18" s="1712"/>
      <c r="C18" s="1689" t="s">
        <v>1219</v>
      </c>
      <c r="D18" s="1692">
        <v>2</v>
      </c>
      <c r="E18" s="1695" t="s">
        <v>1379</v>
      </c>
      <c r="F18" s="1698" t="s">
        <v>1380</v>
      </c>
      <c r="G18" s="1698" t="s">
        <v>1381</v>
      </c>
      <c r="H18" s="1685" t="s">
        <v>1382</v>
      </c>
      <c r="I18" s="1688" t="s">
        <v>1383</v>
      </c>
      <c r="J18" s="278"/>
    </row>
    <row r="19" spans="1:10" ht="18" customHeight="1">
      <c r="A19" s="278"/>
      <c r="B19" s="1712"/>
      <c r="C19" s="1690"/>
      <c r="D19" s="1693"/>
      <c r="E19" s="1696"/>
      <c r="F19" s="1686"/>
      <c r="G19" s="1686"/>
      <c r="H19" s="1686"/>
      <c r="I19" s="1686"/>
      <c r="J19" s="278"/>
    </row>
    <row r="20" spans="1:10" ht="18" customHeight="1">
      <c r="A20" s="278"/>
      <c r="B20" s="1712"/>
      <c r="C20" s="1690"/>
      <c r="D20" s="1693"/>
      <c r="E20" s="1696"/>
      <c r="F20" s="1686"/>
      <c r="G20" s="1686"/>
      <c r="H20" s="1686"/>
      <c r="I20" s="1686"/>
      <c r="J20" s="278"/>
    </row>
    <row r="21" spans="1:10" ht="18" customHeight="1">
      <c r="A21" s="278"/>
      <c r="B21" s="1712"/>
      <c r="C21" s="1690"/>
      <c r="D21" s="1693"/>
      <c r="E21" s="1696"/>
      <c r="F21" s="1686"/>
      <c r="G21" s="1686"/>
      <c r="H21" s="1686"/>
      <c r="I21" s="1686"/>
      <c r="J21" s="278"/>
    </row>
    <row r="22" spans="1:10" ht="18" customHeight="1">
      <c r="A22" s="278"/>
      <c r="B22" s="1712"/>
      <c r="C22" s="1691"/>
      <c r="D22" s="1694"/>
      <c r="E22" s="1697"/>
      <c r="F22" s="1687"/>
      <c r="G22" s="1687"/>
      <c r="H22" s="1687"/>
      <c r="I22" s="1687"/>
      <c r="J22" s="278"/>
    </row>
    <row r="23" spans="1:10" ht="18" customHeight="1">
      <c r="A23" s="278"/>
      <c r="B23" s="1712"/>
      <c r="C23" s="1689" t="s">
        <v>1384</v>
      </c>
      <c r="D23" s="1692">
        <v>1</v>
      </c>
      <c r="E23" s="1695" t="s">
        <v>1385</v>
      </c>
      <c r="F23" s="1715" t="s">
        <v>1386</v>
      </c>
      <c r="G23" s="1698" t="s">
        <v>1387</v>
      </c>
      <c r="H23" s="1700" t="s">
        <v>1388</v>
      </c>
      <c r="I23" s="1688" t="s">
        <v>1389</v>
      </c>
      <c r="J23" s="278"/>
    </row>
    <row r="24" spans="1:10" ht="18" customHeight="1">
      <c r="A24" s="278"/>
      <c r="B24" s="1712"/>
      <c r="C24" s="1690"/>
      <c r="D24" s="1693"/>
      <c r="E24" s="1696"/>
      <c r="F24" s="1686"/>
      <c r="G24" s="1686"/>
      <c r="H24" s="1686"/>
      <c r="I24" s="1686"/>
      <c r="J24" s="278"/>
    </row>
    <row r="25" spans="1:10" ht="18" customHeight="1">
      <c r="A25" s="278"/>
      <c r="B25" s="1712"/>
      <c r="C25" s="1690"/>
      <c r="D25" s="1693"/>
      <c r="E25" s="1696"/>
      <c r="F25" s="1686"/>
      <c r="G25" s="1686"/>
      <c r="H25" s="1686"/>
      <c r="I25" s="1686"/>
      <c r="J25" s="278"/>
    </row>
    <row r="26" spans="1:10" ht="18" customHeight="1">
      <c r="A26" s="278"/>
      <c r="B26" s="1712"/>
      <c r="C26" s="1690"/>
      <c r="D26" s="1693"/>
      <c r="E26" s="1696"/>
      <c r="F26" s="1686"/>
      <c r="G26" s="1686"/>
      <c r="H26" s="1686"/>
      <c r="I26" s="1686"/>
      <c r="J26" s="278"/>
    </row>
    <row r="27" spans="1:10" ht="18" customHeight="1" thickBot="1">
      <c r="A27" s="278"/>
      <c r="B27" s="1712"/>
      <c r="C27" s="1690"/>
      <c r="D27" s="1693"/>
      <c r="E27" s="1714"/>
      <c r="F27" s="1713"/>
      <c r="G27" s="1713"/>
      <c r="H27" s="1713"/>
      <c r="I27" s="1713"/>
      <c r="J27" s="278"/>
    </row>
    <row r="28" spans="1:10" ht="36" customHeight="1">
      <c r="A28" s="278"/>
      <c r="B28" s="1707" t="s">
        <v>1390</v>
      </c>
      <c r="C28" s="1707"/>
      <c r="D28" s="1707"/>
      <c r="E28" s="331">
        <v>1</v>
      </c>
      <c r="F28" s="333">
        <v>2</v>
      </c>
      <c r="G28" s="333">
        <v>3</v>
      </c>
      <c r="H28" s="333">
        <v>4</v>
      </c>
      <c r="I28" s="333">
        <v>5</v>
      </c>
      <c r="J28" s="278"/>
    </row>
    <row r="29" spans="1:10" ht="36" customHeight="1">
      <c r="A29" s="224"/>
      <c r="B29" s="1707"/>
      <c r="C29" s="1707"/>
      <c r="D29" s="1707"/>
      <c r="E29" s="332" t="s">
        <v>1195</v>
      </c>
      <c r="F29" s="334" t="s">
        <v>1196</v>
      </c>
      <c r="G29" s="334" t="s">
        <v>1197</v>
      </c>
      <c r="H29" s="334" t="s">
        <v>1198</v>
      </c>
      <c r="I29" s="334" t="s">
        <v>1199</v>
      </c>
      <c r="J29" s="224"/>
    </row>
    <row r="30" spans="1:10" ht="36" customHeight="1">
      <c r="A30" s="278"/>
      <c r="B30" s="1707"/>
      <c r="C30" s="1707"/>
      <c r="D30" s="1707"/>
      <c r="E30" s="1704" t="s">
        <v>1391</v>
      </c>
      <c r="F30" s="1705"/>
      <c r="G30" s="1705"/>
      <c r="H30" s="1705"/>
      <c r="I30" s="1705"/>
      <c r="J30" s="278"/>
    </row>
    <row r="31" spans="1:10" ht="13.5" customHeight="1">
      <c r="A31" s="278"/>
      <c r="B31" s="278"/>
      <c r="C31" s="224"/>
      <c r="D31" s="278"/>
      <c r="E31" s="278"/>
      <c r="F31" s="278"/>
      <c r="G31" s="278"/>
      <c r="H31" s="278"/>
      <c r="I31" s="278"/>
      <c r="J31" s="278"/>
    </row>
    <row r="32" spans="1:10" ht="13.5" customHeight="1" thickBot="1">
      <c r="A32" s="278"/>
      <c r="B32" s="293"/>
      <c r="C32" s="224"/>
      <c r="D32" s="278"/>
      <c r="E32" s="294"/>
      <c r="F32" s="278"/>
      <c r="G32" s="278"/>
      <c r="H32" s="278"/>
      <c r="I32" s="278"/>
      <c r="J32" s="278"/>
    </row>
    <row r="33" spans="1:22" ht="60.95" customHeight="1">
      <c r="A33" s="278"/>
      <c r="B33" s="1711" t="s">
        <v>1363</v>
      </c>
      <c r="C33" s="281" t="s">
        <v>1222</v>
      </c>
      <c r="D33" s="282">
        <v>5</v>
      </c>
      <c r="E33" s="283">
        <v>7</v>
      </c>
      <c r="F33" s="284">
        <v>12</v>
      </c>
      <c r="G33" s="285">
        <v>17</v>
      </c>
      <c r="H33" s="286">
        <v>22</v>
      </c>
      <c r="I33" s="286">
        <v>25</v>
      </c>
      <c r="J33" s="278"/>
      <c r="L33" s="297" t="s">
        <v>1392</v>
      </c>
      <c r="M33" s="297" t="s">
        <v>255</v>
      </c>
      <c r="N33" s="297" t="s">
        <v>1393</v>
      </c>
      <c r="O33" s="297"/>
      <c r="P33" s="297" t="s">
        <v>1394</v>
      </c>
      <c r="Q33" s="297" t="s">
        <v>295</v>
      </c>
      <c r="R33" s="297"/>
      <c r="V33" s="361" t="s">
        <v>1395</v>
      </c>
    </row>
    <row r="34" spans="1:22" ht="60.95" customHeight="1">
      <c r="A34" s="278"/>
      <c r="B34" s="1712"/>
      <c r="C34" s="281" t="s">
        <v>1221</v>
      </c>
      <c r="D34" s="282">
        <v>4</v>
      </c>
      <c r="E34" s="287">
        <v>4</v>
      </c>
      <c r="F34" s="288">
        <v>9</v>
      </c>
      <c r="G34" s="289">
        <v>14</v>
      </c>
      <c r="H34" s="290">
        <v>19</v>
      </c>
      <c r="I34" s="291">
        <v>24</v>
      </c>
      <c r="J34" s="278"/>
      <c r="L34" s="297" t="s">
        <v>1396</v>
      </c>
      <c r="M34" s="297" t="s">
        <v>316</v>
      </c>
      <c r="N34" s="297" t="s">
        <v>1397</v>
      </c>
      <c r="O34" s="297"/>
      <c r="P34" s="297" t="s">
        <v>1398</v>
      </c>
      <c r="Q34" s="297" t="s">
        <v>259</v>
      </c>
      <c r="R34" s="297" t="s">
        <v>295</v>
      </c>
      <c r="V34" s="361" t="s">
        <v>1399</v>
      </c>
    </row>
    <row r="35" spans="1:22" ht="60.95" customHeight="1">
      <c r="A35" s="278"/>
      <c r="B35" s="1712"/>
      <c r="C35" s="281" t="s">
        <v>1220</v>
      </c>
      <c r="D35" s="282">
        <v>3</v>
      </c>
      <c r="E35" s="287">
        <v>3</v>
      </c>
      <c r="F35" s="288">
        <v>8</v>
      </c>
      <c r="G35" s="289">
        <v>13</v>
      </c>
      <c r="H35" s="290">
        <v>18</v>
      </c>
      <c r="I35" s="291">
        <v>23</v>
      </c>
      <c r="J35" s="278"/>
      <c r="L35" s="297"/>
      <c r="M35" s="297"/>
      <c r="N35" s="297" t="s">
        <v>1400</v>
      </c>
      <c r="O35" s="297"/>
      <c r="P35" s="297" t="s">
        <v>1401</v>
      </c>
      <c r="Q35" s="297" t="s">
        <v>259</v>
      </c>
      <c r="R35" s="297"/>
      <c r="V35" s="361" t="s">
        <v>1402</v>
      </c>
    </row>
    <row r="36" spans="1:22" ht="60.95" customHeight="1">
      <c r="A36" s="278"/>
      <c r="B36" s="1712"/>
      <c r="C36" s="281" t="s">
        <v>1219</v>
      </c>
      <c r="D36" s="282">
        <v>2</v>
      </c>
      <c r="E36" s="287">
        <v>2</v>
      </c>
      <c r="F36" s="288">
        <v>6</v>
      </c>
      <c r="G36" s="288">
        <v>11</v>
      </c>
      <c r="H36" s="290">
        <v>16</v>
      </c>
      <c r="I36" s="291">
        <v>21</v>
      </c>
      <c r="J36" s="278"/>
      <c r="L36" s="297"/>
      <c r="M36" s="297"/>
      <c r="N36" s="297" t="s">
        <v>1403</v>
      </c>
      <c r="O36" s="297"/>
      <c r="P36" s="297" t="s">
        <v>1404</v>
      </c>
      <c r="Q36" s="297" t="s">
        <v>259</v>
      </c>
      <c r="R36" s="297" t="s">
        <v>295</v>
      </c>
      <c r="V36" s="361" t="s">
        <v>239</v>
      </c>
    </row>
    <row r="37" spans="1:22" ht="60.95" customHeight="1">
      <c r="A37" s="278"/>
      <c r="B37" s="1712"/>
      <c r="C37" s="281" t="s">
        <v>1384</v>
      </c>
      <c r="D37" s="282">
        <v>1</v>
      </c>
      <c r="E37" s="287">
        <v>1</v>
      </c>
      <c r="F37" s="292">
        <v>5</v>
      </c>
      <c r="G37" s="288">
        <v>10</v>
      </c>
      <c r="H37" s="289">
        <v>15</v>
      </c>
      <c r="I37" s="291">
        <v>20</v>
      </c>
      <c r="J37" s="278"/>
      <c r="L37" s="297"/>
      <c r="M37" s="297"/>
      <c r="N37" s="297"/>
      <c r="O37" s="297"/>
      <c r="P37" s="297" t="s">
        <v>1405</v>
      </c>
      <c r="Q37" s="297" t="s">
        <v>259</v>
      </c>
      <c r="R37" s="297" t="s">
        <v>1406</v>
      </c>
      <c r="V37" s="361" t="s">
        <v>1407</v>
      </c>
    </row>
    <row r="38" spans="1:22" ht="36" customHeight="1">
      <c r="A38" s="278"/>
      <c r="B38" s="1707" t="s">
        <v>1408</v>
      </c>
      <c r="C38" s="1707"/>
      <c r="D38" s="1708" t="s">
        <v>189</v>
      </c>
      <c r="E38" s="331">
        <v>1</v>
      </c>
      <c r="F38" s="333">
        <v>2</v>
      </c>
      <c r="G38" s="333">
        <v>3</v>
      </c>
      <c r="H38" s="333">
        <v>4</v>
      </c>
      <c r="I38" s="333">
        <v>5</v>
      </c>
      <c r="J38" s="278"/>
      <c r="L38" s="368"/>
      <c r="M38" s="368"/>
      <c r="N38" s="368"/>
      <c r="O38" s="368"/>
      <c r="P38" s="368"/>
      <c r="V38" s="361" t="s">
        <v>1409</v>
      </c>
    </row>
    <row r="39" spans="1:22" ht="36" customHeight="1">
      <c r="A39" s="224"/>
      <c r="B39" s="1707"/>
      <c r="C39" s="1707"/>
      <c r="D39" s="1709"/>
      <c r="E39" s="332" t="s">
        <v>1195</v>
      </c>
      <c r="F39" s="334" t="s">
        <v>1196</v>
      </c>
      <c r="G39" s="334" t="s">
        <v>1197</v>
      </c>
      <c r="H39" s="334" t="s">
        <v>1198</v>
      </c>
      <c r="I39" s="334" t="s">
        <v>1199</v>
      </c>
      <c r="J39" s="224"/>
      <c r="L39" s="368"/>
      <c r="M39" s="368"/>
      <c r="N39" s="368"/>
      <c r="O39" s="368"/>
      <c r="P39" s="368"/>
      <c r="V39" s="361" t="s">
        <v>1410</v>
      </c>
    </row>
    <row r="40" spans="1:22" ht="33.4">
      <c r="A40" s="278"/>
      <c r="B40" s="1707"/>
      <c r="C40" s="1707"/>
      <c r="D40" s="1710"/>
      <c r="E40" s="1704" t="s">
        <v>1391</v>
      </c>
      <c r="F40" s="1705"/>
      <c r="G40" s="1705"/>
      <c r="H40" s="1705"/>
      <c r="I40" s="1705"/>
      <c r="J40" s="278"/>
      <c r="V40" s="361" t="s">
        <v>1411</v>
      </c>
    </row>
    <row r="41" spans="1:22" ht="33.4">
      <c r="A41" s="278"/>
      <c r="B41" s="278"/>
      <c r="C41" s="224"/>
      <c r="D41" s="278"/>
      <c r="E41" s="278"/>
      <c r="F41" s="278"/>
      <c r="G41" s="278"/>
      <c r="H41" s="278"/>
      <c r="I41" s="278"/>
      <c r="J41" s="278"/>
      <c r="L41" s="220" t="s">
        <v>1394</v>
      </c>
      <c r="M41" s="1105" t="s">
        <v>1412</v>
      </c>
      <c r="N41" s="220" t="s">
        <v>1401</v>
      </c>
      <c r="O41" s="1105" t="s">
        <v>1413</v>
      </c>
      <c r="P41" s="309" t="s">
        <v>1405</v>
      </c>
      <c r="V41" s="361" t="s">
        <v>267</v>
      </c>
    </row>
    <row r="42" spans="1:22" ht="33.4">
      <c r="A42" s="278"/>
      <c r="B42" s="278"/>
      <c r="C42" s="224"/>
      <c r="D42" s="278"/>
      <c r="E42" s="278"/>
      <c r="F42" s="278"/>
      <c r="G42" s="278"/>
      <c r="H42" s="278"/>
      <c r="I42" s="278"/>
      <c r="J42" s="278"/>
      <c r="L42" s="368" t="s">
        <v>295</v>
      </c>
      <c r="M42" s="368" t="s">
        <v>259</v>
      </c>
      <c r="N42" s="368" t="s">
        <v>259</v>
      </c>
      <c r="O42" s="368" t="s">
        <v>259</v>
      </c>
      <c r="P42" s="368" t="s">
        <v>259</v>
      </c>
      <c r="V42" s="361" t="s">
        <v>1414</v>
      </c>
    </row>
    <row r="43" spans="1:22" s="297" customFormat="1" ht="33.4">
      <c r="A43" s="295"/>
      <c r="B43" s="295" t="s">
        <v>1415</v>
      </c>
      <c r="C43" s="296"/>
      <c r="D43" s="295"/>
      <c r="E43" s="296"/>
      <c r="F43" s="295"/>
      <c r="G43" s="295"/>
      <c r="H43" s="295"/>
      <c r="I43" s="295"/>
      <c r="J43" s="295"/>
      <c r="L43" s="219"/>
      <c r="M43" s="219" t="s">
        <v>295</v>
      </c>
      <c r="N43" s="219"/>
      <c r="O43" s="219" t="s">
        <v>1416</v>
      </c>
      <c r="P43" s="219" t="s">
        <v>1406</v>
      </c>
      <c r="V43" s="361" t="s">
        <v>1417</v>
      </c>
    </row>
    <row r="44" spans="1:22" s="297" customFormat="1" ht="33.4">
      <c r="A44" s="295"/>
      <c r="B44" s="295" t="s">
        <v>1418</v>
      </c>
      <c r="C44" s="296"/>
      <c r="D44" s="295"/>
      <c r="E44" s="298"/>
      <c r="F44" s="295"/>
      <c r="G44" s="295"/>
      <c r="H44" s="295"/>
      <c r="I44" s="295"/>
      <c r="J44" s="295"/>
      <c r="L44" s="219"/>
      <c r="M44" s="219"/>
      <c r="N44" s="219"/>
      <c r="O44" s="219"/>
      <c r="V44" s="361" t="s">
        <v>1419</v>
      </c>
    </row>
    <row r="45" spans="1:22" s="297" customFormat="1" ht="23.25" customHeight="1">
      <c r="A45" s="295"/>
      <c r="B45" s="295" t="s">
        <v>1420</v>
      </c>
      <c r="C45" s="296"/>
      <c r="D45" s="295"/>
      <c r="E45" s="298"/>
      <c r="F45" s="295"/>
      <c r="G45" s="295"/>
      <c r="H45" s="295"/>
      <c r="I45" s="295"/>
      <c r="J45" s="295"/>
      <c r="L45" s="219"/>
      <c r="M45" s="219"/>
      <c r="N45" s="219"/>
      <c r="O45" s="219"/>
      <c r="P45" s="219"/>
      <c r="V45" s="361" t="s">
        <v>1421</v>
      </c>
    </row>
    <row r="46" spans="1:22" s="297" customFormat="1" ht="23.25" customHeight="1">
      <c r="A46" s="295"/>
      <c r="B46" s="295" t="s">
        <v>1422</v>
      </c>
      <c r="C46" s="296"/>
      <c r="D46" s="295"/>
      <c r="E46" s="298"/>
      <c r="F46" s="295"/>
      <c r="G46" s="295"/>
      <c r="H46" s="295"/>
      <c r="I46" s="295"/>
      <c r="J46" s="295"/>
      <c r="L46" s="219"/>
      <c r="M46" s="219"/>
      <c r="N46" s="219"/>
      <c r="O46" s="219"/>
      <c r="V46" s="361" t="s">
        <v>1423</v>
      </c>
    </row>
    <row r="47" spans="1:22" s="297" customFormat="1" ht="23.25" customHeight="1">
      <c r="A47" s="295"/>
      <c r="B47" s="295" t="s">
        <v>1424</v>
      </c>
      <c r="C47" s="296"/>
      <c r="D47" s="295"/>
      <c r="E47" s="298"/>
      <c r="F47" s="295"/>
      <c r="G47" s="295"/>
      <c r="H47" s="295"/>
      <c r="I47" s="295"/>
      <c r="J47" s="295"/>
      <c r="V47" s="361" t="s">
        <v>1425</v>
      </c>
    </row>
    <row r="48" spans="1:22" s="297" customFormat="1" ht="23.25" customHeight="1">
      <c r="A48" s="295"/>
      <c r="B48" s="293"/>
      <c r="C48" s="296"/>
      <c r="D48" s="295"/>
      <c r="E48" s="298"/>
      <c r="F48" s="295"/>
      <c r="G48" s="295"/>
      <c r="H48" s="295"/>
      <c r="I48" s="295"/>
      <c r="J48" s="295"/>
      <c r="V48" s="361" t="s">
        <v>1426</v>
      </c>
    </row>
    <row r="49" spans="1:27" s="301" customFormat="1" ht="23.25" customHeight="1">
      <c r="A49" s="299"/>
      <c r="B49" s="1706" t="s">
        <v>174</v>
      </c>
      <c r="C49" s="1706"/>
      <c r="D49" s="1706"/>
      <c r="E49" s="300">
        <v>1</v>
      </c>
      <c r="F49" s="300">
        <v>4</v>
      </c>
      <c r="G49" s="300">
        <v>7</v>
      </c>
      <c r="H49" s="300">
        <v>10</v>
      </c>
      <c r="I49" s="300">
        <v>13</v>
      </c>
      <c r="J49" s="300">
        <v>16</v>
      </c>
      <c r="K49" s="300">
        <v>17</v>
      </c>
      <c r="L49" s="300">
        <v>18</v>
      </c>
      <c r="M49" s="300">
        <v>19</v>
      </c>
      <c r="N49" s="300">
        <v>20</v>
      </c>
      <c r="O49" s="300">
        <v>21</v>
      </c>
      <c r="P49" s="300">
        <v>22</v>
      </c>
      <c r="Q49" s="300">
        <v>23</v>
      </c>
      <c r="R49" s="300">
        <v>24</v>
      </c>
      <c r="S49" s="300">
        <v>25</v>
      </c>
    </row>
    <row r="50" spans="1:27" s="297" customFormat="1" ht="57" customHeight="1">
      <c r="A50" s="295"/>
      <c r="B50" s="1706" t="s">
        <v>1427</v>
      </c>
      <c r="C50" s="1706"/>
      <c r="D50" s="1706"/>
      <c r="E50" s="302" t="s">
        <v>1394</v>
      </c>
      <c r="F50" s="302" t="s">
        <v>1394</v>
      </c>
      <c r="G50" s="303" t="s">
        <v>1428</v>
      </c>
      <c r="H50" s="303" t="s">
        <v>1428</v>
      </c>
      <c r="I50" s="304" t="s">
        <v>1429</v>
      </c>
      <c r="J50" s="305" t="s">
        <v>1404</v>
      </c>
      <c r="K50" s="305" t="s">
        <v>1404</v>
      </c>
      <c r="L50" s="305" t="s">
        <v>1404</v>
      </c>
      <c r="M50" s="305" t="s">
        <v>1404</v>
      </c>
      <c r="N50" s="306" t="s">
        <v>1405</v>
      </c>
      <c r="O50" s="306" t="s">
        <v>1405</v>
      </c>
      <c r="P50" s="306" t="s">
        <v>1405</v>
      </c>
      <c r="Q50" s="306" t="s">
        <v>1405</v>
      </c>
      <c r="R50" s="306" t="s">
        <v>1405</v>
      </c>
      <c r="S50" s="306" t="s">
        <v>1405</v>
      </c>
    </row>
    <row r="51" spans="1:27" s="297" customFormat="1" ht="23.25" customHeight="1">
      <c r="A51" s="295"/>
      <c r="B51" s="293"/>
      <c r="C51" s="296"/>
      <c r="D51" s="307"/>
      <c r="F51" s="295"/>
      <c r="G51" s="307"/>
      <c r="H51" s="295"/>
      <c r="I51" s="307"/>
      <c r="J51" s="309"/>
      <c r="K51" s="308"/>
      <c r="M51" s="307"/>
      <c r="O51" s="307"/>
    </row>
    <row r="52" spans="1:27" s="297" customFormat="1" ht="23.25" customHeight="1">
      <c r="A52" s="295"/>
      <c r="B52" s="310" t="s">
        <v>1390</v>
      </c>
      <c r="C52" s="311"/>
      <c r="D52" s="307"/>
      <c r="F52" s="295"/>
      <c r="G52" s="307"/>
      <c r="H52" s="295"/>
      <c r="I52" s="307"/>
      <c r="J52" s="309"/>
      <c r="K52" s="308"/>
      <c r="M52" s="307"/>
      <c r="O52" s="307"/>
    </row>
    <row r="53" spans="1:27" s="299" customFormat="1" ht="23.25" customHeight="1">
      <c r="B53" s="1706" t="s">
        <v>1430</v>
      </c>
      <c r="C53" s="1706"/>
      <c r="D53" s="312" t="s">
        <v>1194</v>
      </c>
      <c r="E53" s="300">
        <v>1</v>
      </c>
      <c r="F53" s="300">
        <v>4</v>
      </c>
      <c r="G53" s="300">
        <v>7</v>
      </c>
      <c r="H53" s="300">
        <v>10</v>
      </c>
      <c r="I53" s="300">
        <v>13</v>
      </c>
      <c r="J53" s="300">
        <v>16</v>
      </c>
      <c r="K53" s="312">
        <v>17</v>
      </c>
      <c r="L53" s="300">
        <v>18</v>
      </c>
      <c r="M53" s="300">
        <v>19</v>
      </c>
      <c r="N53" s="312">
        <v>20</v>
      </c>
      <c r="O53" s="300">
        <v>21</v>
      </c>
      <c r="P53" s="300">
        <v>22</v>
      </c>
      <c r="Q53" s="312">
        <v>23</v>
      </c>
      <c r="R53" s="300">
        <v>24</v>
      </c>
      <c r="S53" s="300">
        <v>25</v>
      </c>
      <c r="V53" s="299" t="s">
        <v>1431</v>
      </c>
    </row>
    <row r="54" spans="1:27" s="299" customFormat="1" ht="23.25" customHeight="1">
      <c r="B54" s="313"/>
      <c r="C54" s="314">
        <v>1</v>
      </c>
      <c r="D54" s="312">
        <f>'[10]Risiko Inheren Kuantitatif'!O9</f>
        <v>9</v>
      </c>
      <c r="E54" s="312" t="s">
        <v>1432</v>
      </c>
      <c r="F54" s="312" t="s">
        <v>1432</v>
      </c>
      <c r="G54" s="312" t="s">
        <v>1432</v>
      </c>
      <c r="H54" s="312" t="s">
        <v>1432</v>
      </c>
      <c r="I54" s="312" t="s">
        <v>1432</v>
      </c>
      <c r="J54" s="312" t="s">
        <v>1432</v>
      </c>
      <c r="K54" s="312" t="s">
        <v>1432</v>
      </c>
      <c r="L54" s="312" t="s">
        <v>1432</v>
      </c>
      <c r="M54" s="312" t="s">
        <v>1432</v>
      </c>
      <c r="N54" s="312" t="s">
        <v>1432</v>
      </c>
      <c r="O54" s="312" t="s">
        <v>1432</v>
      </c>
      <c r="P54" s="312" t="s">
        <v>1432</v>
      </c>
      <c r="Q54" s="312" t="s">
        <v>1432</v>
      </c>
      <c r="R54" s="312" t="s">
        <v>1432</v>
      </c>
      <c r="S54" s="300"/>
      <c r="V54" s="299" t="s">
        <v>1433</v>
      </c>
    </row>
    <row r="55" spans="1:27" s="299" customFormat="1" ht="23.25" customHeight="1">
      <c r="B55" s="313"/>
      <c r="C55" s="314">
        <v>2</v>
      </c>
      <c r="D55" s="300">
        <f>'[10]Risiko Inheren Kuantitatif'!O10</f>
        <v>19</v>
      </c>
      <c r="E55" s="312" t="s">
        <v>1432</v>
      </c>
      <c r="F55" s="312" t="s">
        <v>1432</v>
      </c>
      <c r="G55" s="312" t="s">
        <v>1432</v>
      </c>
      <c r="H55" s="312" t="s">
        <v>1432</v>
      </c>
      <c r="I55" s="312" t="s">
        <v>1432</v>
      </c>
      <c r="J55" s="312" t="s">
        <v>1432</v>
      </c>
      <c r="K55" s="312" t="s">
        <v>1432</v>
      </c>
      <c r="L55" s="312" t="s">
        <v>1432</v>
      </c>
      <c r="M55" s="312" t="s">
        <v>1434</v>
      </c>
      <c r="N55" s="312" t="s">
        <v>1432</v>
      </c>
      <c r="O55" s="312" t="s">
        <v>1432</v>
      </c>
      <c r="P55" s="312" t="s">
        <v>1432</v>
      </c>
      <c r="Q55" s="312" t="s">
        <v>1432</v>
      </c>
      <c r="R55" s="312" t="s">
        <v>1432</v>
      </c>
      <c r="S55" s="300"/>
      <c r="V55" s="299" t="s">
        <v>260</v>
      </c>
    </row>
    <row r="56" spans="1:27" s="299" customFormat="1" ht="23.25" customHeight="1">
      <c r="B56" s="313"/>
      <c r="C56" s="314">
        <v>3</v>
      </c>
      <c r="D56" s="300">
        <f>'[10]Risiko Inheren Kuantitatif'!O11</f>
        <v>11</v>
      </c>
      <c r="E56" s="312" t="s">
        <v>1432</v>
      </c>
      <c r="F56" s="312" t="s">
        <v>1432</v>
      </c>
      <c r="G56" s="312" t="s">
        <v>1432</v>
      </c>
      <c r="H56" s="312" t="s">
        <v>1432</v>
      </c>
      <c r="I56" s="312" t="s">
        <v>1432</v>
      </c>
      <c r="J56" s="312" t="s">
        <v>1435</v>
      </c>
      <c r="K56" s="312" t="s">
        <v>1432</v>
      </c>
      <c r="L56" s="312" t="s">
        <v>1432</v>
      </c>
      <c r="M56" s="312" t="s">
        <v>1432</v>
      </c>
      <c r="N56" s="312" t="s">
        <v>1432</v>
      </c>
      <c r="O56" s="312" t="s">
        <v>1432</v>
      </c>
      <c r="P56" s="312" t="s">
        <v>1432</v>
      </c>
      <c r="Q56" s="312" t="s">
        <v>1432</v>
      </c>
      <c r="R56" s="312" t="s">
        <v>1432</v>
      </c>
      <c r="S56" s="300"/>
      <c r="V56" s="299" t="s">
        <v>1436</v>
      </c>
    </row>
    <row r="57" spans="1:27" s="299" customFormat="1" ht="23.25" customHeight="1">
      <c r="B57" s="313"/>
      <c r="C57" s="314">
        <v>4</v>
      </c>
      <c r="D57" s="300">
        <f>'[10]Risiko Inheren Kuantitatif'!O12</f>
        <v>18</v>
      </c>
      <c r="E57" s="312" t="s">
        <v>1432</v>
      </c>
      <c r="F57" s="312" t="s">
        <v>1432</v>
      </c>
      <c r="G57" s="312" t="s">
        <v>1432</v>
      </c>
      <c r="H57" s="312" t="s">
        <v>1432</v>
      </c>
      <c r="I57" s="312" t="s">
        <v>1437</v>
      </c>
      <c r="J57" s="312" t="s">
        <v>1432</v>
      </c>
      <c r="K57" s="312" t="s">
        <v>1432</v>
      </c>
      <c r="L57" s="312" t="s">
        <v>1432</v>
      </c>
      <c r="M57" s="312" t="s">
        <v>1432</v>
      </c>
      <c r="N57" s="312" t="s">
        <v>1432</v>
      </c>
      <c r="O57" s="312" t="s">
        <v>1432</v>
      </c>
      <c r="P57" s="312" t="s">
        <v>1432</v>
      </c>
      <c r="Q57" s="312" t="s">
        <v>1432</v>
      </c>
      <c r="R57" s="312" t="s">
        <v>1432</v>
      </c>
      <c r="S57" s="300"/>
      <c r="V57" s="299" t="s">
        <v>350</v>
      </c>
    </row>
    <row r="58" spans="1:27" s="299" customFormat="1" ht="23.25" customHeight="1">
      <c r="B58" s="313"/>
      <c r="C58" s="314">
        <v>5</v>
      </c>
      <c r="D58" s="300">
        <f>'[10]Risiko Inheren Kualitatif'!O9</f>
        <v>1</v>
      </c>
      <c r="E58" s="312" t="s">
        <v>1438</v>
      </c>
      <c r="F58" s="312" t="s">
        <v>1432</v>
      </c>
      <c r="G58" s="312" t="s">
        <v>1432</v>
      </c>
      <c r="H58" s="312" t="s">
        <v>1432</v>
      </c>
      <c r="I58" s="312" t="s">
        <v>1432</v>
      </c>
      <c r="J58" s="312" t="s">
        <v>1432</v>
      </c>
      <c r="K58" s="312" t="s">
        <v>1432</v>
      </c>
      <c r="L58" s="312" t="s">
        <v>1432</v>
      </c>
      <c r="M58" s="312" t="s">
        <v>1432</v>
      </c>
      <c r="N58" s="312" t="s">
        <v>1432</v>
      </c>
      <c r="O58" s="312" t="s">
        <v>1432</v>
      </c>
      <c r="P58" s="312" t="s">
        <v>1432</v>
      </c>
      <c r="Q58" s="312" t="s">
        <v>1432</v>
      </c>
      <c r="R58" s="312" t="s">
        <v>1432</v>
      </c>
      <c r="S58" s="300"/>
    </row>
    <row r="59" spans="1:27" s="299" customFormat="1" ht="23.25" customHeight="1">
      <c r="B59" s="313"/>
      <c r="C59" s="314">
        <v>6</v>
      </c>
      <c r="D59" s="300">
        <f>'[10]Risiko Inheren Kualitatif'!O10</f>
        <v>13</v>
      </c>
      <c r="E59" s="312"/>
      <c r="F59" s="312" t="s">
        <v>1432</v>
      </c>
      <c r="G59" s="312" t="s">
        <v>1432</v>
      </c>
      <c r="H59" s="312" t="s">
        <v>1432</v>
      </c>
      <c r="I59" s="312" t="s">
        <v>1439</v>
      </c>
      <c r="J59" s="312" t="s">
        <v>1432</v>
      </c>
      <c r="K59" s="312" t="s">
        <v>1432</v>
      </c>
      <c r="L59" s="312" t="s">
        <v>1432</v>
      </c>
      <c r="M59" s="312" t="s">
        <v>1432</v>
      </c>
      <c r="N59" s="312" t="s">
        <v>1432</v>
      </c>
      <c r="O59" s="312" t="s">
        <v>1432</v>
      </c>
      <c r="P59" s="312" t="s">
        <v>1432</v>
      </c>
      <c r="Q59" s="312" t="s">
        <v>1432</v>
      </c>
      <c r="R59" s="312" t="s">
        <v>1432</v>
      </c>
      <c r="S59" s="300"/>
    </row>
    <row r="60" spans="1:27" s="299" customFormat="1" ht="23.25" customHeight="1">
      <c r="B60" s="313"/>
      <c r="C60" s="314">
        <v>7</v>
      </c>
      <c r="D60" s="300">
        <f>'[10]Risiko Inheren Kualitatif'!O11</f>
        <v>13</v>
      </c>
      <c r="E60" s="312"/>
      <c r="F60" s="312" t="s">
        <v>1432</v>
      </c>
      <c r="G60" s="312" t="s">
        <v>1432</v>
      </c>
      <c r="H60" s="312" t="s">
        <v>1432</v>
      </c>
      <c r="I60" s="312" t="s">
        <v>1440</v>
      </c>
      <c r="J60" s="312" t="s">
        <v>1432</v>
      </c>
      <c r="K60" s="312" t="s">
        <v>1432</v>
      </c>
      <c r="L60" s="312" t="s">
        <v>1432</v>
      </c>
      <c r="M60" s="312" t="s">
        <v>1432</v>
      </c>
      <c r="N60" s="312" t="s">
        <v>1432</v>
      </c>
      <c r="O60" s="312" t="s">
        <v>1432</v>
      </c>
      <c r="P60" s="312" t="s">
        <v>1432</v>
      </c>
      <c r="Q60" s="312" t="s">
        <v>1432</v>
      </c>
      <c r="R60" s="312" t="s">
        <v>1432</v>
      </c>
      <c r="S60" s="300"/>
    </row>
    <row r="61" spans="1:27" s="299" customFormat="1" ht="23.25" customHeight="1">
      <c r="B61" s="313"/>
      <c r="C61" s="314">
        <v>8</v>
      </c>
      <c r="D61" s="300">
        <f>'[10]Risiko Inheren Kualitatif'!O12</f>
        <v>14</v>
      </c>
      <c r="E61" s="312"/>
      <c r="F61" s="312" t="s">
        <v>1432</v>
      </c>
      <c r="G61" s="312" t="s">
        <v>1432</v>
      </c>
      <c r="H61" s="312" t="s">
        <v>1432</v>
      </c>
      <c r="I61" s="312" t="s">
        <v>1432</v>
      </c>
      <c r="J61" s="312" t="s">
        <v>1432</v>
      </c>
      <c r="K61" s="312" t="s">
        <v>1432</v>
      </c>
      <c r="L61" s="312" t="s">
        <v>1432</v>
      </c>
      <c r="M61" s="312" t="s">
        <v>1432</v>
      </c>
      <c r="N61" s="312" t="s">
        <v>1432</v>
      </c>
      <c r="O61" s="312" t="s">
        <v>1432</v>
      </c>
      <c r="P61" s="312" t="s">
        <v>1432</v>
      </c>
      <c r="Q61" s="312" t="s">
        <v>1432</v>
      </c>
      <c r="R61" s="312" t="s">
        <v>1432</v>
      </c>
      <c r="S61" s="300"/>
      <c r="V61" s="1088" t="s">
        <v>1441</v>
      </c>
      <c r="X61" s="299" t="s">
        <v>1442</v>
      </c>
      <c r="AA61" s="299" t="s">
        <v>327</v>
      </c>
    </row>
    <row r="62" spans="1:27" s="299" customFormat="1" ht="23.25" customHeight="1">
      <c r="B62" s="313"/>
      <c r="C62" s="314">
        <v>9</v>
      </c>
      <c r="D62" s="300">
        <f>'[10]Risiko Inheren Kualitatif'!O13</f>
        <v>1</v>
      </c>
      <c r="E62" s="312" t="s">
        <v>1443</v>
      </c>
      <c r="F62" s="312" t="s">
        <v>1432</v>
      </c>
      <c r="G62" s="312" t="s">
        <v>1432</v>
      </c>
      <c r="H62" s="312" t="s">
        <v>1432</v>
      </c>
      <c r="I62" s="312" t="s">
        <v>1432</v>
      </c>
      <c r="J62" s="312" t="s">
        <v>1432</v>
      </c>
      <c r="K62" s="312" t="s">
        <v>1432</v>
      </c>
      <c r="L62" s="312" t="s">
        <v>1432</v>
      </c>
      <c r="M62" s="312" t="s">
        <v>1432</v>
      </c>
      <c r="N62" s="312" t="s">
        <v>1432</v>
      </c>
      <c r="O62" s="312" t="s">
        <v>1432</v>
      </c>
      <c r="P62" s="312" t="s">
        <v>1432</v>
      </c>
      <c r="Q62" s="312" t="s">
        <v>1432</v>
      </c>
      <c r="R62" s="312" t="s">
        <v>1432</v>
      </c>
      <c r="S62" s="300"/>
      <c r="AA62" s="299" t="s">
        <v>252</v>
      </c>
    </row>
    <row r="63" spans="1:27" s="299" customFormat="1" ht="23.25" customHeight="1">
      <c r="B63" s="313"/>
      <c r="C63" s="314">
        <v>10</v>
      </c>
      <c r="D63" s="315">
        <f>'[10]Risiko Inheren Kualitatif'!O14</f>
        <v>7</v>
      </c>
      <c r="E63" s="312" t="s">
        <v>1432</v>
      </c>
      <c r="F63" s="312" t="s">
        <v>1432</v>
      </c>
      <c r="G63" s="312" t="s">
        <v>1444</v>
      </c>
      <c r="H63" s="312" t="s">
        <v>1432</v>
      </c>
      <c r="I63" s="312" t="s">
        <v>1432</v>
      </c>
      <c r="J63" s="312" t="s">
        <v>1432</v>
      </c>
      <c r="K63" s="312" t="s">
        <v>1432</v>
      </c>
      <c r="L63" s="312" t="s">
        <v>1432</v>
      </c>
      <c r="M63" s="312" t="s">
        <v>1432</v>
      </c>
      <c r="N63" s="312" t="s">
        <v>1432</v>
      </c>
      <c r="O63" s="312" t="s">
        <v>1432</v>
      </c>
      <c r="P63" s="312" t="s">
        <v>1432</v>
      </c>
      <c r="Q63" s="312" t="s">
        <v>1432</v>
      </c>
      <c r="R63" s="312" t="s">
        <v>1432</v>
      </c>
      <c r="S63" s="300"/>
      <c r="V63" s="299" t="s">
        <v>298</v>
      </c>
      <c r="X63" s="299" t="s">
        <v>263</v>
      </c>
      <c r="AA63" s="299" t="s">
        <v>392</v>
      </c>
    </row>
    <row r="64" spans="1:27" s="299" customFormat="1" ht="23.25" customHeight="1">
      <c r="B64" s="313"/>
      <c r="C64" s="314">
        <v>11</v>
      </c>
      <c r="D64" s="300">
        <f>'[10]Risiko Inheren Kuantitatif'!O13</f>
        <v>23</v>
      </c>
      <c r="E64" s="312" t="s">
        <v>1432</v>
      </c>
      <c r="F64" s="312" t="s">
        <v>1432</v>
      </c>
      <c r="G64" s="312" t="s">
        <v>1432</v>
      </c>
      <c r="H64" s="312" t="s">
        <v>1432</v>
      </c>
      <c r="I64" s="312" t="s">
        <v>1432</v>
      </c>
      <c r="J64" s="312" t="s">
        <v>1432</v>
      </c>
      <c r="K64" s="312" t="s">
        <v>1432</v>
      </c>
      <c r="L64" s="312" t="s">
        <v>1432</v>
      </c>
      <c r="M64" s="312" t="s">
        <v>1432</v>
      </c>
      <c r="N64" s="312" t="s">
        <v>1432</v>
      </c>
      <c r="O64" s="312" t="s">
        <v>1432</v>
      </c>
      <c r="P64" s="312" t="s">
        <v>1432</v>
      </c>
      <c r="Q64" s="312" t="s">
        <v>1445</v>
      </c>
      <c r="R64" s="312" t="s">
        <v>1432</v>
      </c>
      <c r="S64" s="300"/>
      <c r="V64" s="299" t="s">
        <v>264</v>
      </c>
      <c r="X64" s="299" t="s">
        <v>360</v>
      </c>
      <c r="AA64" s="299" t="s">
        <v>346</v>
      </c>
    </row>
    <row r="65" spans="2:27" s="299" customFormat="1" ht="23.25" customHeight="1">
      <c r="B65" s="313"/>
      <c r="C65" s="314">
        <v>12</v>
      </c>
      <c r="D65" s="300">
        <f>'[10]Risiko Inheren Kualitatif'!O15</f>
        <v>1</v>
      </c>
      <c r="E65" s="312" t="s">
        <v>1446</v>
      </c>
      <c r="F65" s="312" t="s">
        <v>1432</v>
      </c>
      <c r="G65" s="312" t="s">
        <v>1432</v>
      </c>
      <c r="H65" s="312" t="s">
        <v>1432</v>
      </c>
      <c r="I65" s="312" t="s">
        <v>1432</v>
      </c>
      <c r="J65" s="312" t="s">
        <v>1432</v>
      </c>
      <c r="K65" s="312" t="s">
        <v>1432</v>
      </c>
      <c r="L65" s="312" t="s">
        <v>1432</v>
      </c>
      <c r="M65" s="312" t="s">
        <v>1432</v>
      </c>
      <c r="N65" s="312" t="s">
        <v>1432</v>
      </c>
      <c r="O65" s="312" t="s">
        <v>1432</v>
      </c>
      <c r="P65" s="312" t="s">
        <v>1432</v>
      </c>
      <c r="Q65" s="312" t="s">
        <v>1432</v>
      </c>
      <c r="R65" s="312" t="s">
        <v>1432</v>
      </c>
      <c r="S65" s="300"/>
      <c r="V65" s="299" t="s">
        <v>1447</v>
      </c>
      <c r="AA65" s="299" t="s">
        <v>1448</v>
      </c>
    </row>
    <row r="66" spans="2:27" s="299" customFormat="1" ht="23.25" customHeight="1">
      <c r="B66" s="313"/>
      <c r="C66" s="314">
        <v>13</v>
      </c>
      <c r="D66" s="300">
        <f>'[10]Risiko Inheren Kualitatif'!O16</f>
        <v>13</v>
      </c>
      <c r="E66" s="312" t="s">
        <v>1432</v>
      </c>
      <c r="F66" s="312" t="s">
        <v>1432</v>
      </c>
      <c r="G66" s="312" t="s">
        <v>1432</v>
      </c>
      <c r="H66" s="312" t="s">
        <v>1432</v>
      </c>
      <c r="I66" s="312" t="s">
        <v>1432</v>
      </c>
      <c r="J66" s="312" t="s">
        <v>1432</v>
      </c>
      <c r="K66" s="312" t="s">
        <v>1432</v>
      </c>
      <c r="L66" s="312" t="s">
        <v>1432</v>
      </c>
      <c r="M66" s="312" t="s">
        <v>1432</v>
      </c>
      <c r="N66" s="312" t="s">
        <v>1432</v>
      </c>
      <c r="O66" s="312" t="s">
        <v>1432</v>
      </c>
      <c r="P66" s="312" t="s">
        <v>1432</v>
      </c>
      <c r="Q66" s="312" t="s">
        <v>1432</v>
      </c>
      <c r="R66" s="312" t="s">
        <v>1432</v>
      </c>
      <c r="S66" s="300"/>
      <c r="V66" s="299" t="s">
        <v>1449</v>
      </c>
      <c r="AA66" s="299" t="s">
        <v>1450</v>
      </c>
    </row>
    <row r="67" spans="2:27" s="299" customFormat="1" ht="23.25" customHeight="1">
      <c r="B67" s="313"/>
      <c r="C67" s="314">
        <v>14</v>
      </c>
      <c r="D67" s="300">
        <f>'[10]Risiko Inheren Kuantitatif'!O14</f>
        <v>2</v>
      </c>
      <c r="E67" s="312" t="s">
        <v>1432</v>
      </c>
      <c r="F67" s="312" t="s">
        <v>1432</v>
      </c>
      <c r="G67" s="312" t="s">
        <v>1432</v>
      </c>
      <c r="H67" s="312" t="s">
        <v>1444</v>
      </c>
      <c r="I67" s="312" t="s">
        <v>1432</v>
      </c>
      <c r="J67" s="312" t="s">
        <v>1432</v>
      </c>
      <c r="K67" s="312" t="s">
        <v>1432</v>
      </c>
      <c r="L67" s="312" t="s">
        <v>1432</v>
      </c>
      <c r="M67" s="312" t="s">
        <v>1432</v>
      </c>
      <c r="N67" s="312" t="s">
        <v>1432</v>
      </c>
      <c r="O67" s="312" t="s">
        <v>1432</v>
      </c>
      <c r="P67" s="312" t="s">
        <v>1432</v>
      </c>
      <c r="Q67" s="312" t="s">
        <v>1432</v>
      </c>
      <c r="R67" s="312" t="s">
        <v>1432</v>
      </c>
      <c r="S67" s="300"/>
      <c r="V67" s="299" t="s">
        <v>1451</v>
      </c>
    </row>
    <row r="68" spans="2:27" s="299" customFormat="1" ht="23.25" customHeight="1">
      <c r="B68" s="313"/>
      <c r="C68" s="314">
        <v>15</v>
      </c>
      <c r="D68" s="300">
        <f>'[10]Risiko Inheren Kuantitatif'!O15</f>
        <v>4</v>
      </c>
      <c r="E68" s="312" t="s">
        <v>1432</v>
      </c>
      <c r="F68" s="312" t="s">
        <v>1452</v>
      </c>
      <c r="G68" s="312" t="s">
        <v>1432</v>
      </c>
      <c r="H68" s="312" t="s">
        <v>1432</v>
      </c>
      <c r="I68" s="312" t="s">
        <v>1432</v>
      </c>
      <c r="J68" s="312" t="s">
        <v>1432</v>
      </c>
      <c r="K68" s="312" t="s">
        <v>1432</v>
      </c>
      <c r="L68" s="312" t="s">
        <v>1432</v>
      </c>
      <c r="M68" s="312" t="s">
        <v>1432</v>
      </c>
      <c r="N68" s="312" t="s">
        <v>1432</v>
      </c>
      <c r="O68" s="312" t="s">
        <v>1432</v>
      </c>
      <c r="P68" s="312" t="s">
        <v>1432</v>
      </c>
      <c r="Q68" s="312" t="s">
        <v>1432</v>
      </c>
      <c r="R68" s="312" t="s">
        <v>1432</v>
      </c>
      <c r="S68" s="300"/>
      <c r="V68" s="299" t="s">
        <v>1453</v>
      </c>
    </row>
    <row r="69" spans="2:27" s="299" customFormat="1" ht="23.25" customHeight="1">
      <c r="B69" s="313"/>
      <c r="C69" s="314">
        <v>16</v>
      </c>
      <c r="D69" s="300">
        <f>'[10]Risiko Inheren Kuantitatif'!O16</f>
        <v>17</v>
      </c>
      <c r="E69" s="316"/>
      <c r="F69" s="300"/>
      <c r="G69" s="300"/>
      <c r="H69" s="300" t="s">
        <v>1454</v>
      </c>
      <c r="I69" s="300"/>
      <c r="J69" s="300"/>
      <c r="K69" s="300"/>
      <c r="L69" s="300"/>
      <c r="M69" s="300"/>
      <c r="N69" s="300"/>
      <c r="O69" s="300"/>
      <c r="P69" s="300"/>
      <c r="Q69" s="300"/>
      <c r="R69" s="300"/>
      <c r="S69" s="300"/>
      <c r="V69" s="299" t="s">
        <v>1455</v>
      </c>
    </row>
    <row r="70" spans="2:27" s="299" customFormat="1" ht="23.25" customHeight="1">
      <c r="B70" s="313"/>
      <c r="C70" s="314">
        <v>17</v>
      </c>
      <c r="D70" s="300">
        <f>'[10]Risiko Inheren Kuantitatif'!O17</f>
        <v>3</v>
      </c>
      <c r="E70" s="316"/>
      <c r="F70" s="300"/>
      <c r="G70" s="300"/>
      <c r="H70" s="300"/>
      <c r="I70" s="300"/>
      <c r="J70" s="300"/>
      <c r="K70" s="300"/>
      <c r="L70" s="300"/>
      <c r="M70" s="300"/>
      <c r="N70" s="300"/>
      <c r="O70" s="300"/>
      <c r="P70" s="300"/>
      <c r="Q70" s="300"/>
      <c r="R70" s="300"/>
      <c r="S70" s="300"/>
      <c r="V70" s="299" t="s">
        <v>1456</v>
      </c>
    </row>
    <row r="71" spans="2:27" s="299" customFormat="1" ht="23.25" customHeight="1">
      <c r="B71" s="313"/>
      <c r="C71" s="314">
        <v>18</v>
      </c>
      <c r="D71" s="300">
        <f>'[10]Risiko Inheren Kuantitatif'!O18</f>
        <v>4</v>
      </c>
      <c r="E71" s="316"/>
      <c r="F71" s="300"/>
      <c r="G71" s="300"/>
      <c r="H71" s="300"/>
      <c r="I71" s="300"/>
      <c r="J71" s="300"/>
      <c r="K71" s="300"/>
      <c r="L71" s="300"/>
      <c r="M71" s="300"/>
      <c r="N71" s="300"/>
      <c r="O71" s="300"/>
      <c r="P71" s="300"/>
      <c r="Q71" s="300"/>
      <c r="R71" s="300"/>
      <c r="S71" s="300"/>
      <c r="V71" s="299" t="s">
        <v>1457</v>
      </c>
    </row>
    <row r="72" spans="2:27" s="299" customFormat="1" ht="23.25" customHeight="1">
      <c r="B72" s="313"/>
      <c r="C72" s="314">
        <v>19</v>
      </c>
      <c r="D72" s="300">
        <f>'[10]Risiko Inheren Kuantitatif'!O19</f>
        <v>7</v>
      </c>
      <c r="E72" s="316"/>
      <c r="F72" s="300"/>
      <c r="G72" s="300"/>
      <c r="H72" s="300"/>
      <c r="I72" s="300"/>
      <c r="J72" s="300"/>
      <c r="K72" s="300"/>
      <c r="L72" s="300"/>
      <c r="M72" s="300"/>
      <c r="N72" s="300"/>
      <c r="O72" s="300"/>
      <c r="P72" s="300"/>
      <c r="Q72" s="300"/>
      <c r="R72" s="300"/>
      <c r="S72" s="300"/>
      <c r="V72" s="299" t="s">
        <v>1458</v>
      </c>
    </row>
    <row r="73" spans="2:27" s="299" customFormat="1" ht="23.25" customHeight="1">
      <c r="B73" s="313"/>
      <c r="C73" s="314">
        <v>20</v>
      </c>
      <c r="D73" s="300">
        <f>'[10]Risiko Inheren Kuantitatif'!O20</f>
        <v>15</v>
      </c>
      <c r="E73" s="316"/>
      <c r="F73" s="300" t="s">
        <v>1459</v>
      </c>
      <c r="G73" s="300"/>
      <c r="H73" s="300"/>
      <c r="I73" s="300"/>
      <c r="J73" s="300"/>
      <c r="K73" s="300"/>
      <c r="L73" s="300"/>
      <c r="M73" s="300"/>
      <c r="N73" s="300"/>
      <c r="O73" s="300"/>
      <c r="P73" s="300"/>
      <c r="Q73" s="300"/>
      <c r="R73" s="300"/>
      <c r="S73" s="300"/>
      <c r="V73" s="299" t="s">
        <v>350</v>
      </c>
    </row>
    <row r="74" spans="2:27" s="299" customFormat="1" ht="23.25" customHeight="1">
      <c r="B74" s="313"/>
      <c r="C74" s="314">
        <v>21</v>
      </c>
      <c r="D74" s="300">
        <f>'[10]Risiko Inheren Kuantitatif'!O21</f>
        <v>1</v>
      </c>
      <c r="E74" s="300" t="s">
        <v>1460</v>
      </c>
      <c r="F74" s="300"/>
      <c r="G74" s="300"/>
      <c r="H74" s="300"/>
      <c r="I74" s="300"/>
      <c r="J74" s="300"/>
      <c r="K74" s="300"/>
      <c r="L74" s="300"/>
      <c r="M74" s="300"/>
      <c r="N74" s="300"/>
      <c r="O74" s="300"/>
      <c r="P74" s="300"/>
      <c r="Q74" s="300"/>
      <c r="R74" s="300"/>
      <c r="S74" s="300"/>
    </row>
    <row r="75" spans="2:27" s="299" customFormat="1" ht="23.25" customHeight="1">
      <c r="B75" s="313"/>
      <c r="C75" s="314">
        <v>22</v>
      </c>
      <c r="D75" s="300">
        <f>'[10]Risiko Inheren Kualitatif'!O18</f>
        <v>25</v>
      </c>
      <c r="E75" s="316"/>
      <c r="F75" s="300"/>
      <c r="G75" s="300"/>
      <c r="H75" s="300"/>
      <c r="I75" s="300"/>
      <c r="J75" s="300"/>
      <c r="K75" s="300"/>
      <c r="L75" s="300"/>
      <c r="M75" s="300"/>
      <c r="N75" s="300"/>
      <c r="O75" s="300"/>
      <c r="P75" s="300"/>
      <c r="Q75" s="300"/>
      <c r="R75" s="300"/>
      <c r="S75" s="300" t="s">
        <v>1461</v>
      </c>
    </row>
    <row r="76" spans="2:27" s="299" customFormat="1" ht="23.25" customHeight="1">
      <c r="B76" s="313"/>
      <c r="C76" s="314">
        <v>23</v>
      </c>
      <c r="D76" s="300">
        <f>'[10]Risiko Inheren Kuantitatif'!O22</f>
        <v>1</v>
      </c>
      <c r="E76" s="300" t="s">
        <v>1462</v>
      </c>
      <c r="F76" s="300"/>
      <c r="G76" s="300"/>
      <c r="H76" s="300"/>
      <c r="I76" s="300"/>
      <c r="J76" s="300"/>
      <c r="K76" s="300"/>
      <c r="L76" s="300"/>
      <c r="M76" s="300"/>
      <c r="N76" s="300"/>
      <c r="O76" s="300"/>
      <c r="P76" s="300"/>
      <c r="Q76" s="300"/>
      <c r="R76" s="300"/>
      <c r="S76" s="300"/>
    </row>
    <row r="77" spans="2:27" s="299" customFormat="1" ht="23.25" customHeight="1">
      <c r="B77" s="313"/>
      <c r="C77" s="314">
        <v>24</v>
      </c>
      <c r="D77" s="300">
        <f>'[10]Risiko Inheren Kuantitatif'!O23</f>
        <v>1</v>
      </c>
      <c r="E77" s="300" t="s">
        <v>1463</v>
      </c>
      <c r="F77" s="300"/>
      <c r="G77" s="300"/>
      <c r="H77" s="300"/>
      <c r="I77" s="300"/>
      <c r="J77" s="300"/>
      <c r="K77" s="300"/>
      <c r="L77" s="300"/>
      <c r="M77" s="300"/>
      <c r="N77" s="300"/>
      <c r="O77" s="300"/>
      <c r="P77" s="300"/>
      <c r="Q77" s="300"/>
      <c r="R77" s="300"/>
      <c r="S77" s="300"/>
      <c r="V77" s="185" t="s">
        <v>254</v>
      </c>
      <c r="X77" s="299" t="s">
        <v>240</v>
      </c>
    </row>
    <row r="78" spans="2:27" s="299" customFormat="1" ht="23.25" customHeight="1">
      <c r="B78" s="313"/>
      <c r="C78" s="314">
        <v>25</v>
      </c>
      <c r="D78" s="300">
        <f>'[10]Risiko Inheren Kuantitatif'!O24</f>
        <v>4</v>
      </c>
      <c r="E78" s="316"/>
      <c r="F78" s="300" t="s">
        <v>1464</v>
      </c>
      <c r="G78" s="300"/>
      <c r="H78" s="300"/>
      <c r="I78" s="300"/>
      <c r="J78" s="300"/>
      <c r="K78" s="300"/>
      <c r="L78" s="300"/>
      <c r="M78" s="300"/>
      <c r="N78" s="300"/>
      <c r="O78" s="300"/>
      <c r="P78" s="300"/>
      <c r="Q78" s="300"/>
      <c r="R78" s="300"/>
      <c r="S78" s="300"/>
      <c r="V78" s="8" t="s">
        <v>307</v>
      </c>
      <c r="X78" s="299" t="s">
        <v>341</v>
      </c>
    </row>
    <row r="79" spans="2:27" s="299" customFormat="1" ht="23.25" customHeight="1">
      <c r="B79" s="313"/>
      <c r="C79" s="314">
        <v>26</v>
      </c>
      <c r="D79" s="300">
        <f>'[10]Risiko Inheren Kualitatif'!O19</f>
        <v>15</v>
      </c>
      <c r="E79" s="316"/>
      <c r="F79" s="300"/>
      <c r="G79" s="300"/>
      <c r="H79" s="300"/>
      <c r="I79" s="300"/>
      <c r="J79" s="300"/>
      <c r="K79" s="300"/>
      <c r="L79" s="300"/>
      <c r="M79" s="300"/>
      <c r="N79" s="300"/>
      <c r="O79" s="300"/>
      <c r="P79" s="300"/>
      <c r="Q79" s="300"/>
      <c r="R79" s="300"/>
      <c r="S79" s="300"/>
      <c r="V79" s="8" t="s">
        <v>1465</v>
      </c>
      <c r="X79" s="299" t="s">
        <v>362</v>
      </c>
    </row>
    <row r="80" spans="2:27" s="299" customFormat="1" ht="23.25" customHeight="1">
      <c r="B80" s="313"/>
      <c r="C80" s="314">
        <v>27</v>
      </c>
      <c r="D80" s="315">
        <f>'[10]Risiko Inheren Kuantitatif'!O25</f>
        <v>3</v>
      </c>
      <c r="E80" s="316"/>
      <c r="F80" s="300"/>
      <c r="G80" s="300"/>
      <c r="H80" s="300"/>
      <c r="I80" s="300"/>
      <c r="J80" s="300"/>
      <c r="K80" s="300"/>
      <c r="L80" s="300"/>
      <c r="M80" s="300"/>
      <c r="N80" s="300"/>
      <c r="O80" s="300"/>
      <c r="P80" s="300"/>
      <c r="Q80" s="300"/>
      <c r="R80" s="300"/>
      <c r="S80" s="300"/>
      <c r="V80" s="8" t="s">
        <v>1466</v>
      </c>
      <c r="X80" s="299" t="s">
        <v>371</v>
      </c>
    </row>
    <row r="81" spans="1:24" s="299" customFormat="1" ht="23.25" customHeight="1">
      <c r="B81" s="313"/>
      <c r="C81" s="314">
        <v>28</v>
      </c>
      <c r="D81" s="315" t="s">
        <v>1467</v>
      </c>
      <c r="E81" s="316"/>
      <c r="F81" s="300"/>
      <c r="G81" s="300"/>
      <c r="H81" s="300"/>
      <c r="I81" s="300"/>
      <c r="J81" s="300"/>
      <c r="K81" s="300"/>
      <c r="L81" s="300"/>
      <c r="M81" s="300"/>
      <c r="N81" s="300"/>
      <c r="O81" s="300" t="s">
        <v>1468</v>
      </c>
      <c r="P81" s="300"/>
      <c r="Q81" s="300"/>
      <c r="R81" s="300"/>
      <c r="S81" s="300"/>
      <c r="V81" s="8" t="s">
        <v>1469</v>
      </c>
      <c r="X81" s="299" t="s">
        <v>387</v>
      </c>
    </row>
    <row r="82" spans="1:24" s="299" customFormat="1" ht="23.25" customHeight="1">
      <c r="B82" s="313"/>
      <c r="C82" s="314">
        <v>29</v>
      </c>
      <c r="D82" s="315">
        <f>'[10]Risiko Inheren Kuantitatif'!O28</f>
        <v>12</v>
      </c>
      <c r="E82" s="316"/>
      <c r="F82" s="300"/>
      <c r="G82" s="300"/>
      <c r="H82" s="300"/>
      <c r="I82" s="300"/>
      <c r="J82" s="300"/>
      <c r="K82" s="300"/>
      <c r="L82" s="300"/>
      <c r="M82" s="300"/>
      <c r="N82" s="300"/>
      <c r="O82" s="300"/>
      <c r="P82" s="300"/>
      <c r="Q82" s="300"/>
      <c r="R82" s="300"/>
      <c r="S82" s="300"/>
      <c r="X82" s="299" t="s">
        <v>400</v>
      </c>
    </row>
    <row r="83" spans="1:24" s="299" customFormat="1" ht="23.25" customHeight="1">
      <c r="B83" s="313"/>
      <c r="C83" s="314">
        <v>30</v>
      </c>
      <c r="D83" s="300">
        <f>'[10]Risiko Inheren Kualitatif'!O20</f>
        <v>13</v>
      </c>
      <c r="E83" s="316"/>
      <c r="F83" s="300"/>
      <c r="G83" s="300"/>
      <c r="H83" s="300"/>
      <c r="I83" s="300" t="s">
        <v>1470</v>
      </c>
      <c r="J83" s="300"/>
      <c r="K83" s="300"/>
      <c r="L83" s="300"/>
      <c r="M83" s="300"/>
      <c r="N83" s="300"/>
      <c r="O83" s="300"/>
      <c r="P83" s="300"/>
      <c r="Q83" s="300"/>
      <c r="R83" s="300"/>
      <c r="S83" s="300"/>
      <c r="V83" s="299" t="s">
        <v>1471</v>
      </c>
    </row>
    <row r="84" spans="1:24" s="299" customFormat="1" ht="23.25" customHeight="1">
      <c r="B84" s="313"/>
      <c r="C84" s="314">
        <v>31</v>
      </c>
      <c r="D84" s="300">
        <f>'[10]Risiko Inheren Kualitatif'!O21</f>
        <v>19</v>
      </c>
      <c r="E84" s="316"/>
      <c r="F84" s="300"/>
      <c r="G84" s="300"/>
      <c r="H84" s="300"/>
      <c r="I84" s="300"/>
      <c r="J84" s="300"/>
      <c r="K84" s="300"/>
      <c r="L84" s="300"/>
      <c r="M84" s="300"/>
      <c r="N84" s="300"/>
      <c r="O84" s="300"/>
      <c r="P84" s="300"/>
      <c r="Q84" s="300"/>
      <c r="R84" s="300"/>
      <c r="S84" s="300"/>
      <c r="V84" s="299" t="s">
        <v>1472</v>
      </c>
    </row>
    <row r="85" spans="1:24" s="299" customFormat="1" ht="23.25" customHeight="1">
      <c r="B85" s="313"/>
      <c r="C85" s="314">
        <v>32</v>
      </c>
      <c r="D85" s="300">
        <f>'[10]Risiko Inheren Kualitatif'!O22</f>
        <v>19</v>
      </c>
      <c r="E85" s="316"/>
      <c r="F85" s="300"/>
      <c r="G85" s="300"/>
      <c r="H85" s="300"/>
      <c r="I85" s="300"/>
      <c r="J85" s="300"/>
      <c r="K85" s="300"/>
      <c r="L85" s="300"/>
      <c r="M85" s="300"/>
      <c r="N85" s="300"/>
      <c r="O85" s="300"/>
      <c r="P85" s="300"/>
      <c r="Q85" s="300"/>
      <c r="R85" s="300"/>
      <c r="S85" s="300"/>
      <c r="V85" s="299" t="s">
        <v>1473</v>
      </c>
    </row>
    <row r="86" spans="1:24" s="299" customFormat="1" ht="23.25" customHeight="1">
      <c r="B86" s="313"/>
      <c r="C86" s="314">
        <v>33</v>
      </c>
      <c r="D86" s="300">
        <f>'[10]Risiko Inheren Kualitatif'!O23</f>
        <v>10</v>
      </c>
      <c r="E86" s="316"/>
      <c r="F86" s="300"/>
      <c r="G86" s="300"/>
      <c r="H86" s="300" t="s">
        <v>1474</v>
      </c>
      <c r="I86" s="300"/>
      <c r="J86" s="300"/>
      <c r="K86" s="300"/>
      <c r="L86" s="300"/>
      <c r="M86" s="300"/>
      <c r="N86" s="300"/>
      <c r="O86" s="300"/>
      <c r="P86" s="300"/>
      <c r="Q86" s="300"/>
      <c r="R86" s="300"/>
      <c r="S86" s="300"/>
      <c r="V86" s="299" t="s">
        <v>242</v>
      </c>
    </row>
    <row r="87" spans="1:24" s="299" customFormat="1" ht="23.25" customHeight="1">
      <c r="B87" s="313"/>
      <c r="C87" s="314">
        <v>34</v>
      </c>
      <c r="D87" s="315">
        <f>'[10]Risiko Inheren Kuantitatif'!O29</f>
        <v>3</v>
      </c>
      <c r="E87" s="316"/>
      <c r="F87" s="300"/>
      <c r="G87" s="300"/>
      <c r="H87" s="300"/>
      <c r="I87" s="300"/>
      <c r="J87" s="300"/>
      <c r="K87" s="300"/>
      <c r="L87" s="300"/>
      <c r="M87" s="300"/>
      <c r="N87" s="300"/>
      <c r="O87" s="300"/>
      <c r="P87" s="300"/>
      <c r="Q87" s="300"/>
      <c r="R87" s="300"/>
      <c r="S87" s="300"/>
      <c r="V87" s="299" t="s">
        <v>1475</v>
      </c>
    </row>
    <row r="88" spans="1:24" s="299" customFormat="1" ht="23.25" customHeight="1">
      <c r="B88" s="313"/>
      <c r="C88" s="314">
        <v>35</v>
      </c>
      <c r="D88" s="300">
        <f>'[10]Risiko Inheren Kualitatif'!O24</f>
        <v>16</v>
      </c>
      <c r="E88" s="316"/>
      <c r="F88" s="300"/>
      <c r="G88" s="300"/>
      <c r="H88" s="300"/>
      <c r="I88" s="300"/>
      <c r="J88" s="300">
        <v>35</v>
      </c>
      <c r="K88" s="300"/>
      <c r="L88" s="300"/>
      <c r="M88" s="300"/>
      <c r="N88" s="300"/>
      <c r="O88" s="300"/>
      <c r="P88" s="300"/>
      <c r="Q88" s="300"/>
      <c r="R88" s="300"/>
      <c r="S88" s="300"/>
      <c r="V88" s="299" t="s">
        <v>1476</v>
      </c>
    </row>
    <row r="89" spans="1:24" s="299" customFormat="1" ht="23.25" customHeight="1">
      <c r="B89" s="313"/>
      <c r="C89" s="314">
        <v>36</v>
      </c>
      <c r="D89" s="300">
        <f>'[10]Risiko Inheren Kuantitatif'!O30</f>
        <v>4</v>
      </c>
      <c r="E89" s="316"/>
      <c r="F89" s="300" t="s">
        <v>1477</v>
      </c>
      <c r="G89" s="300"/>
      <c r="H89" s="300"/>
      <c r="I89" s="300"/>
      <c r="J89" s="300"/>
      <c r="K89" s="300"/>
      <c r="L89" s="300"/>
      <c r="M89" s="300"/>
      <c r="N89" s="300"/>
      <c r="O89" s="300"/>
      <c r="P89" s="300"/>
      <c r="Q89" s="300"/>
      <c r="R89" s="300"/>
      <c r="S89" s="300"/>
      <c r="V89" s="299" t="s">
        <v>1478</v>
      </c>
    </row>
    <row r="90" spans="1:24" s="299" customFormat="1" ht="23.25" customHeight="1">
      <c r="B90" s="313"/>
      <c r="C90" s="314">
        <v>37</v>
      </c>
      <c r="D90" s="300">
        <f>'[10]Risiko Inheren Kuantitatif'!O31</f>
        <v>14</v>
      </c>
      <c r="E90" s="316"/>
      <c r="F90" s="300"/>
      <c r="G90" s="300"/>
      <c r="H90" s="300"/>
      <c r="I90" s="300"/>
      <c r="J90" s="300"/>
      <c r="K90" s="300"/>
      <c r="L90" s="300"/>
      <c r="M90" s="300"/>
      <c r="N90" s="300"/>
      <c r="O90" s="300"/>
      <c r="P90" s="300"/>
      <c r="Q90" s="300"/>
      <c r="R90" s="300"/>
      <c r="S90" s="300"/>
      <c r="V90" s="299" t="s">
        <v>1479</v>
      </c>
    </row>
    <row r="91" spans="1:24" s="299" customFormat="1" ht="23.25" customHeight="1">
      <c r="B91" s="313"/>
      <c r="C91" s="314">
        <v>38</v>
      </c>
      <c r="D91" s="300">
        <f>'[10]Risiko Inheren Kuantitatif'!O32</f>
        <v>5</v>
      </c>
      <c r="E91" s="316"/>
      <c r="F91" s="300"/>
      <c r="G91" s="300"/>
      <c r="H91" s="300"/>
      <c r="I91" s="300"/>
      <c r="J91" s="300"/>
      <c r="K91" s="300"/>
      <c r="L91" s="300"/>
      <c r="M91" s="300"/>
      <c r="N91" s="300"/>
      <c r="O91" s="300"/>
      <c r="P91" s="300"/>
      <c r="Q91" s="300"/>
      <c r="R91" s="300"/>
      <c r="S91" s="300"/>
      <c r="V91" s="299" t="s">
        <v>1480</v>
      </c>
    </row>
    <row r="92" spans="1:24" s="299" customFormat="1" ht="23.25" customHeight="1">
      <c r="B92" s="313"/>
      <c r="C92" s="314">
        <v>39</v>
      </c>
      <c r="D92" s="300">
        <f>'[10]Risiko Inheren Kuantitatif'!O33</f>
        <v>20</v>
      </c>
      <c r="E92" s="316"/>
      <c r="F92" s="300"/>
      <c r="G92" s="300"/>
      <c r="H92" s="300"/>
      <c r="I92" s="300"/>
      <c r="J92" s="300"/>
      <c r="K92" s="300"/>
      <c r="L92" s="300"/>
      <c r="M92" s="300"/>
      <c r="N92" s="300" t="s">
        <v>1481</v>
      </c>
      <c r="O92" s="300"/>
      <c r="P92" s="300"/>
      <c r="Q92" s="300"/>
      <c r="R92" s="300"/>
      <c r="S92" s="300"/>
      <c r="V92" s="299" t="s">
        <v>1482</v>
      </c>
    </row>
    <row r="93" spans="1:24" s="301" customFormat="1" ht="23.25" customHeight="1">
      <c r="A93" s="299"/>
      <c r="B93" s="1722" t="s">
        <v>1483</v>
      </c>
      <c r="C93" s="1723"/>
      <c r="D93" s="1723"/>
      <c r="E93" s="317" t="str">
        <f>E54&amp;E55&amp;E56&amp;E57&amp;E58&amp;E59&amp;E60&amp;E61&amp;E62&amp;E63&amp;E64&amp;E65&amp;E66&amp;E67&amp;E68&amp;E69&amp;E70&amp;E71&amp;E72&amp;E73&amp;E74&amp;E75&amp;E76&amp;E77&amp;E78&amp;E79&amp;E80&amp;E81&amp;E82&amp;E83&amp;E84&amp;E85&amp;E86&amp;E87&amp;E88&amp;E89&amp;E90&amp;E91&amp;E92</f>
        <v>5.9.12.21.23.24.</v>
      </c>
      <c r="F93" s="317" t="str">
        <f t="shared" ref="F93:S93" si="0">F54&amp;F55&amp;F56&amp;F57&amp;F58&amp;F59&amp;F60&amp;F61&amp;F62&amp;F63&amp;F64&amp;F65&amp;F66&amp;F67&amp;F68&amp;F69&amp;F70&amp;F71&amp;F72&amp;F73&amp;F74&amp;F75&amp;F76&amp;F77&amp;F78&amp;F79&amp;F80&amp;F81&amp;F82&amp;F83&amp;F84&amp;F85&amp;F86&amp;F87&amp;F88&amp;F89&amp;F90&amp;F91&amp;F92</f>
        <v>15.20.25.36.</v>
      </c>
      <c r="G93" s="317" t="str">
        <f t="shared" si="0"/>
        <v>10.</v>
      </c>
      <c r="H93" s="317" t="str">
        <f t="shared" si="0"/>
        <v>10.16.33.</v>
      </c>
      <c r="I93" s="317" t="str">
        <f t="shared" si="0"/>
        <v>4.6.7.30.</v>
      </c>
      <c r="J93" s="317" t="str">
        <f t="shared" si="0"/>
        <v>3.35</v>
      </c>
      <c r="K93" s="317" t="str">
        <f t="shared" si="0"/>
        <v/>
      </c>
      <c r="L93" s="317" t="str">
        <f t="shared" si="0"/>
        <v/>
      </c>
      <c r="M93" s="317" t="str">
        <f t="shared" si="0"/>
        <v>2.</v>
      </c>
      <c r="N93" s="317" t="str">
        <f t="shared" si="0"/>
        <v>39.</v>
      </c>
      <c r="O93" s="317" t="str">
        <f t="shared" si="0"/>
        <v>28.</v>
      </c>
      <c r="P93" s="317" t="str">
        <f t="shared" si="0"/>
        <v/>
      </c>
      <c r="Q93" s="317" t="str">
        <f t="shared" si="0"/>
        <v>11.</v>
      </c>
      <c r="R93" s="317" t="str">
        <f t="shared" si="0"/>
        <v/>
      </c>
      <c r="S93" s="317" t="str">
        <f t="shared" si="0"/>
        <v>22.</v>
      </c>
      <c r="V93" s="301" t="s">
        <v>270</v>
      </c>
    </row>
    <row r="94" spans="1:24" s="297" customFormat="1" ht="23.25" customHeight="1">
      <c r="A94" s="295"/>
      <c r="B94" s="293"/>
      <c r="C94" s="296"/>
      <c r="D94" s="295"/>
      <c r="E94" s="298"/>
      <c r="F94" s="295"/>
      <c r="G94" s="295"/>
      <c r="H94" s="295"/>
      <c r="I94" s="295"/>
      <c r="J94" s="295"/>
      <c r="V94" s="297" t="s">
        <v>332</v>
      </c>
    </row>
    <row r="95" spans="1:24" s="297" customFormat="1" ht="23.25" customHeight="1">
      <c r="A95" s="295"/>
      <c r="B95" s="293"/>
      <c r="C95" s="296"/>
      <c r="D95" s="295"/>
      <c r="E95" s="298"/>
      <c r="F95" s="295"/>
      <c r="G95" s="295"/>
      <c r="H95" s="295"/>
      <c r="I95" s="295"/>
      <c r="J95" s="295"/>
      <c r="V95" s="297" t="s">
        <v>1484</v>
      </c>
    </row>
    <row r="96" spans="1:24" s="297" customFormat="1" ht="23.25" customHeight="1">
      <c r="A96" s="295"/>
      <c r="B96" s="318" t="s">
        <v>1408</v>
      </c>
      <c r="C96" s="319"/>
      <c r="D96" s="320" t="s">
        <v>189</v>
      </c>
      <c r="E96" s="298"/>
      <c r="F96" s="295"/>
      <c r="G96" s="307"/>
      <c r="H96" s="295"/>
      <c r="I96" s="307"/>
      <c r="J96" s="309"/>
      <c r="K96" s="308"/>
      <c r="M96" s="307"/>
      <c r="O96" s="307"/>
      <c r="V96" s="297" t="s">
        <v>1485</v>
      </c>
    </row>
    <row r="97" spans="2:22" s="299" customFormat="1" ht="23.25" customHeight="1">
      <c r="B97" s="1724" t="s">
        <v>1430</v>
      </c>
      <c r="C97" s="1725"/>
      <c r="D97" s="321" t="s">
        <v>1194</v>
      </c>
      <c r="E97" s="300">
        <v>1</v>
      </c>
      <c r="F97" s="300">
        <v>4</v>
      </c>
      <c r="G97" s="300">
        <v>7</v>
      </c>
      <c r="H97" s="300">
        <v>10</v>
      </c>
      <c r="I97" s="300">
        <v>13</v>
      </c>
      <c r="J97" s="300">
        <v>16</v>
      </c>
      <c r="K97" s="312">
        <v>17</v>
      </c>
      <c r="L97" s="300">
        <v>18</v>
      </c>
      <c r="M97" s="300">
        <v>19</v>
      </c>
      <c r="N97" s="312">
        <v>20</v>
      </c>
      <c r="O97" s="300">
        <v>21</v>
      </c>
      <c r="P97" s="300">
        <v>22</v>
      </c>
      <c r="Q97" s="312">
        <v>23</v>
      </c>
      <c r="R97" s="300">
        <v>24</v>
      </c>
      <c r="S97" s="300">
        <v>25</v>
      </c>
      <c r="V97" s="299" t="s">
        <v>1486</v>
      </c>
    </row>
    <row r="98" spans="2:22" s="299" customFormat="1" ht="23.25" customHeight="1">
      <c r="B98" s="322"/>
      <c r="C98" s="323">
        <v>1</v>
      </c>
      <c r="D98" s="312">
        <v>1</v>
      </c>
      <c r="E98" s="312" t="s">
        <v>1487</v>
      </c>
      <c r="F98" s="312"/>
      <c r="G98" s="312"/>
      <c r="H98" s="312"/>
      <c r="I98" s="312"/>
      <c r="J98" s="312"/>
      <c r="K98" s="312"/>
      <c r="L98" s="312"/>
      <c r="M98" s="312"/>
      <c r="N98" s="312"/>
      <c r="O98" s="312"/>
      <c r="P98" s="312"/>
      <c r="Q98" s="312"/>
      <c r="R98" s="312"/>
      <c r="S98" s="300"/>
      <c r="V98" s="299" t="s">
        <v>77</v>
      </c>
    </row>
    <row r="99" spans="2:22" s="299" customFormat="1" ht="23.25" customHeight="1">
      <c r="B99" s="313"/>
      <c r="C99" s="314">
        <v>2</v>
      </c>
      <c r="D99" s="300">
        <v>5</v>
      </c>
      <c r="E99" s="312"/>
      <c r="F99" s="312"/>
      <c r="G99" s="312"/>
      <c r="H99" s="312"/>
      <c r="I99" s="312"/>
      <c r="J99" s="312"/>
      <c r="K99" s="312"/>
      <c r="L99" s="312"/>
      <c r="M99" s="312"/>
      <c r="N99" s="312"/>
      <c r="O99" s="312"/>
      <c r="P99" s="312"/>
      <c r="Q99" s="312"/>
      <c r="R99" s="312"/>
      <c r="S99" s="300"/>
      <c r="V99" s="299" t="s">
        <v>1488</v>
      </c>
    </row>
    <row r="100" spans="2:22" s="299" customFormat="1" ht="23.25" customHeight="1">
      <c r="B100" s="313"/>
      <c r="C100" s="314">
        <v>3</v>
      </c>
      <c r="D100" s="300">
        <v>5</v>
      </c>
      <c r="E100" s="312"/>
      <c r="F100" s="312"/>
      <c r="G100" s="312"/>
      <c r="H100" s="312"/>
      <c r="I100" s="312"/>
      <c r="J100" s="312"/>
      <c r="K100" s="312"/>
      <c r="L100" s="312"/>
      <c r="M100" s="312"/>
      <c r="N100" s="312"/>
      <c r="O100" s="312"/>
      <c r="P100" s="312"/>
      <c r="Q100" s="312"/>
      <c r="R100" s="312"/>
      <c r="S100" s="300"/>
      <c r="V100" s="299" t="s">
        <v>1489</v>
      </c>
    </row>
    <row r="101" spans="2:22" s="299" customFormat="1" ht="23.25" customHeight="1">
      <c r="B101" s="313"/>
      <c r="C101" s="314">
        <v>4</v>
      </c>
      <c r="D101" s="300">
        <v>2</v>
      </c>
      <c r="E101" s="312"/>
      <c r="F101" s="312"/>
      <c r="G101" s="312"/>
      <c r="H101" s="312"/>
      <c r="I101" s="312"/>
      <c r="J101" s="312"/>
      <c r="K101" s="312"/>
      <c r="L101" s="312"/>
      <c r="M101" s="312"/>
      <c r="N101" s="312"/>
      <c r="O101" s="312"/>
      <c r="P101" s="312"/>
      <c r="Q101" s="312"/>
      <c r="R101" s="312"/>
      <c r="S101" s="300"/>
      <c r="V101" s="299" t="s">
        <v>1490</v>
      </c>
    </row>
    <row r="102" spans="2:22" s="299" customFormat="1" ht="23.25" customHeight="1">
      <c r="B102" s="313"/>
      <c r="C102" s="314">
        <v>5</v>
      </c>
      <c r="D102" s="300">
        <v>1</v>
      </c>
      <c r="E102" s="312" t="s">
        <v>1438</v>
      </c>
      <c r="F102" s="312"/>
      <c r="G102" s="312"/>
      <c r="H102" s="312"/>
      <c r="I102" s="312"/>
      <c r="J102" s="312"/>
      <c r="K102" s="312"/>
      <c r="L102" s="312"/>
      <c r="M102" s="312"/>
      <c r="N102" s="312"/>
      <c r="O102" s="312"/>
      <c r="P102" s="312"/>
      <c r="Q102" s="312"/>
      <c r="R102" s="312"/>
      <c r="S102" s="300"/>
      <c r="V102" s="299" t="s">
        <v>1491</v>
      </c>
    </row>
    <row r="103" spans="2:22" s="299" customFormat="1" ht="23.25" customHeight="1">
      <c r="B103" s="313"/>
      <c r="C103" s="314">
        <v>6</v>
      </c>
      <c r="D103" s="300">
        <v>5</v>
      </c>
      <c r="E103" s="312"/>
      <c r="F103" s="312"/>
      <c r="G103" s="312"/>
      <c r="H103" s="312"/>
      <c r="I103" s="312"/>
      <c r="J103" s="312"/>
      <c r="K103" s="312"/>
      <c r="L103" s="312"/>
      <c r="M103" s="312"/>
      <c r="N103" s="312"/>
      <c r="O103" s="312"/>
      <c r="P103" s="312"/>
      <c r="Q103" s="312"/>
      <c r="R103" s="312"/>
      <c r="S103" s="300"/>
      <c r="V103" s="299" t="s">
        <v>401</v>
      </c>
    </row>
    <row r="104" spans="2:22" s="299" customFormat="1" ht="23.25" customHeight="1">
      <c r="B104" s="313"/>
      <c r="C104" s="314">
        <v>7</v>
      </c>
      <c r="D104" s="300">
        <v>5</v>
      </c>
      <c r="E104" s="312"/>
      <c r="F104" s="312"/>
      <c r="G104" s="312"/>
      <c r="H104" s="312"/>
      <c r="I104" s="312"/>
      <c r="J104" s="312"/>
      <c r="K104" s="312"/>
      <c r="L104" s="312"/>
      <c r="M104" s="312"/>
      <c r="N104" s="312"/>
      <c r="O104" s="312"/>
      <c r="P104" s="312"/>
      <c r="Q104" s="312"/>
      <c r="R104" s="312"/>
      <c r="S104" s="300"/>
    </row>
    <row r="105" spans="2:22" s="299" customFormat="1" ht="23.25" customHeight="1">
      <c r="B105" s="313"/>
      <c r="C105" s="314">
        <v>8</v>
      </c>
      <c r="D105" s="300">
        <v>1</v>
      </c>
      <c r="E105" s="312" t="s">
        <v>1492</v>
      </c>
      <c r="F105" s="312"/>
      <c r="G105" s="312"/>
      <c r="H105" s="312"/>
      <c r="I105" s="312"/>
      <c r="J105" s="312"/>
      <c r="K105" s="312"/>
      <c r="L105" s="312"/>
      <c r="M105" s="312"/>
      <c r="N105" s="312"/>
      <c r="O105" s="312"/>
      <c r="P105" s="312"/>
      <c r="Q105" s="312"/>
      <c r="R105" s="312"/>
      <c r="S105" s="300"/>
    </row>
    <row r="106" spans="2:22" s="299" customFormat="1" ht="23.25" customHeight="1">
      <c r="B106" s="313"/>
      <c r="C106" s="314">
        <v>9</v>
      </c>
      <c r="D106" s="300">
        <v>2</v>
      </c>
      <c r="E106" s="312"/>
      <c r="F106" s="312"/>
      <c r="G106" s="312"/>
      <c r="H106" s="312"/>
      <c r="I106" s="312"/>
      <c r="J106" s="312"/>
      <c r="K106" s="312"/>
      <c r="L106" s="312"/>
      <c r="M106" s="312"/>
      <c r="N106" s="312"/>
      <c r="O106" s="312"/>
      <c r="P106" s="312"/>
      <c r="Q106" s="312"/>
      <c r="R106" s="312"/>
      <c r="S106" s="300"/>
    </row>
    <row r="107" spans="2:22" s="299" customFormat="1" ht="23.25" customHeight="1">
      <c r="B107" s="313"/>
      <c r="C107" s="314">
        <v>10</v>
      </c>
      <c r="D107" s="315">
        <v>1</v>
      </c>
      <c r="E107" s="312" t="s">
        <v>1444</v>
      </c>
      <c r="F107" s="312"/>
      <c r="G107" s="312"/>
      <c r="H107" s="312"/>
      <c r="I107" s="312"/>
      <c r="J107" s="312"/>
      <c r="K107" s="312"/>
      <c r="L107" s="312"/>
      <c r="M107" s="312"/>
      <c r="N107" s="312"/>
      <c r="O107" s="312"/>
      <c r="P107" s="312"/>
      <c r="Q107" s="312"/>
      <c r="R107" s="312"/>
      <c r="S107" s="300"/>
    </row>
    <row r="108" spans="2:22" s="299" customFormat="1" ht="23.25" customHeight="1">
      <c r="B108" s="313"/>
      <c r="C108" s="314">
        <v>11</v>
      </c>
      <c r="D108" s="300">
        <f>'[10]Risiko Inheren Kuantitatif'!O56</f>
        <v>0</v>
      </c>
      <c r="E108" s="312"/>
      <c r="F108" s="312"/>
      <c r="G108" s="312"/>
      <c r="H108" s="312"/>
      <c r="I108" s="312"/>
      <c r="J108" s="312"/>
      <c r="K108" s="312"/>
      <c r="L108" s="312"/>
      <c r="M108" s="312"/>
      <c r="N108" s="312"/>
      <c r="O108" s="312"/>
      <c r="P108" s="312"/>
      <c r="Q108" s="312"/>
      <c r="R108" s="312"/>
      <c r="S108" s="300"/>
    </row>
    <row r="109" spans="2:22" s="299" customFormat="1" ht="23.25" customHeight="1">
      <c r="B109" s="313"/>
      <c r="C109" s="314">
        <v>12</v>
      </c>
      <c r="D109" s="300">
        <v>1</v>
      </c>
      <c r="E109" s="312" t="s">
        <v>1446</v>
      </c>
      <c r="F109" s="312"/>
      <c r="G109" s="312"/>
      <c r="H109" s="312"/>
      <c r="I109" s="312"/>
      <c r="J109" s="312"/>
      <c r="K109" s="312"/>
      <c r="L109" s="312"/>
      <c r="M109" s="312"/>
      <c r="N109" s="312"/>
      <c r="O109" s="312"/>
      <c r="P109" s="312"/>
      <c r="Q109" s="312"/>
      <c r="R109" s="312"/>
      <c r="S109" s="300"/>
    </row>
    <row r="110" spans="2:22" s="299" customFormat="1" ht="23.25" customHeight="1">
      <c r="B110" s="313"/>
      <c r="C110" s="314">
        <v>13</v>
      </c>
      <c r="D110" s="300">
        <v>5</v>
      </c>
      <c r="E110" s="312"/>
      <c r="F110" s="312"/>
      <c r="G110" s="312"/>
      <c r="H110" s="312"/>
      <c r="I110" s="312"/>
      <c r="J110" s="312"/>
      <c r="K110" s="312"/>
      <c r="L110" s="312"/>
      <c r="M110" s="312"/>
      <c r="N110" s="312"/>
      <c r="O110" s="312"/>
      <c r="P110" s="312"/>
      <c r="Q110" s="312"/>
      <c r="R110" s="312"/>
      <c r="S110" s="300"/>
    </row>
    <row r="111" spans="2:22" s="299" customFormat="1" ht="23.25" customHeight="1">
      <c r="B111" s="313"/>
      <c r="C111" s="314">
        <v>14</v>
      </c>
      <c r="D111" s="300">
        <v>1</v>
      </c>
      <c r="E111" s="312" t="s">
        <v>1493</v>
      </c>
      <c r="F111" s="312"/>
      <c r="G111" s="312"/>
      <c r="H111" s="312"/>
      <c r="I111" s="312"/>
      <c r="J111" s="312"/>
      <c r="K111" s="312"/>
      <c r="L111" s="312"/>
      <c r="M111" s="312"/>
      <c r="N111" s="312"/>
      <c r="O111" s="312"/>
      <c r="P111" s="312"/>
      <c r="Q111" s="312"/>
      <c r="R111" s="312"/>
      <c r="S111" s="300"/>
    </row>
    <row r="112" spans="2:22" s="299" customFormat="1" ht="23.25" customHeight="1">
      <c r="B112" s="313"/>
      <c r="C112" s="314">
        <v>15</v>
      </c>
      <c r="D112" s="300">
        <v>3</v>
      </c>
      <c r="E112" s="312"/>
      <c r="F112" s="312"/>
      <c r="G112" s="312"/>
      <c r="H112" s="312"/>
      <c r="I112" s="312"/>
      <c r="J112" s="312"/>
      <c r="K112" s="312"/>
      <c r="L112" s="312"/>
      <c r="M112" s="312"/>
      <c r="N112" s="312"/>
      <c r="O112" s="312"/>
      <c r="P112" s="312"/>
      <c r="Q112" s="312"/>
      <c r="R112" s="312"/>
      <c r="S112" s="300"/>
    </row>
    <row r="113" spans="2:19" s="299" customFormat="1" ht="23.25" customHeight="1">
      <c r="B113" s="313"/>
      <c r="C113" s="314">
        <v>16</v>
      </c>
      <c r="D113" s="300">
        <v>9</v>
      </c>
      <c r="E113" s="316"/>
      <c r="F113" s="300"/>
      <c r="G113" s="300"/>
      <c r="H113" s="300"/>
      <c r="I113" s="300"/>
      <c r="J113" s="300"/>
      <c r="K113" s="300"/>
      <c r="L113" s="300"/>
      <c r="M113" s="300"/>
      <c r="N113" s="300"/>
      <c r="O113" s="300"/>
      <c r="P113" s="300"/>
      <c r="Q113" s="300"/>
      <c r="R113" s="300"/>
      <c r="S113" s="300"/>
    </row>
    <row r="114" spans="2:19" s="299" customFormat="1" ht="23.25" customHeight="1">
      <c r="B114" s="313"/>
      <c r="C114" s="314">
        <v>17</v>
      </c>
      <c r="D114" s="300">
        <v>2</v>
      </c>
      <c r="E114" s="316"/>
      <c r="F114" s="300"/>
      <c r="G114" s="300"/>
      <c r="H114" s="300"/>
      <c r="I114" s="300"/>
      <c r="J114" s="300"/>
      <c r="K114" s="300"/>
      <c r="L114" s="300"/>
      <c r="M114" s="300"/>
      <c r="N114" s="300"/>
      <c r="O114" s="300"/>
      <c r="P114" s="300"/>
      <c r="Q114" s="300"/>
      <c r="R114" s="300"/>
      <c r="S114" s="300"/>
    </row>
    <row r="115" spans="2:19" s="299" customFormat="1" ht="23.25" customHeight="1">
      <c r="B115" s="313"/>
      <c r="C115" s="314">
        <v>18</v>
      </c>
      <c r="D115" s="300">
        <v>2</v>
      </c>
      <c r="E115" s="316"/>
      <c r="F115" s="300"/>
      <c r="G115" s="300"/>
      <c r="H115" s="300"/>
      <c r="I115" s="300"/>
      <c r="J115" s="300"/>
      <c r="K115" s="300"/>
      <c r="L115" s="300"/>
      <c r="M115" s="300"/>
      <c r="N115" s="300"/>
      <c r="O115" s="300"/>
      <c r="P115" s="300"/>
      <c r="Q115" s="300"/>
      <c r="R115" s="300"/>
      <c r="S115" s="300"/>
    </row>
    <row r="116" spans="2:19" s="299" customFormat="1" ht="23.25" customHeight="1">
      <c r="B116" s="313"/>
      <c r="C116" s="314">
        <v>19</v>
      </c>
      <c r="D116" s="300">
        <v>1</v>
      </c>
      <c r="E116" s="300" t="s">
        <v>1494</v>
      </c>
      <c r="F116" s="300"/>
      <c r="G116" s="300"/>
      <c r="H116" s="300"/>
      <c r="I116" s="300"/>
      <c r="J116" s="300"/>
      <c r="K116" s="300"/>
      <c r="L116" s="300"/>
      <c r="M116" s="300"/>
      <c r="N116" s="300"/>
      <c r="O116" s="300"/>
      <c r="P116" s="300"/>
      <c r="Q116" s="300"/>
      <c r="R116" s="300"/>
      <c r="S116" s="300"/>
    </row>
    <row r="117" spans="2:19" s="299" customFormat="1" ht="23.25" customHeight="1">
      <c r="B117" s="313"/>
      <c r="C117" s="314">
        <v>20</v>
      </c>
      <c r="D117" s="300">
        <v>8</v>
      </c>
      <c r="E117" s="316"/>
      <c r="F117" s="300"/>
      <c r="G117" s="300"/>
      <c r="H117" s="300"/>
      <c r="I117" s="300"/>
      <c r="J117" s="300"/>
      <c r="K117" s="300"/>
      <c r="L117" s="300"/>
      <c r="M117" s="300"/>
      <c r="N117" s="300"/>
      <c r="O117" s="300"/>
      <c r="P117" s="300"/>
      <c r="Q117" s="300"/>
      <c r="R117" s="300"/>
      <c r="S117" s="300"/>
    </row>
    <row r="118" spans="2:19" s="299" customFormat="1" ht="23.25" customHeight="1">
      <c r="B118" s="313"/>
      <c r="C118" s="314">
        <v>21</v>
      </c>
      <c r="D118" s="300">
        <v>2</v>
      </c>
      <c r="E118" s="300"/>
      <c r="F118" s="300"/>
      <c r="G118" s="300"/>
      <c r="H118" s="300"/>
      <c r="I118" s="300"/>
      <c r="J118" s="300"/>
      <c r="K118" s="300"/>
      <c r="L118" s="300"/>
      <c r="M118" s="300"/>
      <c r="N118" s="300"/>
      <c r="O118" s="300"/>
      <c r="P118" s="300"/>
      <c r="Q118" s="300"/>
      <c r="R118" s="300"/>
      <c r="S118" s="300"/>
    </row>
    <row r="119" spans="2:19" s="299" customFormat="1" ht="23.25" customHeight="1">
      <c r="B119" s="313"/>
      <c r="C119" s="314">
        <v>22</v>
      </c>
      <c r="D119" s="300">
        <v>2</v>
      </c>
      <c r="E119" s="316"/>
      <c r="F119" s="300"/>
      <c r="G119" s="300"/>
      <c r="H119" s="300"/>
      <c r="I119" s="300"/>
      <c r="J119" s="300"/>
      <c r="K119" s="300"/>
      <c r="L119" s="300"/>
      <c r="M119" s="300"/>
      <c r="N119" s="300"/>
      <c r="O119" s="300"/>
      <c r="P119" s="300"/>
      <c r="Q119" s="300"/>
      <c r="R119" s="300"/>
      <c r="S119" s="300"/>
    </row>
    <row r="120" spans="2:19" s="299" customFormat="1" ht="23.25" customHeight="1">
      <c r="B120" s="313"/>
      <c r="C120" s="314">
        <v>23</v>
      </c>
      <c r="D120" s="300">
        <v>1</v>
      </c>
      <c r="E120" s="300" t="s">
        <v>1462</v>
      </c>
      <c r="F120" s="300"/>
      <c r="G120" s="300"/>
      <c r="H120" s="300"/>
      <c r="I120" s="300"/>
      <c r="J120" s="300"/>
      <c r="K120" s="300"/>
      <c r="L120" s="300"/>
      <c r="M120" s="300"/>
      <c r="N120" s="300"/>
      <c r="O120" s="300"/>
      <c r="P120" s="300"/>
      <c r="Q120" s="300"/>
      <c r="R120" s="300"/>
      <c r="S120" s="300"/>
    </row>
    <row r="121" spans="2:19" s="299" customFormat="1" ht="23.25" customHeight="1">
      <c r="B121" s="313"/>
      <c r="C121" s="314">
        <v>24</v>
      </c>
      <c r="D121" s="300">
        <v>1</v>
      </c>
      <c r="E121" s="300" t="s">
        <v>1463</v>
      </c>
      <c r="F121" s="300"/>
      <c r="G121" s="300"/>
      <c r="H121" s="300"/>
      <c r="I121" s="300"/>
      <c r="J121" s="300"/>
      <c r="K121" s="300"/>
      <c r="L121" s="300"/>
      <c r="M121" s="300"/>
      <c r="N121" s="300"/>
      <c r="O121" s="300"/>
      <c r="P121" s="300"/>
      <c r="Q121" s="300"/>
      <c r="R121" s="300"/>
      <c r="S121" s="300"/>
    </row>
    <row r="122" spans="2:19" s="299" customFormat="1" ht="23.25" customHeight="1">
      <c r="B122" s="313"/>
      <c r="C122" s="314">
        <v>25</v>
      </c>
      <c r="D122" s="300">
        <v>4</v>
      </c>
      <c r="E122" s="316"/>
      <c r="F122" s="300" t="s">
        <v>1464</v>
      </c>
      <c r="G122" s="300"/>
      <c r="H122" s="300"/>
      <c r="I122" s="300"/>
      <c r="J122" s="300"/>
      <c r="K122" s="300"/>
      <c r="L122" s="300"/>
      <c r="M122" s="300"/>
      <c r="N122" s="300"/>
      <c r="O122" s="300"/>
      <c r="P122" s="300"/>
      <c r="Q122" s="300"/>
      <c r="R122" s="300"/>
      <c r="S122" s="300"/>
    </row>
    <row r="123" spans="2:19" s="299" customFormat="1" ht="23.25" customHeight="1">
      <c r="B123" s="313"/>
      <c r="C123" s="314">
        <v>26</v>
      </c>
      <c r="D123" s="300">
        <v>2</v>
      </c>
      <c r="E123" s="316"/>
      <c r="F123" s="300"/>
      <c r="G123" s="300"/>
      <c r="H123" s="300"/>
      <c r="I123" s="300"/>
      <c r="J123" s="300"/>
      <c r="K123" s="300"/>
      <c r="L123" s="300"/>
      <c r="M123" s="300"/>
      <c r="N123" s="300"/>
      <c r="O123" s="300"/>
      <c r="P123" s="300"/>
      <c r="Q123" s="300"/>
      <c r="R123" s="300"/>
      <c r="S123" s="300"/>
    </row>
    <row r="124" spans="2:19" s="299" customFormat="1" ht="23.25" customHeight="1">
      <c r="B124" s="313"/>
      <c r="C124" s="314">
        <v>27</v>
      </c>
      <c r="D124" s="315">
        <v>1</v>
      </c>
      <c r="E124" s="300" t="s">
        <v>1495</v>
      </c>
      <c r="F124" s="300"/>
      <c r="G124" s="300"/>
      <c r="H124" s="300"/>
      <c r="I124" s="300"/>
      <c r="J124" s="300"/>
      <c r="K124" s="300"/>
      <c r="L124" s="300"/>
      <c r="M124" s="300"/>
      <c r="N124" s="300"/>
      <c r="O124" s="300"/>
      <c r="P124" s="300"/>
      <c r="Q124" s="300"/>
      <c r="R124" s="300"/>
      <c r="S124" s="300"/>
    </row>
    <row r="125" spans="2:19" s="299" customFormat="1" ht="23.25" customHeight="1">
      <c r="B125" s="313"/>
      <c r="C125" s="314">
        <v>28</v>
      </c>
      <c r="D125" s="315" t="s">
        <v>1496</v>
      </c>
      <c r="E125" s="316"/>
      <c r="F125" s="300"/>
      <c r="G125" s="300"/>
      <c r="H125" s="300"/>
      <c r="I125" s="300"/>
      <c r="J125" s="300"/>
      <c r="K125" s="300"/>
      <c r="L125" s="300"/>
      <c r="M125" s="300"/>
      <c r="N125" s="300"/>
      <c r="O125" s="300"/>
      <c r="P125" s="300"/>
      <c r="Q125" s="300"/>
      <c r="R125" s="300"/>
      <c r="S125" s="300"/>
    </row>
    <row r="126" spans="2:19" s="299" customFormat="1" ht="23.25" customHeight="1">
      <c r="B126" s="313"/>
      <c r="C126" s="314">
        <v>29</v>
      </c>
      <c r="D126" s="315">
        <v>8</v>
      </c>
      <c r="E126" s="316"/>
      <c r="F126" s="300"/>
      <c r="G126" s="300"/>
      <c r="H126" s="300"/>
      <c r="I126" s="300"/>
      <c r="J126" s="300"/>
      <c r="K126" s="300"/>
      <c r="L126" s="300"/>
      <c r="M126" s="300"/>
      <c r="N126" s="300"/>
      <c r="O126" s="300"/>
      <c r="P126" s="300"/>
      <c r="Q126" s="300"/>
      <c r="R126" s="300"/>
      <c r="S126" s="300"/>
    </row>
    <row r="127" spans="2:19" s="299" customFormat="1" ht="23.25" customHeight="1">
      <c r="B127" s="313"/>
      <c r="C127" s="314">
        <v>30</v>
      </c>
      <c r="D127" s="300">
        <v>1</v>
      </c>
      <c r="E127" s="300" t="s">
        <v>1470</v>
      </c>
      <c r="F127" s="300"/>
      <c r="G127" s="300"/>
      <c r="H127" s="300"/>
      <c r="I127" s="300"/>
      <c r="J127" s="300"/>
      <c r="K127" s="300"/>
      <c r="L127" s="300"/>
      <c r="M127" s="300"/>
      <c r="N127" s="300"/>
      <c r="O127" s="300"/>
      <c r="P127" s="300"/>
      <c r="Q127" s="300"/>
      <c r="R127" s="300"/>
      <c r="S127" s="300"/>
    </row>
    <row r="128" spans="2:19" s="299" customFormat="1" ht="23.25" customHeight="1">
      <c r="B128" s="313"/>
      <c r="C128" s="314">
        <v>31</v>
      </c>
      <c r="D128" s="300">
        <v>1</v>
      </c>
      <c r="E128" s="300" t="s">
        <v>1497</v>
      </c>
      <c r="F128" s="300"/>
      <c r="G128" s="300"/>
      <c r="H128" s="300"/>
      <c r="I128" s="300"/>
      <c r="J128" s="300"/>
      <c r="K128" s="300"/>
      <c r="L128" s="300"/>
      <c r="M128" s="300"/>
      <c r="N128" s="300"/>
      <c r="O128" s="300"/>
      <c r="P128" s="300"/>
      <c r="Q128" s="300"/>
      <c r="R128" s="300"/>
      <c r="S128" s="300"/>
    </row>
    <row r="129" spans="1:22" s="299" customFormat="1" ht="23.25" customHeight="1">
      <c r="B129" s="313"/>
      <c r="C129" s="314">
        <v>32</v>
      </c>
      <c r="D129" s="300">
        <v>1</v>
      </c>
      <c r="E129" s="300" t="s">
        <v>1498</v>
      </c>
      <c r="F129" s="300"/>
      <c r="G129" s="300"/>
      <c r="H129" s="300"/>
      <c r="I129" s="300"/>
      <c r="J129" s="300"/>
      <c r="K129" s="300"/>
      <c r="L129" s="300"/>
      <c r="M129" s="300"/>
      <c r="N129" s="300"/>
      <c r="O129" s="300"/>
      <c r="P129" s="300"/>
      <c r="Q129" s="300"/>
      <c r="R129" s="300"/>
      <c r="S129" s="300"/>
    </row>
    <row r="130" spans="1:22" s="299" customFormat="1" ht="23.25" customHeight="1">
      <c r="B130" s="313"/>
      <c r="C130" s="314">
        <v>33</v>
      </c>
      <c r="D130" s="300">
        <v>1</v>
      </c>
      <c r="E130" s="300" t="s">
        <v>1474</v>
      </c>
      <c r="F130" s="300"/>
      <c r="G130" s="300"/>
      <c r="H130" s="300"/>
      <c r="I130" s="300"/>
      <c r="J130" s="300"/>
      <c r="K130" s="300"/>
      <c r="L130" s="300"/>
      <c r="M130" s="300"/>
      <c r="N130" s="300"/>
      <c r="O130" s="300"/>
      <c r="P130" s="300"/>
      <c r="Q130" s="300"/>
      <c r="R130" s="300"/>
      <c r="S130" s="300"/>
    </row>
    <row r="131" spans="1:22" s="299" customFormat="1" ht="23.25" customHeight="1">
      <c r="B131" s="313"/>
      <c r="C131" s="314">
        <v>34</v>
      </c>
      <c r="D131" s="315">
        <v>1</v>
      </c>
      <c r="E131" s="300" t="s">
        <v>1499</v>
      </c>
      <c r="F131" s="300"/>
      <c r="G131" s="300"/>
      <c r="H131" s="300"/>
      <c r="I131" s="300"/>
      <c r="J131" s="300"/>
      <c r="K131" s="300"/>
      <c r="L131" s="300"/>
      <c r="M131" s="300"/>
      <c r="N131" s="300"/>
      <c r="O131" s="300"/>
      <c r="P131" s="300"/>
      <c r="Q131" s="300"/>
      <c r="R131" s="300"/>
      <c r="S131" s="300"/>
    </row>
    <row r="132" spans="1:22" s="299" customFormat="1" ht="23.25" customHeight="1">
      <c r="B132" s="313"/>
      <c r="C132" s="314">
        <v>35</v>
      </c>
      <c r="D132" s="300">
        <v>2</v>
      </c>
      <c r="E132" s="300"/>
      <c r="F132" s="300"/>
      <c r="G132" s="300"/>
      <c r="H132" s="300"/>
      <c r="I132" s="300"/>
      <c r="J132" s="300"/>
      <c r="K132" s="300"/>
      <c r="L132" s="300"/>
      <c r="M132" s="300"/>
      <c r="N132" s="300"/>
      <c r="O132" s="300"/>
      <c r="P132" s="300"/>
      <c r="Q132" s="300"/>
      <c r="R132" s="300"/>
      <c r="S132" s="300"/>
    </row>
    <row r="133" spans="1:22" s="299" customFormat="1" ht="23.25" customHeight="1">
      <c r="B133" s="313"/>
      <c r="C133" s="314">
        <v>36</v>
      </c>
      <c r="D133" s="300">
        <v>3</v>
      </c>
      <c r="E133" s="300"/>
      <c r="F133" s="300"/>
      <c r="G133" s="300"/>
      <c r="H133" s="300"/>
      <c r="I133" s="300"/>
      <c r="J133" s="300"/>
      <c r="K133" s="300"/>
      <c r="L133" s="300"/>
      <c r="M133" s="300"/>
      <c r="N133" s="300"/>
      <c r="O133" s="300"/>
      <c r="P133" s="300"/>
      <c r="Q133" s="300"/>
      <c r="R133" s="300"/>
      <c r="S133" s="300"/>
    </row>
    <row r="134" spans="1:22" s="299" customFormat="1" ht="23.25" customHeight="1">
      <c r="B134" s="313"/>
      <c r="C134" s="314">
        <v>37</v>
      </c>
      <c r="D134" s="300">
        <v>8</v>
      </c>
      <c r="E134" s="300"/>
      <c r="F134" s="300"/>
      <c r="G134" s="300"/>
      <c r="H134" s="300"/>
      <c r="I134" s="300"/>
      <c r="J134" s="300"/>
      <c r="K134" s="300"/>
      <c r="L134" s="300"/>
      <c r="M134" s="300"/>
      <c r="N134" s="300"/>
      <c r="O134" s="300"/>
      <c r="P134" s="300"/>
      <c r="Q134" s="300"/>
      <c r="R134" s="300"/>
      <c r="S134" s="300"/>
    </row>
    <row r="135" spans="1:22" s="299" customFormat="1" ht="23.25" customHeight="1">
      <c r="B135" s="313"/>
      <c r="C135" s="314">
        <v>38</v>
      </c>
      <c r="D135" s="300">
        <v>1</v>
      </c>
      <c r="E135" s="300" t="s">
        <v>1500</v>
      </c>
      <c r="F135" s="300"/>
      <c r="G135" s="300"/>
      <c r="H135" s="300"/>
      <c r="I135" s="300"/>
      <c r="J135" s="300"/>
      <c r="K135" s="300"/>
      <c r="L135" s="300"/>
      <c r="M135" s="300"/>
      <c r="N135" s="300"/>
      <c r="O135" s="300"/>
      <c r="P135" s="300"/>
      <c r="Q135" s="300"/>
      <c r="R135" s="300"/>
      <c r="S135" s="300"/>
    </row>
    <row r="136" spans="1:22" s="299" customFormat="1" ht="23.25" customHeight="1">
      <c r="B136" s="313"/>
      <c r="C136" s="314">
        <v>39</v>
      </c>
      <c r="D136" s="300">
        <v>1</v>
      </c>
      <c r="E136" s="300" t="s">
        <v>1481</v>
      </c>
      <c r="F136" s="300"/>
      <c r="G136" s="300"/>
      <c r="H136" s="300"/>
      <c r="I136" s="300"/>
      <c r="J136" s="300"/>
      <c r="K136" s="300"/>
      <c r="L136" s="300"/>
      <c r="M136" s="300"/>
      <c r="N136" s="300"/>
      <c r="O136" s="300"/>
      <c r="P136" s="300"/>
      <c r="Q136" s="300"/>
      <c r="R136" s="300"/>
      <c r="S136" s="300"/>
    </row>
    <row r="137" spans="1:22" s="297" customFormat="1" ht="23.25" customHeight="1">
      <c r="A137" s="295"/>
      <c r="B137" s="1722" t="s">
        <v>1483</v>
      </c>
      <c r="C137" s="1723"/>
      <c r="D137" s="1723"/>
      <c r="E137" s="324" t="str">
        <f t="shared" ref="E137:S137" si="1">E98&amp;E99&amp;E100&amp;E101&amp;E102&amp;E103&amp;E104&amp;E105&amp;E106&amp;E107&amp;E108&amp;E109&amp;E110&amp;E111&amp;E112&amp;E113&amp;E114&amp;E115&amp;E116&amp;E117&amp;E118&amp;E119&amp;E120&amp;E121&amp;E122&amp;E123&amp;E124&amp;E125&amp;E126&amp;E127&amp;E128&amp;E129&amp;E130&amp;E131&amp;E132&amp;E133&amp;E134&amp;E135&amp;E136</f>
        <v>1.5.8.10.12.14.19.23.24.27.30.31.32.33.34.38.39.</v>
      </c>
      <c r="F137" s="324" t="str">
        <f t="shared" si="1"/>
        <v>25.</v>
      </c>
      <c r="G137" s="324" t="str">
        <f t="shared" si="1"/>
        <v/>
      </c>
      <c r="H137" s="324" t="str">
        <f t="shared" si="1"/>
        <v/>
      </c>
      <c r="I137" s="324" t="str">
        <f t="shared" si="1"/>
        <v/>
      </c>
      <c r="J137" s="324" t="str">
        <f t="shared" si="1"/>
        <v/>
      </c>
      <c r="K137" s="324" t="str">
        <f t="shared" si="1"/>
        <v/>
      </c>
      <c r="L137" s="324" t="str">
        <f t="shared" si="1"/>
        <v/>
      </c>
      <c r="M137" s="324" t="str">
        <f t="shared" si="1"/>
        <v/>
      </c>
      <c r="N137" s="324" t="str">
        <f t="shared" si="1"/>
        <v/>
      </c>
      <c r="O137" s="324" t="str">
        <f t="shared" si="1"/>
        <v/>
      </c>
      <c r="P137" s="324" t="str">
        <f t="shared" si="1"/>
        <v/>
      </c>
      <c r="Q137" s="324" t="str">
        <f t="shared" si="1"/>
        <v/>
      </c>
      <c r="R137" s="324" t="str">
        <f t="shared" si="1"/>
        <v/>
      </c>
      <c r="S137" s="324" t="str">
        <f t="shared" si="1"/>
        <v/>
      </c>
    </row>
    <row r="138" spans="1:22" s="297" customFormat="1" ht="13.5" customHeight="1">
      <c r="A138" s="295"/>
      <c r="B138" s="293"/>
      <c r="C138" s="296"/>
      <c r="D138" s="295"/>
      <c r="E138" s="298"/>
      <c r="F138" s="295"/>
      <c r="G138" s="295"/>
      <c r="H138" s="295"/>
      <c r="I138" s="295"/>
      <c r="J138" s="295"/>
    </row>
    <row r="139" spans="1:22" s="297" customFormat="1" ht="45" customHeight="1">
      <c r="A139" s="295"/>
      <c r="B139" s="293"/>
      <c r="C139" s="296"/>
      <c r="D139" s="295"/>
      <c r="E139" s="298"/>
      <c r="F139" s="295"/>
      <c r="G139" s="295"/>
      <c r="H139" s="295"/>
      <c r="I139" s="295"/>
      <c r="J139" s="295"/>
    </row>
    <row r="140" spans="1:22" s="297" customFormat="1" ht="45" customHeight="1">
      <c r="A140" s="295"/>
      <c r="B140" s="1726" t="s">
        <v>1430</v>
      </c>
      <c r="C140" s="1727"/>
      <c r="D140" s="1730" t="s">
        <v>1501</v>
      </c>
      <c r="E140" s="1730"/>
      <c r="F140" s="1730"/>
      <c r="G140" s="339"/>
      <c r="H140" s="347"/>
      <c r="I140" s="295"/>
      <c r="J140" s="295"/>
    </row>
    <row r="141" spans="1:22" s="297" customFormat="1" ht="45" customHeight="1" thickBot="1">
      <c r="A141" s="295"/>
      <c r="B141" s="1728"/>
      <c r="C141" s="1729"/>
      <c r="D141" s="1731"/>
      <c r="E141" s="1731"/>
      <c r="F141" s="1731"/>
      <c r="G141" s="335" t="s">
        <v>1502</v>
      </c>
      <c r="H141" s="336"/>
      <c r="I141" s="295"/>
      <c r="J141" s="295"/>
    </row>
    <row r="142" spans="1:22" s="297" customFormat="1" ht="67.5" customHeight="1" thickTop="1">
      <c r="A142" s="325">
        <v>10</v>
      </c>
      <c r="B142" s="1719">
        <v>1</v>
      </c>
      <c r="C142" s="1720"/>
      <c r="D142" s="1721" t="str">
        <f>'[10]Profil Risiko_Korporat_240424'!J8</f>
        <v>Kenaikan beban operasi akibat pelemahan nilai tukar rupiah terhadap dollar</v>
      </c>
      <c r="E142" s="1721"/>
      <c r="F142" s="1721"/>
      <c r="G142" s="340" t="s">
        <v>1429</v>
      </c>
      <c r="H142" s="337"/>
      <c r="I142" s="295"/>
      <c r="J142" s="299"/>
      <c r="K142" s="301"/>
      <c r="L142" s="301"/>
      <c r="M142" s="301"/>
      <c r="N142" s="301"/>
      <c r="O142" s="301"/>
      <c r="P142" s="301"/>
      <c r="Q142" s="301"/>
      <c r="R142" s="301"/>
      <c r="S142" s="301"/>
      <c r="T142" s="301"/>
      <c r="U142" s="301"/>
      <c r="V142" s="301"/>
    </row>
    <row r="143" spans="1:22" s="297" customFormat="1" ht="67.5" customHeight="1">
      <c r="A143" s="325">
        <v>5</v>
      </c>
      <c r="B143" s="1716">
        <v>2</v>
      </c>
      <c r="C143" s="1717"/>
      <c r="D143" s="1718" t="str">
        <f>'[10]Profil Risiko_Korporat_240424'!J9</f>
        <v>Keterlambatan Penerimaan Penjualan Tenaga Listrik MPP 500 MW</v>
      </c>
      <c r="E143" s="1718"/>
      <c r="F143" s="1718"/>
      <c r="G143" s="341" t="s">
        <v>1404</v>
      </c>
      <c r="H143" s="300"/>
      <c r="I143" s="295"/>
      <c r="J143" s="295"/>
    </row>
    <row r="144" spans="1:22" s="297" customFormat="1" ht="67.5" customHeight="1">
      <c r="A144" s="325">
        <v>6</v>
      </c>
      <c r="B144" s="1716">
        <v>3</v>
      </c>
      <c r="C144" s="1717"/>
      <c r="D144" s="1718" t="str">
        <f>'[10]Profil Risiko_Korporat_240424'!J10</f>
        <v>Anggaran Operasi melebihi pagu RKAP yang telah ditetapkan</v>
      </c>
      <c r="E144" s="1718"/>
      <c r="F144" s="1718"/>
      <c r="G144" s="341" t="s">
        <v>1404</v>
      </c>
      <c r="H144" s="300"/>
      <c r="I144" s="295"/>
      <c r="J144" s="295"/>
    </row>
    <row r="145" spans="1:10" s="297" customFormat="1" ht="67.5" customHeight="1">
      <c r="A145" s="325">
        <v>14</v>
      </c>
      <c r="B145" s="1716">
        <v>4</v>
      </c>
      <c r="C145" s="1717"/>
      <c r="D145" s="1732" t="str">
        <f>'[10]Profil Risiko_Korporat_240424'!J11</f>
        <v xml:space="preserve">Realisasi pelaksanaan pekerjaan proyek Anggaran Investasi tidak sesuai dengan perencanaan keuangan
</v>
      </c>
      <c r="E145" s="1732"/>
      <c r="F145" s="1732"/>
      <c r="G145" s="342" t="s">
        <v>1429</v>
      </c>
      <c r="H145" s="300"/>
      <c r="I145" s="295"/>
      <c r="J145" s="295"/>
    </row>
    <row r="146" spans="1:10" s="297" customFormat="1" ht="67.5" customHeight="1">
      <c r="A146" s="326">
        <v>35</v>
      </c>
      <c r="B146" s="1716">
        <v>5</v>
      </c>
      <c r="C146" s="1717"/>
      <c r="D146" s="1718" t="str">
        <f>'[10]Profil Risiko_Korporat_240424'!J12</f>
        <v>Penyelesaian dan Penyampaian Laporan Keuangan audit tidak sesuai target waktu yang ditetapkan</v>
      </c>
      <c r="E146" s="1718"/>
      <c r="F146" s="1718"/>
      <c r="G146" s="343" t="s">
        <v>1394</v>
      </c>
      <c r="H146" s="300"/>
      <c r="I146" s="295"/>
      <c r="J146" s="295"/>
    </row>
    <row r="147" spans="1:10" s="297" customFormat="1" ht="67.5" customHeight="1">
      <c r="A147" s="326">
        <v>15</v>
      </c>
      <c r="B147" s="1716">
        <v>6</v>
      </c>
      <c r="C147" s="1717"/>
      <c r="D147" s="1718" t="str">
        <f>'[10]Profil Risiko_Korporat_240424'!J13</f>
        <v xml:space="preserve">Talent Development dan Talent Mobility tidak efektif dalam menyiapkan Talent milenial untuk Ready sebagai suksesi </v>
      </c>
      <c r="E147" s="1718"/>
      <c r="F147" s="1718"/>
      <c r="G147" s="342" t="s">
        <v>1429</v>
      </c>
      <c r="H147" s="300"/>
      <c r="I147" s="295"/>
      <c r="J147" s="295"/>
    </row>
    <row r="148" spans="1:10" s="297" customFormat="1" ht="67.5" customHeight="1">
      <c r="A148" s="326">
        <v>16</v>
      </c>
      <c r="B148" s="1716">
        <v>7</v>
      </c>
      <c r="C148" s="1717"/>
      <c r="D148" s="1732" t="str">
        <f>'[10]Profil Risiko_Korporat_240424'!J14</f>
        <v xml:space="preserve">Talent Development dan Talent Mobility tidak efektif dalam menyiapkan Talent Perempuan untuk Ready sebagai suksesi </v>
      </c>
      <c r="E148" s="1732"/>
      <c r="F148" s="1732"/>
      <c r="G148" s="342" t="s">
        <v>1429</v>
      </c>
      <c r="H148" s="300"/>
      <c r="I148" s="295"/>
      <c r="J148" s="295"/>
    </row>
    <row r="149" spans="1:10" s="297" customFormat="1" ht="67.5" customHeight="1">
      <c r="A149" s="326">
        <v>11</v>
      </c>
      <c r="B149" s="1716">
        <v>8</v>
      </c>
      <c r="C149" s="1717"/>
      <c r="D149" s="1718" t="str">
        <f>'[10]Profil Risiko_Korporat_240424'!J15</f>
        <v xml:space="preserve">Ketidaktersediaan waktu pengelola organ risiko untuk mengikuti sertifikasi </v>
      </c>
      <c r="E149" s="1718"/>
      <c r="F149" s="1718"/>
      <c r="G149" s="342" t="s">
        <v>1429</v>
      </c>
      <c r="H149" s="300"/>
      <c r="I149" s="295"/>
      <c r="J149" s="295"/>
    </row>
    <row r="150" spans="1:10" s="297" customFormat="1" ht="67.5" customHeight="1">
      <c r="A150" s="326">
        <v>36</v>
      </c>
      <c r="B150" s="1716">
        <v>9</v>
      </c>
      <c r="C150" s="1717"/>
      <c r="D150" s="1718" t="str">
        <f>'[10]Profil Risiko_Korporat_240424'!J16</f>
        <v>Pelaksanaan TJSL/CSR tidak sesuai dengan Timeline</v>
      </c>
      <c r="E150" s="1718"/>
      <c r="F150" s="1718"/>
      <c r="G150" s="343" t="s">
        <v>1394</v>
      </c>
      <c r="H150" s="300"/>
      <c r="I150" s="295"/>
      <c r="J150" s="295"/>
    </row>
    <row r="151" spans="1:10" s="297" customFormat="1" ht="67.5" customHeight="1">
      <c r="A151" s="326">
        <v>23</v>
      </c>
      <c r="B151" s="1716">
        <v>10</v>
      </c>
      <c r="C151" s="1717"/>
      <c r="D151" s="1732" t="str">
        <f>'[10]Profil Risiko_Korporat_240424'!J17</f>
        <v>Kurangnya koordinasi antara auditor dengan auditee terkait tindak lanjut rekomendasi</v>
      </c>
      <c r="E151" s="1732"/>
      <c r="F151" s="1732"/>
      <c r="G151" s="344" t="s">
        <v>1428</v>
      </c>
      <c r="H151" s="300"/>
      <c r="I151" s="295"/>
      <c r="J151" s="295"/>
    </row>
    <row r="152" spans="1:10" s="297" customFormat="1" ht="67.5" customHeight="1">
      <c r="A152" s="326">
        <v>2</v>
      </c>
      <c r="B152" s="1716">
        <v>11</v>
      </c>
      <c r="C152" s="1717"/>
      <c r="D152" s="1718" t="str">
        <f>'[10]Profil Risiko_Korporat_240424'!J18</f>
        <v>Ketersediaan pasokan Gas harga ekonomis tidak mencukupi kebutuhan operasional pembangkit gas</v>
      </c>
      <c r="E152" s="1718"/>
      <c r="F152" s="1718"/>
      <c r="G152" s="345" t="s">
        <v>1405</v>
      </c>
      <c r="H152" s="300"/>
      <c r="I152" s="295"/>
      <c r="J152" s="295"/>
    </row>
    <row r="153" spans="1:10" s="297" customFormat="1" ht="67.5" customHeight="1">
      <c r="A153" s="326">
        <v>37</v>
      </c>
      <c r="B153" s="1716">
        <v>12</v>
      </c>
      <c r="C153" s="1717"/>
      <c r="D153" s="1718" t="str">
        <f>'[10]Profil Risiko_Korporat_240424'!J19</f>
        <v>Penambahan pembangkit berbasis EBT dalam sistem Batam – Bintan tidak mencapai target 100 MWp tahun 2025</v>
      </c>
      <c r="E153" s="1718"/>
      <c r="F153" s="1718"/>
      <c r="G153" s="343" t="s">
        <v>1394</v>
      </c>
      <c r="H153" s="300"/>
      <c r="I153" s="295"/>
      <c r="J153" s="295"/>
    </row>
    <row r="154" spans="1:10" s="297" customFormat="1" ht="67.5" customHeight="1">
      <c r="A154" s="326">
        <v>12</v>
      </c>
      <c r="B154" s="1716">
        <v>13</v>
      </c>
      <c r="C154" s="1717"/>
      <c r="D154" s="1732" t="str">
        <f>'[10]Profil Risiko_Korporat_240424'!J20</f>
        <v xml:space="preserve">Pemenuhan parameter dan kriteria Penilian RMI </v>
      </c>
      <c r="E154" s="1732"/>
      <c r="F154" s="1732"/>
      <c r="G154" s="342" t="s">
        <v>1429</v>
      </c>
      <c r="H154" s="300"/>
      <c r="I154" s="295"/>
      <c r="J154" s="295"/>
    </row>
    <row r="155" spans="1:10" s="297" customFormat="1" ht="67.5" customHeight="1">
      <c r="A155" s="326">
        <v>19</v>
      </c>
      <c r="B155" s="1716">
        <v>14</v>
      </c>
      <c r="C155" s="1717"/>
      <c r="D155" s="1718" t="str">
        <f>'[10]Profil Risiko_Korporat_240424'!J21</f>
        <v>Penjualan listrik kurang maksimal</v>
      </c>
      <c r="E155" s="1718"/>
      <c r="F155" s="1718"/>
      <c r="G155" s="344" t="s">
        <v>1428</v>
      </c>
      <c r="H155" s="300"/>
      <c r="I155" s="295"/>
      <c r="J155" s="295"/>
    </row>
    <row r="156" spans="1:10" s="297" customFormat="1" ht="67.5" customHeight="1">
      <c r="A156" s="326">
        <v>28</v>
      </c>
      <c r="B156" s="1716">
        <v>15</v>
      </c>
      <c r="C156" s="1717"/>
      <c r="D156" s="1718" t="str">
        <f>'[10]Profil Risiko_Korporat_240424'!J22</f>
        <v>Pemegang Saham tidak menyetujui pembelian saham</v>
      </c>
      <c r="E156" s="1718"/>
      <c r="F156" s="1718"/>
      <c r="G156" s="343" t="s">
        <v>1394</v>
      </c>
      <c r="H156" s="300"/>
      <c r="I156" s="295"/>
      <c r="J156" s="295"/>
    </row>
    <row r="157" spans="1:10" s="297" customFormat="1" ht="67.5" customHeight="1">
      <c r="A157" s="326">
        <v>20</v>
      </c>
      <c r="B157" s="1716">
        <v>16</v>
      </c>
      <c r="C157" s="1717"/>
      <c r="D157" s="1732" t="str">
        <f>'[10]Profil Risiko_Korporat_240424'!J23</f>
        <v>Pemegang Saham tidak menyetujui pembelian saham</v>
      </c>
      <c r="E157" s="1732"/>
      <c r="F157" s="1732"/>
      <c r="G157" s="344" t="s">
        <v>1428</v>
      </c>
      <c r="H157" s="300"/>
      <c r="I157" s="295"/>
      <c r="J157" s="295"/>
    </row>
    <row r="158" spans="1:10" s="297" customFormat="1" ht="67.5" customHeight="1">
      <c r="A158" s="326">
        <v>24</v>
      </c>
      <c r="B158" s="1716">
        <v>17</v>
      </c>
      <c r="C158" s="1717"/>
      <c r="D158" s="1718" t="str">
        <f>'[10]Profil Risiko_Korporat_240424'!J24</f>
        <v>Biaya AMC melebihi pagu anggaran</v>
      </c>
      <c r="E158" s="1718"/>
      <c r="F158" s="1718"/>
      <c r="G158" s="344" t="s">
        <v>1428</v>
      </c>
      <c r="H158" s="300"/>
      <c r="I158" s="295"/>
      <c r="J158" s="295"/>
    </row>
    <row r="159" spans="1:10" s="297" customFormat="1" ht="67.5" customHeight="1">
      <c r="A159" s="326">
        <v>22</v>
      </c>
      <c r="B159" s="1716">
        <v>18</v>
      </c>
      <c r="C159" s="1717"/>
      <c r="D159" s="1718" t="str">
        <f>'[10]Profil Risiko_Korporat_240424'!J25</f>
        <v>Harga Jual rata-rata di bawah target RKAP</v>
      </c>
      <c r="E159" s="1718"/>
      <c r="F159" s="1718"/>
      <c r="G159" s="344" t="s">
        <v>1428</v>
      </c>
      <c r="H159" s="300"/>
      <c r="I159" s="295"/>
      <c r="J159" s="295"/>
    </row>
    <row r="160" spans="1:10" s="297" customFormat="1" ht="67.5" customHeight="1">
      <c r="A160" s="326">
        <v>26</v>
      </c>
      <c r="B160" s="1716">
        <v>19</v>
      </c>
      <c r="C160" s="1717"/>
      <c r="D160" s="1718" t="str">
        <f>'[10]Profil Risiko_Korporat_240424'!J28</f>
        <v>Penurunan market share penjualan listrik</v>
      </c>
      <c r="E160" s="1718"/>
      <c r="F160" s="1718"/>
      <c r="G160" s="343" t="s">
        <v>1394</v>
      </c>
      <c r="H160" s="300"/>
      <c r="I160" s="295"/>
      <c r="J160" s="295"/>
    </row>
    <row r="161" spans="1:10" s="297" customFormat="1" ht="67.5" customHeight="1">
      <c r="A161" s="326">
        <v>29</v>
      </c>
      <c r="B161" s="1716">
        <v>20</v>
      </c>
      <c r="C161" s="1717"/>
      <c r="D161" s="1718" t="s">
        <v>1503</v>
      </c>
      <c r="E161" s="1718"/>
      <c r="F161" s="1718"/>
      <c r="G161" s="343" t="s">
        <v>1394</v>
      </c>
      <c r="H161" s="300"/>
      <c r="I161" s="295"/>
      <c r="J161" s="295"/>
    </row>
    <row r="162" spans="1:10" s="297" customFormat="1" ht="67.5" customHeight="1">
      <c r="A162" s="326">
        <v>38</v>
      </c>
      <c r="B162" s="1716">
        <v>21</v>
      </c>
      <c r="C162" s="1717"/>
      <c r="D162" s="1718" t="s">
        <v>1504</v>
      </c>
      <c r="E162" s="1718"/>
      <c r="F162" s="1718"/>
      <c r="G162" s="343" t="s">
        <v>1394</v>
      </c>
      <c r="H162" s="300"/>
      <c r="I162" s="295"/>
      <c r="J162" s="295"/>
    </row>
    <row r="163" spans="1:10" s="297" customFormat="1" ht="67.5" customHeight="1">
      <c r="A163" s="326">
        <v>1</v>
      </c>
      <c r="B163" s="1716">
        <v>22</v>
      </c>
      <c r="C163" s="1717"/>
      <c r="D163" s="1732" t="str">
        <f>'[10]Profil Risiko_Korporat_240424'!J36</f>
        <v>Kegagalan Integrasi Proses Bisnis PLN Batam ke PLN Mobile</v>
      </c>
      <c r="E163" s="1732"/>
      <c r="F163" s="1732"/>
      <c r="G163" s="345" t="s">
        <v>1405</v>
      </c>
      <c r="H163" s="300"/>
      <c r="I163" s="295"/>
      <c r="J163" s="295"/>
    </row>
    <row r="164" spans="1:10" s="297" customFormat="1" ht="67.5" customHeight="1">
      <c r="A164" s="326">
        <v>39</v>
      </c>
      <c r="B164" s="1716">
        <v>23</v>
      </c>
      <c r="C164" s="1717"/>
      <c r="D164" s="1718" t="s">
        <v>1505</v>
      </c>
      <c r="E164" s="1718"/>
      <c r="F164" s="1718"/>
      <c r="G164" s="343" t="s">
        <v>1394</v>
      </c>
      <c r="H164" s="300"/>
      <c r="I164" s="295"/>
      <c r="J164" s="295"/>
    </row>
    <row r="165" spans="1:10" s="297" customFormat="1" ht="67.5" customHeight="1">
      <c r="A165" s="326">
        <v>40</v>
      </c>
      <c r="B165" s="1716">
        <v>24</v>
      </c>
      <c r="C165" s="1717"/>
      <c r="D165" s="1718" t="s">
        <v>1506</v>
      </c>
      <c r="E165" s="1718"/>
      <c r="F165" s="1718"/>
      <c r="G165" s="343" t="s">
        <v>1394</v>
      </c>
      <c r="H165" s="300"/>
      <c r="I165" s="295"/>
      <c r="J165" s="295"/>
    </row>
    <row r="166" spans="1:10" s="297" customFormat="1" ht="67.5" customHeight="1">
      <c r="A166" s="326">
        <v>30</v>
      </c>
      <c r="B166" s="1716">
        <v>25</v>
      </c>
      <c r="C166" s="1717"/>
      <c r="D166" s="1732" t="s">
        <v>1507</v>
      </c>
      <c r="E166" s="1732"/>
      <c r="F166" s="1732"/>
      <c r="G166" s="343" t="s">
        <v>1394</v>
      </c>
      <c r="H166" s="300"/>
      <c r="I166" s="295"/>
      <c r="J166" s="295"/>
    </row>
    <row r="167" spans="1:10" s="297" customFormat="1" ht="67.5" customHeight="1">
      <c r="A167" s="326">
        <v>7</v>
      </c>
      <c r="B167" s="1716">
        <v>26</v>
      </c>
      <c r="C167" s="1717"/>
      <c r="D167" s="1718" t="s">
        <v>1508</v>
      </c>
      <c r="E167" s="1718"/>
      <c r="F167" s="1718"/>
      <c r="G167" s="342" t="s">
        <v>1429</v>
      </c>
      <c r="H167" s="300"/>
      <c r="I167" s="295"/>
      <c r="J167" s="295"/>
    </row>
    <row r="168" spans="1:10" s="297" customFormat="1" ht="67.5" customHeight="1">
      <c r="A168" s="326">
        <v>32</v>
      </c>
      <c r="B168" s="1716">
        <v>27</v>
      </c>
      <c r="C168" s="1717"/>
      <c r="D168" s="1718" t="s">
        <v>1509</v>
      </c>
      <c r="E168" s="1718"/>
      <c r="F168" s="1718"/>
      <c r="G168" s="343" t="s">
        <v>1394</v>
      </c>
      <c r="H168" s="300"/>
      <c r="I168" s="295"/>
      <c r="J168" s="295"/>
    </row>
    <row r="169" spans="1:10" s="297" customFormat="1" ht="67.5" customHeight="1">
      <c r="A169" s="326">
        <v>3</v>
      </c>
      <c r="B169" s="1733">
        <v>28</v>
      </c>
      <c r="C169" s="1734"/>
      <c r="D169" s="1735" t="s">
        <v>1510</v>
      </c>
      <c r="E169" s="1736"/>
      <c r="F169" s="1736"/>
      <c r="G169" s="345" t="s">
        <v>1405</v>
      </c>
      <c r="H169" s="300"/>
      <c r="I169" s="295"/>
      <c r="J169" s="295"/>
    </row>
    <row r="170" spans="1:10" s="297" customFormat="1" ht="67.5" customHeight="1">
      <c r="A170" s="326">
        <v>25</v>
      </c>
      <c r="B170" s="1737"/>
      <c r="C170" s="1738"/>
      <c r="D170" s="1735" t="s">
        <v>1511</v>
      </c>
      <c r="E170" s="1736"/>
      <c r="F170" s="1736"/>
      <c r="G170" s="344" t="s">
        <v>1428</v>
      </c>
      <c r="H170" s="300"/>
      <c r="I170" s="295"/>
      <c r="J170" s="295"/>
    </row>
    <row r="171" spans="1:10" s="297" customFormat="1" ht="67.5" customHeight="1">
      <c r="A171" s="326">
        <v>18</v>
      </c>
      <c r="B171" s="1719">
        <v>29</v>
      </c>
      <c r="C171" s="1720"/>
      <c r="D171" s="1718" t="str">
        <f>'[10]Profil Risiko_Korporat_240424'!J51</f>
        <v>Biaya Pokok Penyediaan Diatas Harga Jual Rata-rata karena permintaan pasokan ke IPP</v>
      </c>
      <c r="E171" s="1718"/>
      <c r="F171" s="1718"/>
      <c r="G171" s="342" t="s">
        <v>1429</v>
      </c>
      <c r="H171" s="300"/>
      <c r="I171" s="295"/>
      <c r="J171" s="295"/>
    </row>
    <row r="172" spans="1:10" s="297" customFormat="1" ht="67.5" customHeight="1">
      <c r="A172" s="326">
        <v>17</v>
      </c>
      <c r="B172" s="1716">
        <v>30</v>
      </c>
      <c r="C172" s="1717"/>
      <c r="D172" s="1718" t="str">
        <f>'[10]Profil Risiko_Korporat_240424'!J52</f>
        <v>Tidak terpenuhinya kriteria penilaian dalam Maturity Level Sustainability (Sertifikat Sistem Manajemen Lingkungan)</v>
      </c>
      <c r="E172" s="1718"/>
      <c r="F172" s="1718"/>
      <c r="G172" s="342" t="s">
        <v>1429</v>
      </c>
      <c r="H172" s="300"/>
      <c r="I172" s="295"/>
      <c r="J172" s="295"/>
    </row>
    <row r="173" spans="1:10" s="297" customFormat="1" ht="67.5" customHeight="1">
      <c r="A173" s="326">
        <v>8</v>
      </c>
      <c r="B173" s="1716">
        <v>31</v>
      </c>
      <c r="C173" s="1717"/>
      <c r="D173" s="1718" t="str">
        <f>'[10]Profil Risiko_Korporat_240424'!J53</f>
        <v>Terjadinya Perilaku berbahaya (Unsafe action)</v>
      </c>
      <c r="E173" s="1718"/>
      <c r="F173" s="1718"/>
      <c r="G173" s="342" t="s">
        <v>1429</v>
      </c>
      <c r="H173" s="300"/>
      <c r="I173" s="295"/>
      <c r="J173" s="295"/>
    </row>
    <row r="174" spans="1:10" s="297" customFormat="1" ht="67.5" customHeight="1">
      <c r="A174" s="326">
        <v>9</v>
      </c>
      <c r="B174" s="1716">
        <v>32</v>
      </c>
      <c r="C174" s="1717"/>
      <c r="D174" s="1718" t="str">
        <f>'[10]Profil Risiko_Korporat_240424'!J54</f>
        <v>Terjadinya Kondisi berbahaya (Unsafe condition)</v>
      </c>
      <c r="E174" s="1718"/>
      <c r="F174" s="1718"/>
      <c r="G174" s="342" t="s">
        <v>1429</v>
      </c>
      <c r="H174" s="300"/>
      <c r="I174" s="295"/>
      <c r="J174" s="295"/>
    </row>
    <row r="175" spans="1:10" s="297" customFormat="1" ht="67.5" customHeight="1">
      <c r="A175" s="326">
        <v>21</v>
      </c>
      <c r="B175" s="1716">
        <v>33</v>
      </c>
      <c r="C175" s="1717"/>
      <c r="D175" s="1718" t="str">
        <f>'[10]Profil Risiko_Korporat_240424'!J55</f>
        <v>Pencemaran lingkungan hidup di area unit kerja</v>
      </c>
      <c r="E175" s="1718"/>
      <c r="F175" s="1718"/>
      <c r="G175" s="344" t="s">
        <v>1428</v>
      </c>
      <c r="H175" s="300"/>
      <c r="I175" s="295"/>
      <c r="J175" s="295"/>
    </row>
    <row r="176" spans="1:10" s="297" customFormat="1" ht="67.5" customHeight="1">
      <c r="A176" s="326">
        <v>33</v>
      </c>
      <c r="B176" s="1716">
        <v>34</v>
      </c>
      <c r="C176" s="1717"/>
      <c r="D176" s="1718" t="str">
        <f>'[10]Profil Risiko_Korporat_240424'!J56</f>
        <v>Peralatan ketenagalistrikan belum memiliki SLO (Standar Laik Operasi)</v>
      </c>
      <c r="E176" s="1718"/>
      <c r="F176" s="1718"/>
      <c r="G176" s="343" t="s">
        <v>1394</v>
      </c>
      <c r="H176" s="300"/>
      <c r="I176" s="295"/>
      <c r="J176" s="295"/>
    </row>
    <row r="177" spans="1:10" s="297" customFormat="1" ht="67.5" customHeight="1">
      <c r="A177" s="326">
        <v>34</v>
      </c>
      <c r="B177" s="1716">
        <v>35</v>
      </c>
      <c r="C177" s="1717"/>
      <c r="D177" s="1718" t="str">
        <f>'[10]Profil Risiko_Korporat_240424'!J57</f>
        <v>Terjadinya pemadaman meluas dan atau blackout di sistem kelistrikan Batam - Bintan</v>
      </c>
      <c r="E177" s="1718"/>
      <c r="F177" s="1718"/>
      <c r="G177" s="343" t="s">
        <v>1394</v>
      </c>
      <c r="H177" s="300"/>
      <c r="I177" s="295"/>
      <c r="J177" s="295"/>
    </row>
    <row r="178" spans="1:10" s="297" customFormat="1" ht="67.5" customHeight="1">
      <c r="A178" s="326">
        <v>31</v>
      </c>
      <c r="B178" s="1716">
        <v>36</v>
      </c>
      <c r="C178" s="1717"/>
      <c r="D178" s="1718" t="str">
        <f>'[10]Profil Risiko_Korporat_240424'!J79</f>
        <v>Terjadi Defisit Daya Pada Sistem Batam-Bintan</v>
      </c>
      <c r="E178" s="1718"/>
      <c r="F178" s="1718"/>
      <c r="G178" s="343" t="s">
        <v>1394</v>
      </c>
      <c r="H178" s="300"/>
      <c r="I178" s="295"/>
      <c r="J178" s="295"/>
    </row>
    <row r="179" spans="1:10" s="297" customFormat="1" ht="67.5" customHeight="1">
      <c r="A179" s="326">
        <v>13</v>
      </c>
      <c r="B179" s="1716">
        <v>37</v>
      </c>
      <c r="C179" s="1717"/>
      <c r="D179" s="1732" t="str">
        <f>'[10]Profil Risiko_Korporat_240424'!J89</f>
        <v>Realisasi operasi sistem ketenagalistrikan tidak berjalan sesuai dengan rencana</v>
      </c>
      <c r="E179" s="1732"/>
      <c r="F179" s="1732"/>
      <c r="G179" s="342" t="s">
        <v>1429</v>
      </c>
      <c r="H179" s="300"/>
      <c r="I179" s="295"/>
      <c r="J179" s="295"/>
    </row>
    <row r="180" spans="1:10" s="297" customFormat="1" ht="67.5" customHeight="1">
      <c r="A180" s="326">
        <v>27</v>
      </c>
      <c r="B180" s="1716">
        <v>38</v>
      </c>
      <c r="C180" s="1717"/>
      <c r="D180" s="1718" t="s">
        <v>1512</v>
      </c>
      <c r="E180" s="1718"/>
      <c r="F180" s="1718"/>
      <c r="G180" s="343" t="s">
        <v>1394</v>
      </c>
      <c r="H180" s="300"/>
      <c r="I180" s="295"/>
      <c r="J180" s="295"/>
    </row>
    <row r="181" spans="1:10" s="297" customFormat="1" ht="67.5" customHeight="1">
      <c r="A181" s="326">
        <v>4</v>
      </c>
      <c r="B181" s="1747">
        <v>39</v>
      </c>
      <c r="C181" s="1748"/>
      <c r="D181" s="1718" t="s">
        <v>1513</v>
      </c>
      <c r="E181" s="1718"/>
      <c r="F181" s="1718"/>
      <c r="G181" s="345" t="s">
        <v>1405</v>
      </c>
      <c r="H181" s="300"/>
      <c r="I181" s="295"/>
      <c r="J181" s="295"/>
    </row>
    <row r="182" spans="1:10" s="297" customFormat="1" ht="67.5" customHeight="1">
      <c r="A182" s="295"/>
      <c r="B182" s="1742"/>
      <c r="C182" s="1742"/>
      <c r="D182" s="1743"/>
      <c r="E182" s="1743"/>
      <c r="F182" s="295"/>
      <c r="G182" s="295"/>
      <c r="H182" s="295"/>
      <c r="I182" s="295"/>
      <c r="J182" s="295"/>
    </row>
    <row r="183" spans="1:10" s="297" customFormat="1" ht="68.25" customHeight="1" thickBot="1">
      <c r="A183" s="295"/>
      <c r="B183" s="327" t="s">
        <v>1514</v>
      </c>
      <c r="C183" s="328" t="s">
        <v>1430</v>
      </c>
      <c r="D183" s="1744" t="s">
        <v>1501</v>
      </c>
      <c r="E183" s="1745"/>
      <c r="F183" s="1746"/>
      <c r="G183" s="338" t="s">
        <v>1515</v>
      </c>
      <c r="H183" s="338"/>
      <c r="I183" s="295"/>
      <c r="J183" s="295"/>
    </row>
    <row r="184" spans="1:10" s="297" customFormat="1" ht="68.25" customHeight="1" thickTop="1">
      <c r="A184" s="295"/>
      <c r="B184" s="329">
        <v>1</v>
      </c>
      <c r="C184" s="329">
        <v>22</v>
      </c>
      <c r="D184" s="1741" t="str">
        <f>'[10]Profil Risiko_Korporat_240424'!J57</f>
        <v>Terjadinya pemadaman meluas dan atau blackout di sistem kelistrikan Batam - Bintan</v>
      </c>
      <c r="E184" s="1741"/>
      <c r="F184" s="1741"/>
      <c r="G184" s="346" t="s">
        <v>1405</v>
      </c>
      <c r="H184" s="329"/>
      <c r="I184" s="295"/>
      <c r="J184" s="295"/>
    </row>
    <row r="185" spans="1:10" s="297" customFormat="1" ht="68.25" customHeight="1">
      <c r="A185" s="295"/>
      <c r="B185" s="317">
        <v>2</v>
      </c>
      <c r="C185" s="317">
        <v>11</v>
      </c>
      <c r="D185" s="1739" t="str">
        <f>'[10]Profil Risiko_Korporat_240424'!J51</f>
        <v>Biaya Pokok Penyediaan Diatas Harga Jual Rata-rata karena permintaan pasokan ke IPP</v>
      </c>
      <c r="E185" s="1739"/>
      <c r="F185" s="1739"/>
      <c r="G185" s="345" t="s">
        <v>1405</v>
      </c>
      <c r="H185" s="317"/>
      <c r="I185" s="295"/>
      <c r="J185" s="295"/>
    </row>
    <row r="186" spans="1:10" s="297" customFormat="1" ht="68.25" customHeight="1">
      <c r="A186" s="295"/>
      <c r="B186" s="317">
        <v>3</v>
      </c>
      <c r="C186" s="330">
        <v>28</v>
      </c>
      <c r="D186" s="1740" t="s">
        <v>1510</v>
      </c>
      <c r="E186" s="1740"/>
      <c r="F186" s="1740"/>
      <c r="G186" s="345" t="s">
        <v>1405</v>
      </c>
      <c r="H186" s="317"/>
      <c r="I186" s="295"/>
      <c r="J186" s="295"/>
    </row>
    <row r="187" spans="1:10" s="297" customFormat="1" ht="68.25" customHeight="1">
      <c r="A187" s="295"/>
      <c r="B187" s="317">
        <v>4</v>
      </c>
      <c r="C187" s="317">
        <v>39</v>
      </c>
      <c r="D187" s="1739" t="s">
        <v>1513</v>
      </c>
      <c r="E187" s="1739"/>
      <c r="F187" s="1739"/>
      <c r="G187" s="345" t="s">
        <v>1405</v>
      </c>
      <c r="H187" s="317"/>
      <c r="I187" s="295"/>
      <c r="J187" s="295"/>
    </row>
    <row r="188" spans="1:10" s="297" customFormat="1" ht="68.25" customHeight="1">
      <c r="A188" s="295"/>
      <c r="B188" s="317">
        <v>5</v>
      </c>
      <c r="C188" s="317">
        <v>2</v>
      </c>
      <c r="D188" s="1750" t="s">
        <v>1516</v>
      </c>
      <c r="E188" s="1751"/>
      <c r="F188" s="1752"/>
      <c r="G188" s="341" t="s">
        <v>1404</v>
      </c>
      <c r="H188" s="317"/>
      <c r="I188" s="295"/>
      <c r="J188" s="295"/>
    </row>
    <row r="189" spans="1:10" s="297" customFormat="1" ht="68.25" customHeight="1">
      <c r="A189" s="295"/>
      <c r="B189" s="317">
        <v>6</v>
      </c>
      <c r="C189" s="317">
        <v>3</v>
      </c>
      <c r="D189" s="1739" t="str">
        <f>D144</f>
        <v>Anggaran Operasi melebihi pagu RKAP yang telah ditetapkan</v>
      </c>
      <c r="E189" s="1739"/>
      <c r="F189" s="1739"/>
      <c r="G189" s="341" t="s">
        <v>1404</v>
      </c>
      <c r="H189" s="317"/>
      <c r="I189" s="295"/>
      <c r="J189" s="295"/>
    </row>
    <row r="190" spans="1:10" s="297" customFormat="1" ht="68.25" customHeight="1">
      <c r="A190" s="295"/>
      <c r="B190" s="317">
        <v>7</v>
      </c>
      <c r="C190" s="317">
        <v>26</v>
      </c>
      <c r="D190" s="1749" t="str">
        <f>D167</f>
        <v>Kondisi jaringan di pulau-pulau menyebabkan pelaporan status pembangkit PLTD Isolated tidak dilakukan secara real time</v>
      </c>
      <c r="E190" s="1749"/>
      <c r="F190" s="1749"/>
      <c r="G190" s="342" t="s">
        <v>1429</v>
      </c>
      <c r="H190" s="317"/>
      <c r="I190" s="295"/>
      <c r="J190" s="295"/>
    </row>
    <row r="191" spans="1:10" s="297" customFormat="1" ht="68.25" customHeight="1">
      <c r="A191" s="295"/>
      <c r="B191" s="317">
        <v>8</v>
      </c>
      <c r="C191" s="317">
        <v>31</v>
      </c>
      <c r="D191" s="1749" t="str">
        <f>D173</f>
        <v>Terjadinya Perilaku berbahaya (Unsafe action)</v>
      </c>
      <c r="E191" s="1749"/>
      <c r="F191" s="1749"/>
      <c r="G191" s="342" t="s">
        <v>1429</v>
      </c>
      <c r="H191" s="317"/>
      <c r="I191" s="295"/>
      <c r="J191" s="295"/>
    </row>
    <row r="192" spans="1:10" s="297" customFormat="1" ht="68.25" customHeight="1">
      <c r="A192" s="295"/>
      <c r="B192" s="317">
        <v>9</v>
      </c>
      <c r="C192" s="317">
        <v>32</v>
      </c>
      <c r="D192" s="1749" t="str">
        <f>D174</f>
        <v>Terjadinya Kondisi berbahaya (Unsafe condition)</v>
      </c>
      <c r="E192" s="1749"/>
      <c r="F192" s="1749"/>
      <c r="G192" s="342" t="s">
        <v>1429</v>
      </c>
      <c r="H192" s="317"/>
      <c r="I192" s="295"/>
      <c r="J192" s="295"/>
    </row>
    <row r="193" spans="1:10" s="297" customFormat="1" ht="68.25" customHeight="1">
      <c r="A193" s="295"/>
      <c r="B193" s="317">
        <v>10</v>
      </c>
      <c r="C193" s="317">
        <v>1</v>
      </c>
      <c r="D193" s="1749" t="str">
        <f>D142</f>
        <v>Kenaikan beban operasi akibat pelemahan nilai tukar rupiah terhadap dollar</v>
      </c>
      <c r="E193" s="1749"/>
      <c r="F193" s="1749"/>
      <c r="G193" s="342" t="s">
        <v>1429</v>
      </c>
      <c r="H193" s="317"/>
      <c r="I193" s="295"/>
      <c r="J193" s="295"/>
    </row>
    <row r="194" spans="1:10" s="297" customFormat="1" ht="68.25" customHeight="1">
      <c r="A194" s="295"/>
      <c r="B194" s="317">
        <v>11</v>
      </c>
      <c r="C194" s="317">
        <v>8</v>
      </c>
      <c r="D194" s="1749" t="str">
        <f>D149</f>
        <v xml:space="preserve">Ketidaktersediaan waktu pengelola organ risiko untuk mengikuti sertifikasi </v>
      </c>
      <c r="E194" s="1749"/>
      <c r="F194" s="1749"/>
      <c r="G194" s="342" t="s">
        <v>1429</v>
      </c>
      <c r="H194" s="317"/>
      <c r="I194" s="295"/>
      <c r="J194" s="295"/>
    </row>
    <row r="195" spans="1:10" s="297" customFormat="1" ht="68.25" customHeight="1">
      <c r="A195" s="295"/>
      <c r="B195" s="317">
        <v>12</v>
      </c>
      <c r="C195" s="317">
        <v>13</v>
      </c>
      <c r="D195" s="1749" t="str">
        <f>D154</f>
        <v xml:space="preserve">Pemenuhan parameter dan kriteria Penilian RMI </v>
      </c>
      <c r="E195" s="1749"/>
      <c r="F195" s="1749"/>
      <c r="G195" s="342" t="s">
        <v>1429</v>
      </c>
      <c r="H195" s="317"/>
      <c r="I195" s="295"/>
      <c r="J195" s="295"/>
    </row>
    <row r="196" spans="1:10" s="297" customFormat="1" ht="68.25" customHeight="1">
      <c r="A196" s="295"/>
      <c r="B196" s="317">
        <v>13</v>
      </c>
      <c r="C196" s="317">
        <v>37</v>
      </c>
      <c r="D196" s="1749" t="str">
        <f>D179</f>
        <v>Realisasi operasi sistem ketenagalistrikan tidak berjalan sesuai dengan rencana</v>
      </c>
      <c r="E196" s="1749"/>
      <c r="F196" s="1749"/>
      <c r="G196" s="342" t="s">
        <v>1429</v>
      </c>
      <c r="H196" s="317"/>
      <c r="I196" s="295"/>
      <c r="J196" s="295"/>
    </row>
    <row r="197" spans="1:10" s="297" customFormat="1" ht="68.25" customHeight="1">
      <c r="A197" s="295"/>
      <c r="B197" s="317">
        <v>14</v>
      </c>
      <c r="C197" s="317">
        <v>4</v>
      </c>
      <c r="D197" s="1749" t="str">
        <f>D145</f>
        <v xml:space="preserve">Realisasi pelaksanaan pekerjaan proyek Anggaran Investasi tidak sesuai dengan perencanaan keuangan
</v>
      </c>
      <c r="E197" s="1749"/>
      <c r="F197" s="1749"/>
      <c r="G197" s="342" t="s">
        <v>1429</v>
      </c>
      <c r="H197" s="317"/>
      <c r="I197" s="295"/>
      <c r="J197" s="295"/>
    </row>
    <row r="198" spans="1:10" s="297" customFormat="1" ht="68.25" customHeight="1">
      <c r="A198" s="295"/>
      <c r="B198" s="317">
        <v>15</v>
      </c>
      <c r="C198" s="317">
        <v>6</v>
      </c>
      <c r="D198" s="1749" t="str">
        <f>D147</f>
        <v xml:space="preserve">Talent Development dan Talent Mobility tidak efektif dalam menyiapkan Talent milenial untuk Ready sebagai suksesi </v>
      </c>
      <c r="E198" s="1749"/>
      <c r="F198" s="1749"/>
      <c r="G198" s="342" t="s">
        <v>1429</v>
      </c>
      <c r="H198" s="317"/>
      <c r="I198" s="295"/>
      <c r="J198" s="295"/>
    </row>
    <row r="199" spans="1:10" s="297" customFormat="1" ht="68.25" customHeight="1">
      <c r="A199" s="295"/>
      <c r="B199" s="317">
        <v>16</v>
      </c>
      <c r="C199" s="317">
        <v>7</v>
      </c>
      <c r="D199" s="1749" t="str">
        <f>D148</f>
        <v xml:space="preserve">Talent Development dan Talent Mobility tidak efektif dalam menyiapkan Talent Perempuan untuk Ready sebagai suksesi </v>
      </c>
      <c r="E199" s="1749"/>
      <c r="F199" s="1749"/>
      <c r="G199" s="342" t="s">
        <v>1429</v>
      </c>
      <c r="H199" s="317"/>
      <c r="I199" s="295"/>
      <c r="J199" s="295"/>
    </row>
    <row r="200" spans="1:10" s="297" customFormat="1" ht="68.25" customHeight="1">
      <c r="A200" s="295"/>
      <c r="B200" s="317">
        <v>17</v>
      </c>
      <c r="C200" s="317">
        <v>30</v>
      </c>
      <c r="D200" s="1749" t="str">
        <f>D172</f>
        <v>Tidak terpenuhinya kriteria penilaian dalam Maturity Level Sustainability (Sertifikat Sistem Manajemen Lingkungan)</v>
      </c>
      <c r="E200" s="1749"/>
      <c r="F200" s="1749"/>
      <c r="G200" s="342" t="s">
        <v>1429</v>
      </c>
      <c r="H200" s="317"/>
      <c r="I200" s="295"/>
      <c r="J200" s="295"/>
    </row>
    <row r="201" spans="1:10" s="297" customFormat="1" ht="68.25" customHeight="1">
      <c r="A201" s="295"/>
      <c r="B201" s="317">
        <v>18</v>
      </c>
      <c r="C201" s="317">
        <v>29</v>
      </c>
      <c r="D201" s="1749" t="str">
        <f>D171</f>
        <v>Biaya Pokok Penyediaan Diatas Harga Jual Rata-rata karena permintaan pasokan ke IPP</v>
      </c>
      <c r="E201" s="1749"/>
      <c r="F201" s="1749"/>
      <c r="G201" s="342" t="s">
        <v>1429</v>
      </c>
      <c r="H201" s="317"/>
      <c r="I201" s="295"/>
      <c r="J201" s="295"/>
    </row>
    <row r="202" spans="1:10" s="297" customFormat="1" ht="68.25" customHeight="1">
      <c r="A202" s="295"/>
      <c r="B202" s="317">
        <v>19</v>
      </c>
      <c r="C202" s="317">
        <v>14</v>
      </c>
      <c r="D202" s="1749" t="str">
        <f>D155</f>
        <v>Penjualan listrik kurang maksimal</v>
      </c>
      <c r="E202" s="1749"/>
      <c r="F202" s="1749"/>
      <c r="G202" s="344" t="s">
        <v>1428</v>
      </c>
      <c r="H202" s="317"/>
      <c r="I202" s="295"/>
      <c r="J202" s="295"/>
    </row>
    <row r="203" spans="1:10" s="297" customFormat="1" ht="68.25" customHeight="1">
      <c r="A203" s="295"/>
      <c r="B203" s="317">
        <v>20</v>
      </c>
      <c r="C203" s="317">
        <v>16</v>
      </c>
      <c r="D203" s="1749" t="str">
        <f>D157</f>
        <v>Pemegang Saham tidak menyetujui pembelian saham</v>
      </c>
      <c r="E203" s="1749"/>
      <c r="F203" s="1749"/>
      <c r="G203" s="344" t="s">
        <v>1428</v>
      </c>
      <c r="H203" s="317"/>
      <c r="I203" s="295"/>
      <c r="J203" s="295"/>
    </row>
    <row r="204" spans="1:10" s="297" customFormat="1" ht="68.25" customHeight="1">
      <c r="A204" s="295"/>
      <c r="B204" s="317">
        <v>21</v>
      </c>
      <c r="C204" s="317">
        <v>33</v>
      </c>
      <c r="D204" s="1749" t="str">
        <f>D175</f>
        <v>Pencemaran lingkungan hidup di area unit kerja</v>
      </c>
      <c r="E204" s="1749"/>
      <c r="F204" s="1749"/>
      <c r="G204" s="344" t="s">
        <v>1428</v>
      </c>
      <c r="H204" s="317"/>
      <c r="I204" s="295"/>
      <c r="J204" s="295"/>
    </row>
    <row r="205" spans="1:10" s="297" customFormat="1" ht="68.25" customHeight="1">
      <c r="A205" s="295"/>
      <c r="B205" s="317">
        <v>22</v>
      </c>
      <c r="C205" s="317">
        <v>18</v>
      </c>
      <c r="D205" s="1749" t="str">
        <f>D159</f>
        <v>Harga Jual rata-rata di bawah target RKAP</v>
      </c>
      <c r="E205" s="1749"/>
      <c r="F205" s="1749"/>
      <c r="G205" s="344" t="s">
        <v>1428</v>
      </c>
      <c r="H205" s="317"/>
      <c r="I205" s="295"/>
      <c r="J205" s="295"/>
    </row>
    <row r="206" spans="1:10" s="297" customFormat="1" ht="68.25" customHeight="1">
      <c r="A206" s="295"/>
      <c r="B206" s="317">
        <v>23</v>
      </c>
      <c r="C206" s="317">
        <v>10</v>
      </c>
      <c r="D206" s="1749" t="str">
        <f>D151</f>
        <v>Kurangnya koordinasi antara auditor dengan auditee terkait tindak lanjut rekomendasi</v>
      </c>
      <c r="E206" s="1749"/>
      <c r="F206" s="1749"/>
      <c r="G206" s="344" t="s">
        <v>1428</v>
      </c>
      <c r="H206" s="317"/>
      <c r="I206" s="295"/>
      <c r="J206" s="295"/>
    </row>
    <row r="207" spans="1:10" s="297" customFormat="1" ht="68.25" customHeight="1">
      <c r="A207" s="295"/>
      <c r="B207" s="317">
        <v>24</v>
      </c>
      <c r="C207" s="317">
        <v>17</v>
      </c>
      <c r="D207" s="1749" t="str">
        <f>D158</f>
        <v>Biaya AMC melebihi pagu anggaran</v>
      </c>
      <c r="E207" s="1749"/>
      <c r="F207" s="1749"/>
      <c r="G207" s="344" t="s">
        <v>1428</v>
      </c>
      <c r="H207" s="317"/>
      <c r="I207" s="295"/>
      <c r="J207" s="295"/>
    </row>
    <row r="208" spans="1:10" s="297" customFormat="1" ht="68.25" customHeight="1">
      <c r="A208" s="295"/>
      <c r="B208" s="317">
        <v>25</v>
      </c>
      <c r="C208" s="330">
        <v>28</v>
      </c>
      <c r="D208" s="1740" t="str">
        <f>D170</f>
        <v>Ketidakcukupan bahan bakar (Keterlambatan pengiriman batubara)</v>
      </c>
      <c r="E208" s="1740"/>
      <c r="F208" s="1740"/>
      <c r="G208" s="344" t="s">
        <v>1428</v>
      </c>
      <c r="H208" s="317"/>
      <c r="I208" s="295"/>
      <c r="J208" s="295"/>
    </row>
    <row r="209" spans="1:10" s="297" customFormat="1" ht="68.25" customHeight="1">
      <c r="A209" s="295"/>
      <c r="B209" s="317">
        <v>26</v>
      </c>
      <c r="C209" s="317">
        <v>19</v>
      </c>
      <c r="D209" s="1749" t="str">
        <f>D160</f>
        <v>Penurunan market share penjualan listrik</v>
      </c>
      <c r="E209" s="1749"/>
      <c r="F209" s="1749"/>
      <c r="G209" s="343" t="s">
        <v>1394</v>
      </c>
      <c r="H209" s="317"/>
      <c r="I209" s="295"/>
      <c r="J209" s="295"/>
    </row>
    <row r="210" spans="1:10" s="297" customFormat="1" ht="68.25" customHeight="1">
      <c r="A210" s="295"/>
      <c r="B210" s="317">
        <v>27</v>
      </c>
      <c r="C210" s="317">
        <v>38</v>
      </c>
      <c r="D210" s="1749" t="str">
        <f>D180</f>
        <v>Preventive maintenance tidak sesuai jadwal pada peralatan utama pembangkit Off Grid (MPP 500MW)</v>
      </c>
      <c r="E210" s="1749"/>
      <c r="F210" s="1749"/>
      <c r="G210" s="343" t="s">
        <v>1394</v>
      </c>
      <c r="H210" s="317"/>
      <c r="I210" s="295"/>
      <c r="J210" s="295"/>
    </row>
    <row r="211" spans="1:10" s="297" customFormat="1" ht="68.25" customHeight="1">
      <c r="A211" s="295"/>
      <c r="B211" s="317">
        <v>28</v>
      </c>
      <c r="C211" s="317">
        <v>15</v>
      </c>
      <c r="D211" s="1749" t="str">
        <f>D156</f>
        <v>Pemegang Saham tidak menyetujui pembelian saham</v>
      </c>
      <c r="E211" s="1749"/>
      <c r="F211" s="1749"/>
      <c r="G211" s="343" t="s">
        <v>1394</v>
      </c>
      <c r="H211" s="317"/>
      <c r="I211" s="295"/>
      <c r="J211" s="295"/>
    </row>
    <row r="212" spans="1:10" s="297" customFormat="1" ht="68.25" customHeight="1">
      <c r="A212" s="295"/>
      <c r="B212" s="317">
        <v>29</v>
      </c>
      <c r="C212" s="317">
        <v>20</v>
      </c>
      <c r="D212" s="1749" t="str">
        <f>D161</f>
        <v>Tidak disetujuinya usulan tarif Listrik Batam oleh Pemerintah dan DPR</v>
      </c>
      <c r="E212" s="1749"/>
      <c r="F212" s="1749"/>
      <c r="G212" s="343" t="s">
        <v>1394</v>
      </c>
      <c r="H212" s="317"/>
      <c r="I212" s="295"/>
      <c r="J212" s="295"/>
    </row>
    <row r="213" spans="1:10" s="297" customFormat="1" ht="68.25" customHeight="1">
      <c r="A213" s="295"/>
      <c r="B213" s="317">
        <v>30</v>
      </c>
      <c r="C213" s="317">
        <v>25</v>
      </c>
      <c r="D213" s="1749" t="str">
        <f>D166</f>
        <v>Turunnya citra perusahaan menurun dan kepuasan pelanggan</v>
      </c>
      <c r="E213" s="1749"/>
      <c r="F213" s="1749"/>
      <c r="G213" s="343" t="s">
        <v>1394</v>
      </c>
      <c r="H213" s="317"/>
      <c r="I213" s="295"/>
      <c r="J213" s="295"/>
    </row>
    <row r="214" spans="1:10" s="297" customFormat="1" ht="68.25" customHeight="1">
      <c r="A214" s="295"/>
      <c r="B214" s="317">
        <v>31</v>
      </c>
      <c r="C214" s="317">
        <v>36</v>
      </c>
      <c r="D214" s="1749" t="str">
        <f>D178</f>
        <v>Terjadi Defisit Daya Pada Sistem Batam-Bintan</v>
      </c>
      <c r="E214" s="1749"/>
      <c r="F214" s="1749"/>
      <c r="G214" s="343" t="s">
        <v>1394</v>
      </c>
      <c r="H214" s="317"/>
      <c r="I214" s="295"/>
      <c r="J214" s="295"/>
    </row>
    <row r="215" spans="1:10" s="297" customFormat="1" ht="68.25" customHeight="1">
      <c r="A215" s="295"/>
      <c r="B215" s="317">
        <v>32</v>
      </c>
      <c r="C215" s="317">
        <v>27</v>
      </c>
      <c r="D215" s="1749" t="str">
        <f>D168</f>
        <v>Ketidakhandalan penyaluran dan gangguan sistem meluas</v>
      </c>
      <c r="E215" s="1749"/>
      <c r="F215" s="1749"/>
      <c r="G215" s="343" t="s">
        <v>1394</v>
      </c>
      <c r="H215" s="317"/>
      <c r="I215" s="295"/>
      <c r="J215" s="295"/>
    </row>
    <row r="216" spans="1:10" s="297" customFormat="1" ht="68.25" customHeight="1">
      <c r="A216" s="295"/>
      <c r="B216" s="317">
        <v>33</v>
      </c>
      <c r="C216" s="317">
        <v>34</v>
      </c>
      <c r="D216" s="1749" t="str">
        <f>D176</f>
        <v>Peralatan ketenagalistrikan belum memiliki SLO (Standar Laik Operasi)</v>
      </c>
      <c r="E216" s="1749"/>
      <c r="F216" s="1749"/>
      <c r="G216" s="343" t="s">
        <v>1394</v>
      </c>
      <c r="H216" s="317"/>
      <c r="I216" s="295"/>
      <c r="J216" s="295"/>
    </row>
    <row r="217" spans="1:10" s="297" customFormat="1" ht="68.25" customHeight="1">
      <c r="A217" s="295"/>
      <c r="B217" s="317">
        <v>34</v>
      </c>
      <c r="C217" s="317">
        <v>35</v>
      </c>
      <c r="D217" s="1749" t="str">
        <f>D177</f>
        <v>Terjadinya pemadaman meluas dan atau blackout di sistem kelistrikan Batam - Bintan</v>
      </c>
      <c r="E217" s="1749"/>
      <c r="F217" s="1749"/>
      <c r="G217" s="343" t="s">
        <v>1394</v>
      </c>
      <c r="H217" s="317"/>
      <c r="I217" s="295"/>
      <c r="J217" s="295"/>
    </row>
    <row r="218" spans="1:10" s="297" customFormat="1" ht="68.25" customHeight="1">
      <c r="A218" s="295"/>
      <c r="B218" s="317">
        <v>35</v>
      </c>
      <c r="C218" s="317">
        <v>5</v>
      </c>
      <c r="D218" s="1749" t="str">
        <f>D146</f>
        <v>Penyelesaian dan Penyampaian Laporan Keuangan audit tidak sesuai target waktu yang ditetapkan</v>
      </c>
      <c r="E218" s="1749"/>
      <c r="F218" s="1749"/>
      <c r="G218" s="343" t="s">
        <v>1394</v>
      </c>
      <c r="H218" s="317"/>
      <c r="I218" s="295"/>
      <c r="J218" s="295"/>
    </row>
    <row r="219" spans="1:10" s="297" customFormat="1" ht="68.25" customHeight="1">
      <c r="A219" s="295"/>
      <c r="B219" s="317">
        <v>36</v>
      </c>
      <c r="C219" s="317">
        <v>9</v>
      </c>
      <c r="D219" s="1749" t="str">
        <f>D150</f>
        <v>Pelaksanaan TJSL/CSR tidak sesuai dengan Timeline</v>
      </c>
      <c r="E219" s="1749"/>
      <c r="F219" s="1749"/>
      <c r="G219" s="343" t="s">
        <v>1394</v>
      </c>
      <c r="H219" s="317"/>
      <c r="I219" s="295"/>
      <c r="J219" s="295"/>
    </row>
    <row r="220" spans="1:10" s="297" customFormat="1" ht="68.25" customHeight="1">
      <c r="A220" s="295"/>
      <c r="B220" s="317">
        <v>37</v>
      </c>
      <c r="C220" s="317">
        <v>12</v>
      </c>
      <c r="D220" s="1749" t="str">
        <f>D153</f>
        <v>Penambahan pembangkit berbasis EBT dalam sistem Batam – Bintan tidak mencapai target 100 MWp tahun 2025</v>
      </c>
      <c r="E220" s="1749"/>
      <c r="F220" s="1749"/>
      <c r="G220" s="343" t="s">
        <v>1394</v>
      </c>
      <c r="H220" s="317"/>
      <c r="I220" s="295"/>
      <c r="J220" s="295"/>
    </row>
    <row r="221" spans="1:10" s="297" customFormat="1" ht="68.25" customHeight="1">
      <c r="A221" s="295"/>
      <c r="B221" s="317">
        <v>38</v>
      </c>
      <c r="C221" s="317">
        <v>21</v>
      </c>
      <c r="D221" s="1749" t="str">
        <f>D162</f>
        <v>Keterlambatan  pelaksanaan pekerjaan pemasangan saluran kabel laut dan kabel darat tegangan menengah 20 KV Belakang Padang - Pulau Sambu</v>
      </c>
      <c r="E221" s="1749"/>
      <c r="F221" s="1749"/>
      <c r="G221" s="343" t="s">
        <v>1394</v>
      </c>
      <c r="H221" s="317"/>
      <c r="I221" s="295"/>
      <c r="J221" s="295"/>
    </row>
    <row r="222" spans="1:10" s="297" customFormat="1" ht="68.25" customHeight="1">
      <c r="A222" s="295"/>
      <c r="B222" s="317">
        <v>39</v>
      </c>
      <c r="C222" s="317">
        <v>23</v>
      </c>
      <c r="D222" s="1749" t="str">
        <f>D164</f>
        <v>Ketidakpastian pemakaian energi listrik</v>
      </c>
      <c r="E222" s="1749"/>
      <c r="F222" s="1749"/>
      <c r="G222" s="343" t="s">
        <v>1394</v>
      </c>
      <c r="H222" s="317"/>
      <c r="I222" s="295"/>
      <c r="J222" s="295"/>
    </row>
    <row r="223" spans="1:10" s="297" customFormat="1" ht="68.25" customHeight="1">
      <c r="A223" s="295"/>
      <c r="B223" s="317">
        <v>40</v>
      </c>
      <c r="C223" s="317">
        <v>24</v>
      </c>
      <c r="D223" s="1749" t="str">
        <f>D165</f>
        <v>Tidak optimalnya kinerja peralatan distribusi</v>
      </c>
      <c r="E223" s="1749"/>
      <c r="F223" s="1749"/>
      <c r="G223" s="343" t="s">
        <v>1394</v>
      </c>
      <c r="H223" s="317"/>
      <c r="I223" s="295"/>
      <c r="J223" s="295"/>
    </row>
    <row r="224" spans="1:10" s="297" customFormat="1" ht="68.25" customHeight="1">
      <c r="A224" s="295"/>
      <c r="B224" s="295"/>
      <c r="C224" s="296"/>
      <c r="D224" s="1743"/>
      <c r="E224" s="1743"/>
      <c r="F224" s="1743"/>
      <c r="G224" s="295"/>
      <c r="H224" s="295"/>
      <c r="I224" s="295"/>
      <c r="J224" s="295"/>
    </row>
    <row r="225" spans="1:10" s="297" customFormat="1" ht="39.950000000000003" customHeight="1">
      <c r="A225" s="295"/>
      <c r="B225" s="295"/>
      <c r="C225" s="296"/>
      <c r="D225" s="299" t="s">
        <v>1517</v>
      </c>
      <c r="E225" s="295"/>
      <c r="F225" s="295"/>
      <c r="G225" s="295"/>
      <c r="H225" s="295"/>
      <c r="I225" s="295"/>
      <c r="J225" s="295"/>
    </row>
    <row r="226" spans="1:10" s="297" customFormat="1" ht="39.950000000000003" customHeight="1">
      <c r="A226" s="295"/>
      <c r="B226" s="295"/>
      <c r="C226" s="296"/>
      <c r="D226" s="299" t="s">
        <v>1518</v>
      </c>
      <c r="E226" s="295"/>
      <c r="F226" s="295"/>
      <c r="G226" s="295"/>
      <c r="H226" s="295"/>
      <c r="I226" s="295"/>
      <c r="J226" s="295"/>
    </row>
    <row r="227" spans="1:10" s="297" customFormat="1" ht="39.950000000000003" customHeight="1">
      <c r="A227" s="295"/>
      <c r="B227" s="295"/>
      <c r="C227" s="296"/>
      <c r="D227" s="299" t="s">
        <v>1519</v>
      </c>
      <c r="E227" s="295"/>
      <c r="F227" s="295"/>
      <c r="G227" s="295"/>
      <c r="H227" s="295"/>
      <c r="I227" s="295"/>
      <c r="J227" s="295"/>
    </row>
    <row r="228" spans="1:10" s="297" customFormat="1" ht="39.950000000000003" customHeight="1">
      <c r="A228" s="295"/>
      <c r="B228" s="295"/>
      <c r="C228" s="296"/>
      <c r="D228" s="299" t="s">
        <v>1520</v>
      </c>
      <c r="E228" s="295"/>
      <c r="F228" s="295"/>
      <c r="G228" s="295"/>
      <c r="H228" s="295"/>
      <c r="I228" s="295"/>
      <c r="J228" s="295"/>
    </row>
    <row r="229" spans="1:10" s="297" customFormat="1" ht="39.950000000000003" customHeight="1">
      <c r="A229" s="295"/>
      <c r="B229" s="295"/>
      <c r="C229" s="296"/>
      <c r="D229" s="299" t="s">
        <v>1521</v>
      </c>
      <c r="E229" s="295"/>
      <c r="F229" s="295"/>
      <c r="G229" s="295"/>
      <c r="H229" s="295"/>
      <c r="I229" s="295"/>
      <c r="J229" s="295"/>
    </row>
    <row r="230" spans="1:10" s="297" customFormat="1" ht="39.950000000000003" customHeight="1">
      <c r="A230" s="295"/>
      <c r="B230" s="295"/>
      <c r="C230" s="296"/>
      <c r="D230" s="301" t="s">
        <v>1522</v>
      </c>
      <c r="E230" s="295"/>
      <c r="F230" s="295"/>
      <c r="G230" s="295"/>
      <c r="H230" s="295"/>
      <c r="I230" s="295"/>
      <c r="J230" s="295"/>
    </row>
    <row r="231" spans="1:10" s="297" customFormat="1" ht="39.950000000000003" customHeight="1">
      <c r="A231" s="295"/>
      <c r="B231" s="295"/>
      <c r="C231" s="296"/>
      <c r="D231" s="299" t="s">
        <v>1523</v>
      </c>
      <c r="E231" s="295"/>
      <c r="F231" s="295"/>
      <c r="G231" s="295"/>
      <c r="H231" s="295"/>
      <c r="I231" s="295"/>
      <c r="J231" s="295"/>
    </row>
    <row r="232" spans="1:10" s="297" customFormat="1" ht="39.950000000000003" customHeight="1">
      <c r="A232" s="295"/>
      <c r="B232" s="295"/>
      <c r="C232" s="296"/>
      <c r="D232" s="299" t="s">
        <v>1524</v>
      </c>
      <c r="E232" s="295"/>
      <c r="F232" s="295"/>
      <c r="G232" s="295"/>
      <c r="H232" s="295"/>
      <c r="I232" s="295"/>
      <c r="J232" s="295"/>
    </row>
    <row r="233" spans="1:10" s="297" customFormat="1" ht="39.950000000000003" customHeight="1">
      <c r="A233" s="295"/>
      <c r="B233" s="295"/>
      <c r="C233" s="296"/>
      <c r="D233" s="299" t="s">
        <v>1525</v>
      </c>
      <c r="E233" s="295"/>
      <c r="F233" s="295"/>
      <c r="G233" s="295"/>
      <c r="H233" s="295"/>
      <c r="I233" s="295"/>
      <c r="J233" s="295"/>
    </row>
    <row r="234" spans="1:10" s="297" customFormat="1" ht="39.950000000000003" customHeight="1">
      <c r="A234" s="295"/>
      <c r="B234" s="295"/>
      <c r="C234" s="296"/>
      <c r="D234" s="299" t="s">
        <v>1526</v>
      </c>
      <c r="E234" s="295"/>
      <c r="F234" s="295"/>
      <c r="G234" s="295"/>
      <c r="H234" s="295"/>
      <c r="I234" s="295"/>
      <c r="J234" s="295"/>
    </row>
    <row r="235" spans="1:10" ht="39.950000000000003" customHeight="1">
      <c r="A235" s="278"/>
      <c r="B235" s="278"/>
      <c r="C235" s="224"/>
      <c r="D235" s="299" t="s">
        <v>241</v>
      </c>
      <c r="E235" s="278"/>
      <c r="F235" s="278"/>
      <c r="G235" s="278"/>
      <c r="H235" s="278"/>
      <c r="I235" s="278"/>
      <c r="J235" s="278"/>
    </row>
    <row r="236" spans="1:10" ht="39.950000000000003" customHeight="1">
      <c r="A236" s="278"/>
      <c r="B236" s="278"/>
      <c r="C236" s="224"/>
      <c r="D236" s="299" t="s">
        <v>331</v>
      </c>
      <c r="E236" s="278"/>
      <c r="F236" s="278"/>
      <c r="G236" s="278"/>
      <c r="H236" s="278"/>
      <c r="I236" s="278"/>
      <c r="J236" s="278"/>
    </row>
    <row r="237" spans="1:10" ht="39.950000000000003" customHeight="1">
      <c r="A237" s="278"/>
      <c r="B237" s="278"/>
      <c r="C237" s="224"/>
      <c r="D237" s="299" t="s">
        <v>1527</v>
      </c>
      <c r="E237" s="278"/>
      <c r="F237" s="278"/>
      <c r="G237" s="278"/>
      <c r="H237" s="278"/>
      <c r="I237" s="278"/>
      <c r="J237" s="278"/>
    </row>
    <row r="238" spans="1:10" ht="39.950000000000003" customHeight="1">
      <c r="A238" s="278"/>
      <c r="B238" s="278"/>
      <c r="C238" s="224"/>
      <c r="D238" s="1088" t="s">
        <v>1528</v>
      </c>
      <c r="E238" s="278"/>
      <c r="F238" s="278"/>
      <c r="G238" s="278"/>
      <c r="H238" s="278"/>
      <c r="I238" s="278"/>
      <c r="J238" s="278"/>
    </row>
    <row r="239" spans="1:10" ht="39.950000000000003" customHeight="1">
      <c r="A239" s="278"/>
      <c r="B239" s="278"/>
      <c r="C239" s="224"/>
      <c r="D239" s="299" t="s">
        <v>1529</v>
      </c>
      <c r="E239" s="278"/>
      <c r="F239" s="278"/>
      <c r="G239" s="278"/>
      <c r="H239" s="278"/>
      <c r="I239" s="278"/>
      <c r="J239" s="278"/>
    </row>
    <row r="240" spans="1:10" ht="39.950000000000003" customHeight="1">
      <c r="A240" s="278"/>
      <c r="B240" s="278"/>
      <c r="C240" s="224"/>
      <c r="D240" s="297" t="s">
        <v>269</v>
      </c>
      <c r="E240" s="278"/>
      <c r="F240" s="278"/>
      <c r="G240" s="278"/>
      <c r="H240" s="278"/>
      <c r="I240" s="278"/>
      <c r="J240" s="278"/>
    </row>
    <row r="241" spans="1:10" ht="39.950000000000003" customHeight="1">
      <c r="A241" s="278"/>
      <c r="B241" s="278"/>
      <c r="C241" s="224"/>
      <c r="D241" s="297"/>
      <c r="E241" s="278"/>
      <c r="F241" s="278"/>
      <c r="G241" s="278"/>
      <c r="H241" s="278"/>
      <c r="I241" s="278"/>
      <c r="J241" s="278"/>
    </row>
    <row r="242" spans="1:10" ht="39.950000000000003" customHeight="1">
      <c r="A242" s="278"/>
      <c r="B242" s="278"/>
      <c r="C242" s="224"/>
      <c r="D242" s="1753"/>
      <c r="E242" s="1753"/>
      <c r="F242" s="1753"/>
      <c r="G242" s="278"/>
      <c r="H242" s="278"/>
      <c r="I242" s="278"/>
      <c r="J242" s="278"/>
    </row>
    <row r="243" spans="1:10" ht="39.950000000000003" customHeight="1">
      <c r="A243" s="278"/>
      <c r="B243" s="278"/>
      <c r="C243" s="224"/>
      <c r="D243" s="278"/>
      <c r="E243" s="278"/>
      <c r="F243" s="278"/>
      <c r="G243" s="278"/>
      <c r="H243" s="278"/>
      <c r="I243" s="278"/>
      <c r="J243" s="278"/>
    </row>
    <row r="244" spans="1:10" ht="39.950000000000003" customHeight="1">
      <c r="A244" s="278"/>
      <c r="B244" s="278"/>
      <c r="C244" s="224"/>
      <c r="D244" s="278"/>
      <c r="E244" s="278"/>
      <c r="F244" s="278"/>
      <c r="G244" s="278"/>
      <c r="H244" s="278"/>
      <c r="I244" s="278"/>
      <c r="J244" s="278"/>
    </row>
    <row r="245" spans="1:10" ht="39.950000000000003" customHeight="1">
      <c r="A245" s="278"/>
      <c r="B245" s="278"/>
      <c r="C245" s="224"/>
      <c r="D245" s="278"/>
      <c r="E245" s="278"/>
      <c r="F245" s="278"/>
      <c r="G245" s="278"/>
      <c r="H245" s="278"/>
      <c r="I245" s="278"/>
      <c r="J245" s="278"/>
    </row>
    <row r="246" spans="1:10" ht="39.950000000000003" customHeight="1">
      <c r="A246" s="278"/>
      <c r="B246" s="278"/>
      <c r="C246" s="224"/>
      <c r="D246" s="278"/>
      <c r="E246" s="278"/>
      <c r="F246" s="278"/>
      <c r="G246" s="278"/>
      <c r="H246" s="278"/>
      <c r="I246" s="278"/>
      <c r="J246" s="278"/>
    </row>
    <row r="247" spans="1:10" ht="39.950000000000003" customHeight="1">
      <c r="A247" s="278"/>
      <c r="B247" s="278"/>
      <c r="C247" s="224"/>
      <c r="D247" s="278"/>
      <c r="E247" s="278"/>
      <c r="F247" s="278"/>
      <c r="G247" s="278"/>
      <c r="H247" s="278"/>
      <c r="I247" s="278"/>
      <c r="J247" s="278"/>
    </row>
    <row r="248" spans="1:10" ht="39.950000000000003" customHeight="1">
      <c r="A248" s="278"/>
      <c r="B248" s="278"/>
      <c r="C248" s="224"/>
      <c r="D248" s="278"/>
      <c r="E248" s="278"/>
      <c r="F248" s="278"/>
      <c r="G248" s="278"/>
      <c r="H248" s="278"/>
      <c r="I248" s="278"/>
      <c r="J248" s="278"/>
    </row>
    <row r="249" spans="1:10" ht="39.950000000000003" customHeight="1">
      <c r="A249" s="278"/>
      <c r="B249" s="278"/>
      <c r="C249" s="224"/>
      <c r="D249" s="278"/>
      <c r="E249" s="278"/>
      <c r="F249" s="278"/>
      <c r="G249" s="278"/>
      <c r="H249" s="278"/>
      <c r="I249" s="278"/>
      <c r="J249" s="278"/>
    </row>
    <row r="250" spans="1:10" ht="39.950000000000003" customHeight="1">
      <c r="A250" s="278"/>
      <c r="B250" s="278"/>
      <c r="C250" s="224"/>
      <c r="D250" s="278"/>
      <c r="E250" s="278"/>
      <c r="F250" s="278"/>
      <c r="G250" s="278"/>
      <c r="H250" s="278"/>
      <c r="I250" s="278"/>
      <c r="J250" s="278"/>
    </row>
    <row r="251" spans="1:10" ht="39.950000000000003" customHeight="1">
      <c r="A251" s="278"/>
      <c r="B251" s="278"/>
      <c r="C251" s="224"/>
      <c r="D251" s="278"/>
      <c r="E251" s="278"/>
      <c r="F251" s="278"/>
      <c r="G251" s="278"/>
      <c r="H251" s="278"/>
      <c r="I251" s="278"/>
      <c r="J251" s="278"/>
    </row>
    <row r="252" spans="1:10" ht="39.950000000000003" customHeight="1">
      <c r="A252" s="278"/>
      <c r="B252" s="278"/>
      <c r="C252" s="224"/>
      <c r="D252" s="278"/>
      <c r="E252" s="278"/>
      <c r="F252" s="278"/>
      <c r="G252" s="278"/>
      <c r="H252" s="278"/>
      <c r="I252" s="278"/>
      <c r="J252" s="278"/>
    </row>
    <row r="253" spans="1:10" ht="39.950000000000003" customHeight="1">
      <c r="A253" s="278"/>
      <c r="B253" s="278"/>
      <c r="C253" s="224"/>
      <c r="D253" s="278"/>
      <c r="E253" s="278"/>
      <c r="F253" s="278"/>
      <c r="G253" s="278"/>
      <c r="H253" s="278"/>
      <c r="I253" s="278"/>
      <c r="J253" s="278"/>
    </row>
    <row r="254" spans="1:10" ht="39.950000000000003" customHeight="1">
      <c r="A254" s="278"/>
      <c r="B254" s="278"/>
      <c r="C254" s="224"/>
      <c r="D254" s="278"/>
      <c r="E254" s="278"/>
      <c r="F254" s="278"/>
      <c r="G254" s="278"/>
      <c r="H254" s="278"/>
      <c r="I254" s="278"/>
      <c r="J254" s="278"/>
    </row>
    <row r="255" spans="1:10" ht="39.950000000000003" customHeight="1">
      <c r="A255" s="278"/>
      <c r="B255" s="278"/>
      <c r="C255" s="224"/>
      <c r="D255" s="278"/>
      <c r="E255" s="278"/>
      <c r="F255" s="278"/>
      <c r="G255" s="278"/>
      <c r="H255" s="278"/>
      <c r="I255" s="278"/>
      <c r="J255" s="278"/>
    </row>
    <row r="256" spans="1:10" ht="39.950000000000003" customHeight="1">
      <c r="A256" s="278"/>
      <c r="B256" s="278"/>
      <c r="C256" s="224"/>
      <c r="D256" s="278"/>
      <c r="E256" s="278"/>
      <c r="F256" s="278"/>
      <c r="G256" s="278"/>
      <c r="H256" s="278"/>
      <c r="I256" s="278"/>
      <c r="J256" s="278"/>
    </row>
    <row r="257" spans="1:10" ht="39.950000000000003" customHeight="1">
      <c r="A257" s="278"/>
      <c r="B257" s="278"/>
      <c r="C257" s="224"/>
      <c r="D257" s="278"/>
      <c r="E257" s="278"/>
      <c r="F257" s="278"/>
      <c r="G257" s="278"/>
      <c r="H257" s="278"/>
      <c r="I257" s="278"/>
      <c r="J257" s="278"/>
    </row>
    <row r="258" spans="1:10" ht="68.25" customHeight="1">
      <c r="A258" s="278"/>
      <c r="B258" s="278"/>
      <c r="C258" s="224"/>
      <c r="D258" s="278"/>
      <c r="E258" s="278"/>
      <c r="F258" s="278"/>
      <c r="G258" s="278"/>
      <c r="H258" s="278"/>
      <c r="I258" s="278"/>
      <c r="J258" s="278"/>
    </row>
    <row r="259" spans="1:10" ht="68.25" customHeight="1">
      <c r="A259" s="278"/>
      <c r="B259" s="278"/>
      <c r="C259" s="224"/>
      <c r="D259" s="278"/>
      <c r="E259" s="278"/>
      <c r="F259" s="278"/>
      <c r="G259" s="278"/>
      <c r="H259" s="278"/>
      <c r="I259" s="278"/>
      <c r="J259" s="278"/>
    </row>
    <row r="260" spans="1:10" ht="68.25" customHeight="1">
      <c r="A260" s="278"/>
      <c r="B260" s="278"/>
      <c r="C260" s="224"/>
      <c r="D260" s="278"/>
      <c r="E260" s="278"/>
      <c r="F260" s="278"/>
      <c r="G260" s="278"/>
      <c r="H260" s="278"/>
      <c r="I260" s="278"/>
      <c r="J260" s="278"/>
    </row>
    <row r="261" spans="1:10" ht="68.25" customHeight="1">
      <c r="A261" s="278"/>
      <c r="B261" s="278"/>
      <c r="C261" s="224"/>
      <c r="D261" s="278"/>
      <c r="E261" s="278"/>
      <c r="F261" s="278"/>
      <c r="G261" s="278"/>
      <c r="H261" s="278"/>
      <c r="I261" s="278"/>
      <c r="J261" s="278"/>
    </row>
    <row r="262" spans="1:10" ht="68.25" customHeight="1">
      <c r="A262" s="278"/>
      <c r="B262" s="278"/>
      <c r="C262" s="224"/>
      <c r="D262" s="278"/>
      <c r="E262" s="278"/>
      <c r="F262" s="278"/>
      <c r="G262" s="278"/>
      <c r="H262" s="278"/>
      <c r="I262" s="278"/>
      <c r="J262" s="278"/>
    </row>
    <row r="263" spans="1:10" ht="68.25" customHeight="1">
      <c r="A263" s="278"/>
      <c r="B263" s="278"/>
      <c r="C263" s="224"/>
      <c r="D263" s="278"/>
      <c r="E263" s="278"/>
      <c r="F263" s="278"/>
      <c r="G263" s="278"/>
      <c r="H263" s="278"/>
      <c r="I263" s="278"/>
      <c r="J263" s="278"/>
    </row>
    <row r="264" spans="1:10" ht="68.25" customHeight="1">
      <c r="A264" s="278"/>
      <c r="B264" s="278"/>
      <c r="C264" s="224"/>
      <c r="D264" s="278"/>
      <c r="E264" s="278"/>
      <c r="F264" s="278"/>
      <c r="G264" s="278"/>
      <c r="H264" s="278"/>
      <c r="I264" s="278"/>
      <c r="J264" s="278"/>
    </row>
    <row r="265" spans="1:10" ht="68.25" customHeight="1">
      <c r="A265" s="278"/>
      <c r="B265" s="278"/>
      <c r="C265" s="224"/>
      <c r="D265" s="278"/>
      <c r="E265" s="278"/>
      <c r="F265" s="278"/>
      <c r="G265" s="278"/>
      <c r="H265" s="278"/>
      <c r="I265" s="278"/>
      <c r="J265" s="278"/>
    </row>
    <row r="266" spans="1:10" ht="68.25" customHeight="1">
      <c r="A266" s="278"/>
      <c r="B266" s="278"/>
      <c r="C266" s="224"/>
      <c r="D266" s="278"/>
      <c r="E266" s="278"/>
      <c r="F266" s="278"/>
      <c r="G266" s="278"/>
      <c r="H266" s="278"/>
      <c r="I266" s="278"/>
      <c r="J266" s="278"/>
    </row>
    <row r="267" spans="1:10" ht="68.25" customHeight="1">
      <c r="A267" s="278"/>
      <c r="B267" s="278"/>
      <c r="C267" s="224"/>
      <c r="D267" s="278"/>
      <c r="E267" s="278"/>
      <c r="F267" s="278"/>
      <c r="G267" s="278"/>
      <c r="H267" s="278"/>
      <c r="I267" s="278"/>
      <c r="J267" s="278"/>
    </row>
    <row r="268" spans="1:10" ht="68.25" customHeight="1">
      <c r="A268" s="278"/>
      <c r="B268" s="278"/>
      <c r="C268" s="224"/>
      <c r="D268" s="278"/>
      <c r="E268" s="278"/>
      <c r="F268" s="278"/>
      <c r="G268" s="278"/>
      <c r="H268" s="278"/>
      <c r="I268" s="278"/>
      <c r="J268" s="278"/>
    </row>
    <row r="269" spans="1:10" ht="68.25" customHeight="1">
      <c r="A269" s="278"/>
      <c r="B269" s="278"/>
      <c r="C269" s="224"/>
      <c r="D269" s="278"/>
      <c r="E269" s="278"/>
      <c r="F269" s="278"/>
      <c r="G269" s="278"/>
      <c r="H269" s="278"/>
      <c r="I269" s="278"/>
      <c r="J269" s="278"/>
    </row>
    <row r="270" spans="1:10" ht="68.25" customHeight="1">
      <c r="A270" s="278"/>
      <c r="B270" s="278"/>
      <c r="C270" s="224"/>
      <c r="D270" s="278"/>
      <c r="E270" s="278"/>
      <c r="F270" s="278"/>
      <c r="G270" s="278"/>
      <c r="H270" s="278"/>
      <c r="I270" s="278"/>
      <c r="J270" s="278"/>
    </row>
    <row r="271" spans="1:10" ht="68.25" customHeight="1">
      <c r="A271" s="278"/>
      <c r="B271" s="278"/>
      <c r="C271" s="224"/>
      <c r="D271" s="278"/>
      <c r="E271" s="278"/>
      <c r="F271" s="278"/>
      <c r="G271" s="278"/>
      <c r="H271" s="278"/>
      <c r="I271" s="278"/>
      <c r="J271" s="278"/>
    </row>
    <row r="272" spans="1:10" ht="68.25" customHeight="1">
      <c r="A272" s="278"/>
      <c r="B272" s="278"/>
      <c r="C272" s="224"/>
      <c r="D272" s="278"/>
      <c r="E272" s="278"/>
      <c r="F272" s="278"/>
      <c r="G272" s="278"/>
      <c r="H272" s="278"/>
      <c r="I272" s="278"/>
      <c r="J272" s="278"/>
    </row>
    <row r="273" spans="1:10" ht="68.25" customHeight="1">
      <c r="A273" s="278"/>
      <c r="B273" s="278"/>
      <c r="C273" s="224"/>
      <c r="D273" s="278"/>
      <c r="E273" s="278"/>
      <c r="F273" s="278"/>
      <c r="G273" s="278"/>
      <c r="H273" s="278"/>
      <c r="I273" s="278"/>
      <c r="J273" s="278"/>
    </row>
    <row r="274" spans="1:10" ht="68.25" customHeight="1">
      <c r="A274" s="278"/>
      <c r="B274" s="278"/>
      <c r="C274" s="224"/>
      <c r="D274" s="278"/>
      <c r="E274" s="278"/>
      <c r="F274" s="278"/>
      <c r="G274" s="278"/>
      <c r="H274" s="278"/>
      <c r="I274" s="278"/>
      <c r="J274" s="278"/>
    </row>
    <row r="275" spans="1:10" ht="68.25" customHeight="1">
      <c r="A275" s="278"/>
      <c r="B275" s="278"/>
      <c r="C275" s="224"/>
      <c r="D275" s="278"/>
      <c r="E275" s="278"/>
      <c r="F275" s="278"/>
      <c r="G275" s="278"/>
      <c r="H275" s="278"/>
      <c r="I275" s="278"/>
      <c r="J275" s="278"/>
    </row>
    <row r="276" spans="1:10" ht="68.25" customHeight="1">
      <c r="A276" s="278"/>
      <c r="B276" s="278"/>
      <c r="C276" s="224"/>
      <c r="D276" s="278"/>
      <c r="E276" s="278"/>
      <c r="F276" s="278"/>
      <c r="G276" s="278"/>
      <c r="H276" s="278"/>
      <c r="I276" s="278"/>
      <c r="J276" s="278"/>
    </row>
    <row r="277" spans="1:10" ht="68.25" customHeight="1">
      <c r="A277" s="278"/>
      <c r="B277" s="278"/>
      <c r="C277" s="224"/>
      <c r="D277" s="278"/>
      <c r="E277" s="278"/>
      <c r="F277" s="278"/>
      <c r="G277" s="278"/>
      <c r="H277" s="278"/>
      <c r="I277" s="278"/>
      <c r="J277" s="278"/>
    </row>
    <row r="278" spans="1:10" ht="68.25" customHeight="1">
      <c r="A278" s="278"/>
      <c r="B278" s="278"/>
      <c r="C278" s="224"/>
      <c r="D278" s="278"/>
      <c r="E278" s="278"/>
      <c r="F278" s="278"/>
      <c r="G278" s="278"/>
      <c r="H278" s="278"/>
      <c r="I278" s="278"/>
      <c r="J278" s="278"/>
    </row>
    <row r="279" spans="1:10" ht="68.25" customHeight="1">
      <c r="A279" s="278"/>
      <c r="B279" s="278"/>
      <c r="C279" s="224"/>
      <c r="D279" s="278"/>
      <c r="E279" s="278"/>
      <c r="F279" s="278"/>
      <c r="G279" s="278"/>
      <c r="H279" s="278"/>
      <c r="I279" s="278"/>
      <c r="J279" s="278"/>
    </row>
    <row r="280" spans="1:10" ht="68.25" customHeight="1">
      <c r="A280" s="278"/>
      <c r="B280" s="278"/>
      <c r="C280" s="224"/>
      <c r="D280" s="278"/>
      <c r="E280" s="278"/>
      <c r="F280" s="278"/>
      <c r="G280" s="278"/>
      <c r="H280" s="278"/>
      <c r="I280" s="278"/>
      <c r="J280" s="278"/>
    </row>
    <row r="281" spans="1:10" ht="68.25" customHeight="1">
      <c r="A281" s="278"/>
      <c r="B281" s="278"/>
      <c r="C281" s="224"/>
      <c r="D281" s="278"/>
      <c r="E281" s="278"/>
      <c r="F281" s="278"/>
      <c r="G281" s="278"/>
      <c r="H281" s="278"/>
      <c r="I281" s="278"/>
      <c r="J281" s="278"/>
    </row>
    <row r="282" spans="1:10" ht="68.25" customHeight="1">
      <c r="A282" s="278"/>
      <c r="B282" s="278"/>
      <c r="C282" s="224"/>
      <c r="D282" s="278"/>
      <c r="E282" s="278"/>
      <c r="F282" s="278"/>
      <c r="G282" s="278"/>
      <c r="H282" s="278"/>
      <c r="I282" s="278"/>
      <c r="J282" s="278"/>
    </row>
    <row r="283" spans="1:10" ht="68.25" customHeight="1">
      <c r="A283" s="278"/>
      <c r="B283" s="278"/>
      <c r="C283" s="224"/>
      <c r="D283" s="278"/>
      <c r="E283" s="278"/>
      <c r="F283" s="278"/>
      <c r="G283" s="278"/>
      <c r="H283" s="278"/>
      <c r="I283" s="278"/>
      <c r="J283" s="278"/>
    </row>
    <row r="284" spans="1:10" ht="68.25" customHeight="1">
      <c r="A284" s="278"/>
      <c r="B284" s="278"/>
      <c r="C284" s="224"/>
      <c r="D284" s="278"/>
      <c r="E284" s="278"/>
      <c r="F284" s="278"/>
      <c r="G284" s="278"/>
      <c r="H284" s="278"/>
      <c r="I284" s="278"/>
      <c r="J284" s="278"/>
    </row>
    <row r="285" spans="1:10" ht="68.25" customHeight="1">
      <c r="A285" s="278"/>
      <c r="B285" s="278"/>
      <c r="C285" s="224"/>
      <c r="D285" s="278"/>
      <c r="E285" s="278"/>
      <c r="F285" s="278"/>
      <c r="G285" s="278"/>
      <c r="H285" s="278"/>
      <c r="I285" s="278"/>
      <c r="J285" s="278"/>
    </row>
    <row r="286" spans="1:10" ht="68.25" customHeight="1">
      <c r="A286" s="278"/>
      <c r="B286" s="278"/>
      <c r="C286" s="224"/>
      <c r="D286" s="278"/>
      <c r="E286" s="278"/>
      <c r="F286" s="278"/>
      <c r="G286" s="278"/>
      <c r="H286" s="278"/>
      <c r="I286" s="278"/>
      <c r="J286" s="278"/>
    </row>
    <row r="287" spans="1:10" ht="68.25" customHeight="1">
      <c r="A287" s="278"/>
      <c r="B287" s="278"/>
      <c r="C287" s="224"/>
      <c r="D287" s="278"/>
      <c r="E287" s="278"/>
      <c r="F287" s="278"/>
      <c r="G287" s="278"/>
      <c r="H287" s="278"/>
      <c r="I287" s="278"/>
      <c r="J287" s="278"/>
    </row>
    <row r="288" spans="1:10" ht="68.25" customHeight="1">
      <c r="A288" s="278"/>
      <c r="B288" s="278"/>
      <c r="C288" s="224"/>
      <c r="D288" s="278"/>
      <c r="E288" s="278"/>
      <c r="F288" s="278"/>
      <c r="G288" s="278"/>
      <c r="H288" s="278"/>
      <c r="I288" s="278"/>
      <c r="J288" s="278"/>
    </row>
    <row r="289" spans="1:10" ht="68.25" customHeight="1">
      <c r="A289" s="278"/>
      <c r="B289" s="278"/>
      <c r="C289" s="224"/>
      <c r="D289" s="278"/>
      <c r="E289" s="278"/>
      <c r="F289" s="278"/>
      <c r="G289" s="278"/>
      <c r="H289" s="278"/>
      <c r="I289" s="278"/>
      <c r="J289" s="278"/>
    </row>
    <row r="290" spans="1:10" ht="68.25" customHeight="1">
      <c r="A290" s="278"/>
      <c r="B290" s="278"/>
      <c r="C290" s="224"/>
      <c r="D290" s="278"/>
      <c r="E290" s="278"/>
      <c r="F290" s="278"/>
      <c r="G290" s="278"/>
      <c r="H290" s="278"/>
      <c r="I290" s="278"/>
      <c r="J290" s="278"/>
    </row>
    <row r="291" spans="1:10" ht="68.25" customHeight="1">
      <c r="A291" s="278"/>
      <c r="B291" s="278"/>
      <c r="C291" s="224"/>
      <c r="D291" s="278"/>
      <c r="E291" s="278"/>
      <c r="F291" s="278"/>
      <c r="G291" s="278"/>
      <c r="H291" s="278"/>
      <c r="I291" s="278"/>
      <c r="J291" s="278"/>
    </row>
    <row r="292" spans="1:10" ht="68.25" customHeight="1">
      <c r="A292" s="278"/>
      <c r="B292" s="278"/>
      <c r="C292" s="224"/>
      <c r="D292" s="278"/>
      <c r="E292" s="278"/>
      <c r="F292" s="278"/>
      <c r="G292" s="278"/>
      <c r="H292" s="278"/>
      <c r="I292" s="278"/>
      <c r="J292" s="278"/>
    </row>
    <row r="293" spans="1:10" ht="68.25" customHeight="1">
      <c r="A293" s="278"/>
      <c r="B293" s="278"/>
      <c r="C293" s="224"/>
      <c r="D293" s="278"/>
      <c r="E293" s="278"/>
      <c r="F293" s="278"/>
      <c r="G293" s="278"/>
      <c r="H293" s="278"/>
      <c r="I293" s="278"/>
      <c r="J293" s="278"/>
    </row>
    <row r="294" spans="1:10" ht="68.25" customHeight="1">
      <c r="A294" s="278"/>
      <c r="B294" s="278"/>
      <c r="C294" s="224"/>
      <c r="D294" s="278"/>
      <c r="E294" s="278"/>
      <c r="F294" s="278"/>
      <c r="G294" s="278"/>
      <c r="H294" s="278"/>
      <c r="I294" s="278"/>
      <c r="J294" s="278"/>
    </row>
    <row r="295" spans="1:10" ht="68.25" customHeight="1">
      <c r="A295" s="278"/>
      <c r="B295" s="278"/>
      <c r="C295" s="224"/>
      <c r="D295" s="278"/>
      <c r="E295" s="278"/>
      <c r="F295" s="278"/>
      <c r="G295" s="278"/>
      <c r="H295" s="278"/>
      <c r="I295" s="278"/>
      <c r="J295" s="278"/>
    </row>
    <row r="296" spans="1:10" ht="68.25" customHeight="1">
      <c r="A296" s="278"/>
      <c r="B296" s="278"/>
      <c r="C296" s="224"/>
      <c r="D296" s="278"/>
      <c r="E296" s="278"/>
      <c r="F296" s="278"/>
      <c r="G296" s="278"/>
      <c r="H296" s="278"/>
      <c r="I296" s="278"/>
      <c r="J296" s="278"/>
    </row>
    <row r="297" spans="1:10" ht="68.25" customHeight="1">
      <c r="A297" s="278"/>
      <c r="B297" s="278"/>
      <c r="C297" s="224"/>
      <c r="D297" s="278"/>
      <c r="E297" s="278"/>
      <c r="F297" s="278"/>
      <c r="G297" s="278"/>
      <c r="H297" s="278"/>
      <c r="I297" s="278"/>
      <c r="J297" s="278"/>
    </row>
    <row r="298" spans="1:10" ht="68.25" customHeight="1">
      <c r="A298" s="278"/>
      <c r="B298" s="278"/>
      <c r="C298" s="224"/>
      <c r="D298" s="278"/>
      <c r="E298" s="278"/>
      <c r="F298" s="278"/>
      <c r="G298" s="278"/>
      <c r="H298" s="278"/>
      <c r="I298" s="278"/>
      <c r="J298" s="278"/>
    </row>
    <row r="299" spans="1:10" ht="68.25" customHeight="1">
      <c r="A299" s="278"/>
      <c r="B299" s="278"/>
      <c r="C299" s="224"/>
      <c r="D299" s="278"/>
      <c r="E299" s="278"/>
      <c r="F299" s="278"/>
      <c r="G299" s="278"/>
      <c r="H299" s="278"/>
      <c r="I299" s="278"/>
      <c r="J299" s="278"/>
    </row>
    <row r="300" spans="1:10" ht="68.25" customHeight="1">
      <c r="A300" s="278"/>
      <c r="B300" s="278"/>
      <c r="C300" s="224"/>
      <c r="D300" s="278"/>
      <c r="E300" s="278"/>
      <c r="F300" s="278"/>
      <c r="G300" s="278"/>
      <c r="H300" s="278"/>
      <c r="I300" s="278"/>
      <c r="J300" s="278"/>
    </row>
    <row r="301" spans="1:10" ht="68.25" customHeight="1">
      <c r="A301" s="278"/>
      <c r="B301" s="278"/>
      <c r="C301" s="224"/>
      <c r="D301" s="278"/>
      <c r="E301" s="278"/>
      <c r="F301" s="278"/>
      <c r="G301" s="278"/>
      <c r="H301" s="278"/>
      <c r="I301" s="278"/>
      <c r="J301" s="278"/>
    </row>
    <row r="302" spans="1:10" ht="68.25" customHeight="1">
      <c r="A302" s="278"/>
      <c r="B302" s="278"/>
      <c r="C302" s="224"/>
      <c r="D302" s="278"/>
      <c r="E302" s="278"/>
      <c r="F302" s="278"/>
      <c r="G302" s="278"/>
      <c r="H302" s="278"/>
      <c r="I302" s="278"/>
      <c r="J302" s="278"/>
    </row>
    <row r="303" spans="1:10" ht="68.25" customHeight="1">
      <c r="A303" s="278"/>
      <c r="B303" s="278"/>
      <c r="C303" s="224"/>
      <c r="D303" s="278"/>
      <c r="E303" s="278"/>
      <c r="F303" s="278"/>
      <c r="G303" s="278"/>
      <c r="H303" s="278"/>
      <c r="I303" s="278"/>
      <c r="J303" s="278"/>
    </row>
    <row r="304" spans="1:10" ht="68.25" customHeight="1">
      <c r="A304" s="278"/>
      <c r="B304" s="278"/>
      <c r="C304" s="224"/>
      <c r="D304" s="278"/>
      <c r="E304" s="278"/>
      <c r="F304" s="278"/>
      <c r="G304" s="278"/>
      <c r="H304" s="278"/>
      <c r="I304" s="278"/>
      <c r="J304" s="278"/>
    </row>
    <row r="305" spans="1:10" ht="68.25" customHeight="1">
      <c r="A305" s="278"/>
      <c r="B305" s="278"/>
      <c r="C305" s="224"/>
      <c r="D305" s="278"/>
      <c r="E305" s="278"/>
      <c r="F305" s="278"/>
      <c r="G305" s="278"/>
      <c r="H305" s="278"/>
      <c r="I305" s="278"/>
      <c r="J305" s="278"/>
    </row>
    <row r="306" spans="1:10" ht="68.25" customHeight="1">
      <c r="A306" s="278"/>
      <c r="B306" s="278"/>
      <c r="C306" s="224"/>
      <c r="D306" s="278"/>
      <c r="E306" s="278"/>
      <c r="F306" s="278"/>
      <c r="G306" s="278"/>
      <c r="H306" s="278"/>
      <c r="I306" s="278"/>
      <c r="J306" s="278"/>
    </row>
    <row r="307" spans="1:10" ht="68.25" customHeight="1">
      <c r="A307" s="278"/>
      <c r="B307" s="278"/>
      <c r="C307" s="224"/>
      <c r="D307" s="278"/>
      <c r="E307" s="278"/>
      <c r="F307" s="278"/>
      <c r="G307" s="278"/>
      <c r="H307" s="278"/>
      <c r="I307" s="278"/>
      <c r="J307" s="278"/>
    </row>
    <row r="308" spans="1:10" ht="68.25" customHeight="1">
      <c r="A308" s="278"/>
      <c r="B308" s="278"/>
      <c r="C308" s="224"/>
      <c r="D308" s="278"/>
      <c r="E308" s="278"/>
      <c r="F308" s="278"/>
      <c r="G308" s="278"/>
      <c r="H308" s="278"/>
      <c r="I308" s="278"/>
      <c r="J308" s="278"/>
    </row>
    <row r="309" spans="1:10" ht="68.25" customHeight="1">
      <c r="A309" s="278"/>
      <c r="B309" s="278"/>
      <c r="C309" s="224"/>
      <c r="D309" s="278"/>
      <c r="E309" s="278"/>
      <c r="F309" s="278"/>
      <c r="G309" s="278"/>
      <c r="H309" s="278"/>
      <c r="I309" s="278"/>
      <c r="J309" s="278"/>
    </row>
    <row r="310" spans="1:10" ht="68.25" customHeight="1">
      <c r="A310" s="278"/>
      <c r="B310" s="278"/>
      <c r="C310" s="224"/>
      <c r="D310" s="278"/>
      <c r="E310" s="278"/>
      <c r="F310" s="278"/>
      <c r="G310" s="278"/>
      <c r="H310" s="278"/>
      <c r="I310" s="278"/>
      <c r="J310" s="278"/>
    </row>
    <row r="311" spans="1:10" ht="68.25" customHeight="1">
      <c r="A311" s="278"/>
      <c r="B311" s="278"/>
      <c r="C311" s="224"/>
      <c r="D311" s="278"/>
      <c r="E311" s="278"/>
      <c r="F311" s="278"/>
      <c r="G311" s="278"/>
      <c r="H311" s="278"/>
      <c r="I311" s="278"/>
      <c r="J311" s="278"/>
    </row>
    <row r="312" spans="1:10" ht="68.25" customHeight="1">
      <c r="A312" s="278"/>
      <c r="B312" s="278"/>
      <c r="C312" s="224"/>
      <c r="D312" s="278"/>
      <c r="E312" s="278"/>
      <c r="F312" s="278"/>
      <c r="G312" s="278"/>
      <c r="H312" s="278"/>
      <c r="I312" s="278"/>
      <c r="J312" s="278"/>
    </row>
    <row r="313" spans="1:10" ht="68.25" customHeight="1">
      <c r="A313" s="278"/>
      <c r="B313" s="278"/>
      <c r="C313" s="224"/>
      <c r="D313" s="278"/>
      <c r="E313" s="278"/>
      <c r="F313" s="278"/>
      <c r="G313" s="278"/>
      <c r="H313" s="278"/>
      <c r="I313" s="278"/>
      <c r="J313" s="278"/>
    </row>
    <row r="314" spans="1:10" ht="68.25" customHeight="1">
      <c r="A314" s="278"/>
      <c r="B314" s="278"/>
      <c r="C314" s="224"/>
      <c r="D314" s="278"/>
      <c r="E314" s="278"/>
      <c r="F314" s="278"/>
      <c r="G314" s="278"/>
      <c r="H314" s="278"/>
      <c r="I314" s="278"/>
      <c r="J314" s="278"/>
    </row>
    <row r="315" spans="1:10" ht="68.25" customHeight="1">
      <c r="A315" s="278"/>
      <c r="B315" s="278"/>
      <c r="C315" s="224"/>
      <c r="D315" s="278"/>
      <c r="E315" s="278"/>
      <c r="F315" s="278"/>
      <c r="G315" s="278"/>
      <c r="H315" s="278"/>
      <c r="I315" s="278"/>
      <c r="J315" s="278"/>
    </row>
    <row r="316" spans="1:10" ht="68.25" customHeight="1">
      <c r="A316" s="278"/>
      <c r="B316" s="278"/>
      <c r="C316" s="224"/>
      <c r="D316" s="278"/>
      <c r="E316" s="278"/>
      <c r="F316" s="278"/>
      <c r="G316" s="278"/>
      <c r="H316" s="278"/>
      <c r="I316" s="278"/>
      <c r="J316" s="278"/>
    </row>
    <row r="317" spans="1:10" ht="68.25" customHeight="1">
      <c r="A317" s="278"/>
      <c r="B317" s="278"/>
      <c r="C317" s="224"/>
      <c r="D317" s="278"/>
      <c r="E317" s="278"/>
      <c r="F317" s="278"/>
      <c r="G317" s="278"/>
      <c r="H317" s="278"/>
      <c r="I317" s="278"/>
      <c r="J317" s="278"/>
    </row>
    <row r="318" spans="1:10" ht="68.25" customHeight="1">
      <c r="A318" s="278"/>
      <c r="B318" s="278"/>
      <c r="C318" s="224"/>
      <c r="D318" s="278"/>
      <c r="E318" s="278"/>
      <c r="F318" s="278"/>
      <c r="G318" s="278"/>
      <c r="H318" s="278"/>
      <c r="I318" s="278"/>
      <c r="J318" s="278"/>
    </row>
    <row r="319" spans="1:10" ht="68.25" customHeight="1">
      <c r="A319" s="278"/>
      <c r="B319" s="278"/>
      <c r="C319" s="224"/>
      <c r="D319" s="278"/>
      <c r="E319" s="278"/>
      <c r="F319" s="278"/>
      <c r="G319" s="278"/>
      <c r="H319" s="278"/>
      <c r="I319" s="278"/>
      <c r="J319" s="278"/>
    </row>
    <row r="320" spans="1:10" ht="68.25" customHeight="1">
      <c r="A320" s="278"/>
      <c r="B320" s="278"/>
      <c r="C320" s="224"/>
      <c r="D320" s="278"/>
      <c r="E320" s="278"/>
      <c r="F320" s="278"/>
      <c r="G320" s="278"/>
      <c r="H320" s="278"/>
      <c r="I320" s="278"/>
      <c r="J320" s="278"/>
    </row>
    <row r="321" spans="1:10" ht="68.25" customHeight="1">
      <c r="A321" s="278"/>
      <c r="B321" s="278"/>
      <c r="C321" s="224"/>
      <c r="D321" s="278"/>
      <c r="E321" s="278"/>
      <c r="F321" s="278"/>
      <c r="G321" s="278"/>
      <c r="H321" s="278"/>
      <c r="I321" s="278"/>
      <c r="J321" s="278"/>
    </row>
    <row r="322" spans="1:10" ht="68.25" customHeight="1">
      <c r="A322" s="278"/>
      <c r="B322" s="278"/>
      <c r="C322" s="224"/>
      <c r="D322" s="278"/>
      <c r="E322" s="278"/>
      <c r="F322" s="278"/>
      <c r="G322" s="278"/>
      <c r="H322" s="278"/>
      <c r="I322" s="278"/>
      <c r="J322" s="278"/>
    </row>
    <row r="323" spans="1:10" ht="68.25" customHeight="1">
      <c r="A323" s="278"/>
      <c r="B323" s="278"/>
      <c r="C323" s="224"/>
      <c r="D323" s="278"/>
      <c r="E323" s="278"/>
      <c r="F323" s="278"/>
      <c r="G323" s="278"/>
      <c r="H323" s="278"/>
      <c r="I323" s="278"/>
      <c r="J323" s="278"/>
    </row>
    <row r="324" spans="1:10" ht="68.25" customHeight="1">
      <c r="A324" s="278"/>
      <c r="B324" s="278"/>
      <c r="C324" s="224"/>
      <c r="D324" s="278"/>
      <c r="E324" s="278"/>
      <c r="F324" s="278"/>
      <c r="G324" s="278"/>
      <c r="H324" s="278"/>
      <c r="I324" s="278"/>
      <c r="J324" s="278"/>
    </row>
    <row r="325" spans="1:10" ht="68.25" customHeight="1">
      <c r="A325" s="278"/>
      <c r="B325" s="278"/>
      <c r="C325" s="224"/>
      <c r="D325" s="278"/>
      <c r="E325" s="278"/>
      <c r="F325" s="278"/>
      <c r="G325" s="278"/>
      <c r="H325" s="278"/>
      <c r="I325" s="278"/>
      <c r="J325" s="278"/>
    </row>
    <row r="326" spans="1:10" ht="68.25" customHeight="1">
      <c r="A326" s="278"/>
      <c r="B326" s="278"/>
      <c r="C326" s="224"/>
      <c r="D326" s="278"/>
      <c r="E326" s="278"/>
      <c r="F326" s="278"/>
      <c r="G326" s="278"/>
      <c r="H326" s="278"/>
      <c r="I326" s="278"/>
      <c r="J326" s="278"/>
    </row>
    <row r="327" spans="1:10" ht="68.25" customHeight="1">
      <c r="A327" s="278"/>
      <c r="B327" s="278"/>
      <c r="C327" s="224"/>
      <c r="D327" s="278"/>
      <c r="E327" s="278"/>
      <c r="F327" s="278"/>
      <c r="G327" s="278"/>
      <c r="H327" s="278"/>
      <c r="I327" s="278"/>
      <c r="J327" s="278"/>
    </row>
    <row r="328" spans="1:10" ht="68.25" customHeight="1">
      <c r="A328" s="278"/>
      <c r="B328" s="278"/>
      <c r="C328" s="224"/>
      <c r="D328" s="278"/>
      <c r="E328" s="278"/>
      <c r="F328" s="278"/>
      <c r="G328" s="278"/>
      <c r="H328" s="278"/>
      <c r="I328" s="278"/>
      <c r="J328" s="278"/>
    </row>
    <row r="329" spans="1:10" ht="68.25" customHeight="1">
      <c r="A329" s="278"/>
      <c r="B329" s="278"/>
      <c r="C329" s="224"/>
      <c r="D329" s="278"/>
      <c r="E329" s="278"/>
      <c r="F329" s="278"/>
      <c r="G329" s="278"/>
      <c r="H329" s="278"/>
      <c r="I329" s="278"/>
      <c r="J329" s="278"/>
    </row>
    <row r="330" spans="1:10" ht="68.25" customHeight="1">
      <c r="A330" s="278"/>
      <c r="B330" s="278"/>
      <c r="C330" s="224"/>
      <c r="D330" s="278"/>
      <c r="E330" s="278"/>
      <c r="F330" s="278"/>
      <c r="G330" s="278"/>
      <c r="H330" s="278"/>
      <c r="I330" s="278"/>
      <c r="J330" s="278"/>
    </row>
    <row r="331" spans="1:10" ht="68.25" customHeight="1">
      <c r="A331" s="278"/>
      <c r="B331" s="278"/>
      <c r="C331" s="224"/>
      <c r="D331" s="278"/>
      <c r="E331" s="278"/>
      <c r="F331" s="278"/>
      <c r="G331" s="278"/>
      <c r="H331" s="278"/>
      <c r="I331" s="278"/>
      <c r="J331" s="278"/>
    </row>
    <row r="332" spans="1:10" ht="68.25" customHeight="1">
      <c r="A332" s="278"/>
      <c r="B332" s="278"/>
      <c r="C332" s="224"/>
      <c r="D332" s="278"/>
      <c r="E332" s="278"/>
      <c r="F332" s="278"/>
      <c r="G332" s="278"/>
      <c r="H332" s="278"/>
      <c r="I332" s="278"/>
      <c r="J332" s="278"/>
    </row>
    <row r="333" spans="1:10" ht="68.25" customHeight="1">
      <c r="A333" s="278"/>
      <c r="B333" s="278"/>
      <c r="C333" s="224"/>
      <c r="D333" s="278"/>
      <c r="E333" s="278"/>
      <c r="F333" s="278"/>
      <c r="G333" s="278"/>
      <c r="H333" s="278"/>
      <c r="I333" s="278"/>
      <c r="J333" s="278"/>
    </row>
    <row r="334" spans="1:10" ht="68.25" customHeight="1">
      <c r="A334" s="278"/>
      <c r="B334" s="278"/>
      <c r="C334" s="224"/>
      <c r="D334" s="278"/>
      <c r="E334" s="278"/>
      <c r="F334" s="278"/>
      <c r="G334" s="278"/>
      <c r="H334" s="278"/>
      <c r="I334" s="278"/>
      <c r="J334" s="278"/>
    </row>
    <row r="335" spans="1:10" ht="68.25" customHeight="1">
      <c r="A335" s="278"/>
      <c r="B335" s="278"/>
      <c r="C335" s="224"/>
      <c r="D335" s="278"/>
      <c r="E335" s="278"/>
      <c r="F335" s="278"/>
      <c r="G335" s="278"/>
      <c r="H335" s="278"/>
      <c r="I335" s="278"/>
      <c r="J335" s="278"/>
    </row>
    <row r="336" spans="1:10" ht="68.25" customHeight="1">
      <c r="A336" s="278"/>
      <c r="B336" s="278"/>
      <c r="C336" s="224"/>
      <c r="D336" s="278"/>
      <c r="E336" s="278"/>
      <c r="F336" s="278"/>
      <c r="G336" s="278"/>
      <c r="H336" s="278"/>
      <c r="I336" s="278"/>
      <c r="J336" s="278"/>
    </row>
    <row r="337" spans="1:10" ht="68.25" customHeight="1">
      <c r="A337" s="278"/>
      <c r="B337" s="278"/>
      <c r="C337" s="224"/>
      <c r="D337" s="278"/>
      <c r="E337" s="278"/>
      <c r="F337" s="278"/>
      <c r="G337" s="278"/>
      <c r="H337" s="278"/>
      <c r="I337" s="278"/>
      <c r="J337" s="278"/>
    </row>
    <row r="338" spans="1:10" ht="68.25" customHeight="1">
      <c r="A338" s="278"/>
      <c r="B338" s="278"/>
      <c r="C338" s="224"/>
      <c r="D338" s="278"/>
      <c r="E338" s="278"/>
      <c r="F338" s="278"/>
      <c r="G338" s="278"/>
      <c r="H338" s="278"/>
      <c r="I338" s="278"/>
      <c r="J338" s="278"/>
    </row>
    <row r="339" spans="1:10" ht="68.25" customHeight="1">
      <c r="A339" s="278"/>
      <c r="B339" s="278"/>
      <c r="C339" s="224"/>
      <c r="D339" s="278"/>
      <c r="E339" s="278"/>
      <c r="F339" s="278"/>
      <c r="G339" s="278"/>
      <c r="H339" s="278"/>
      <c r="I339" s="278"/>
      <c r="J339" s="278"/>
    </row>
    <row r="340" spans="1:10" ht="68.25" customHeight="1">
      <c r="A340" s="278"/>
      <c r="B340" s="278"/>
      <c r="C340" s="224"/>
      <c r="D340" s="278"/>
      <c r="E340" s="278"/>
      <c r="F340" s="278"/>
      <c r="G340" s="278"/>
      <c r="H340" s="278"/>
      <c r="I340" s="278"/>
      <c r="J340" s="278"/>
    </row>
    <row r="341" spans="1:10" ht="68.25" customHeight="1">
      <c r="A341" s="278"/>
      <c r="B341" s="278"/>
      <c r="C341" s="224"/>
      <c r="D341" s="278"/>
      <c r="E341" s="278"/>
      <c r="F341" s="278"/>
      <c r="G341" s="278"/>
      <c r="H341" s="278"/>
      <c r="I341" s="278"/>
      <c r="J341" s="278"/>
    </row>
    <row r="342" spans="1:10" ht="68.25" customHeight="1">
      <c r="A342" s="278"/>
      <c r="B342" s="278"/>
      <c r="C342" s="224"/>
      <c r="D342" s="278"/>
      <c r="E342" s="278"/>
      <c r="F342" s="278"/>
      <c r="G342" s="278"/>
      <c r="H342" s="278"/>
      <c r="I342" s="278"/>
      <c r="J342" s="278"/>
    </row>
    <row r="343" spans="1:10" ht="68.25" customHeight="1">
      <c r="A343" s="278"/>
      <c r="B343" s="278"/>
      <c r="C343" s="224"/>
      <c r="D343" s="278"/>
      <c r="E343" s="278"/>
      <c r="F343" s="278"/>
      <c r="G343" s="278"/>
      <c r="H343" s="278"/>
      <c r="I343" s="278"/>
      <c r="J343" s="278"/>
    </row>
    <row r="344" spans="1:10" ht="68.25" customHeight="1">
      <c r="A344" s="278"/>
      <c r="B344" s="278"/>
      <c r="C344" s="224"/>
      <c r="D344" s="278"/>
      <c r="E344" s="278"/>
      <c r="F344" s="278"/>
      <c r="G344" s="278"/>
      <c r="H344" s="278"/>
      <c r="I344" s="278"/>
      <c r="J344" s="278"/>
    </row>
    <row r="345" spans="1:10" ht="68.25" customHeight="1">
      <c r="A345" s="278"/>
      <c r="B345" s="278"/>
      <c r="C345" s="224"/>
      <c r="D345" s="278"/>
      <c r="E345" s="278"/>
      <c r="F345" s="278"/>
      <c r="G345" s="278"/>
      <c r="H345" s="278"/>
      <c r="I345" s="278"/>
      <c r="J345" s="278"/>
    </row>
    <row r="346" spans="1:10" ht="68.25" customHeight="1">
      <c r="A346" s="278"/>
      <c r="B346" s="278"/>
      <c r="C346" s="224"/>
      <c r="D346" s="278"/>
      <c r="E346" s="278"/>
      <c r="F346" s="278"/>
      <c r="G346" s="278"/>
      <c r="H346" s="278"/>
      <c r="I346" s="278"/>
      <c r="J346" s="278"/>
    </row>
    <row r="347" spans="1:10" ht="68.25" customHeight="1">
      <c r="A347" s="278"/>
      <c r="B347" s="278"/>
      <c r="C347" s="224"/>
      <c r="D347" s="278"/>
      <c r="E347" s="278"/>
      <c r="F347" s="278"/>
      <c r="G347" s="278"/>
      <c r="H347" s="278"/>
      <c r="I347" s="278"/>
      <c r="J347" s="278"/>
    </row>
    <row r="348" spans="1:10" ht="68.25" customHeight="1">
      <c r="A348" s="278"/>
      <c r="B348" s="278"/>
      <c r="C348" s="224"/>
      <c r="D348" s="278"/>
      <c r="E348" s="278"/>
      <c r="F348" s="278"/>
      <c r="G348" s="278"/>
      <c r="H348" s="278"/>
      <c r="I348" s="278"/>
      <c r="J348" s="278"/>
    </row>
    <row r="349" spans="1:10" ht="68.25" customHeight="1">
      <c r="A349" s="278"/>
      <c r="B349" s="278"/>
      <c r="C349" s="224"/>
      <c r="D349" s="278"/>
      <c r="E349" s="278"/>
      <c r="F349" s="278"/>
      <c r="G349" s="278"/>
      <c r="H349" s="278"/>
      <c r="I349" s="278"/>
      <c r="J349" s="278"/>
    </row>
    <row r="350" spans="1:10" ht="68.25" customHeight="1">
      <c r="A350" s="278"/>
      <c r="B350" s="278"/>
      <c r="C350" s="224"/>
      <c r="D350" s="278"/>
      <c r="E350" s="278"/>
      <c r="F350" s="278"/>
      <c r="G350" s="278"/>
      <c r="H350" s="278"/>
      <c r="I350" s="278"/>
      <c r="J350" s="278"/>
    </row>
    <row r="351" spans="1:10" ht="68.25" customHeight="1">
      <c r="A351" s="278"/>
      <c r="B351" s="278"/>
      <c r="C351" s="224"/>
      <c r="D351" s="278"/>
      <c r="E351" s="278"/>
      <c r="F351" s="278"/>
      <c r="G351" s="278"/>
      <c r="H351" s="278"/>
      <c r="I351" s="278"/>
      <c r="J351" s="278"/>
    </row>
    <row r="352" spans="1:10" ht="68.25" customHeight="1">
      <c r="A352" s="278"/>
      <c r="B352" s="278"/>
      <c r="C352" s="224"/>
      <c r="D352" s="278"/>
      <c r="E352" s="278"/>
      <c r="F352" s="278"/>
      <c r="G352" s="278"/>
      <c r="H352" s="278"/>
      <c r="I352" s="278"/>
      <c r="J352" s="278"/>
    </row>
    <row r="353" spans="1:10" ht="68.25" customHeight="1">
      <c r="A353" s="278"/>
      <c r="B353" s="278"/>
      <c r="C353" s="224"/>
      <c r="D353" s="278"/>
      <c r="E353" s="278"/>
      <c r="F353" s="278"/>
      <c r="G353" s="278"/>
      <c r="H353" s="278"/>
      <c r="I353" s="278"/>
      <c r="J353" s="278"/>
    </row>
    <row r="354" spans="1:10" ht="68.25" customHeight="1">
      <c r="A354" s="278"/>
      <c r="B354" s="278"/>
      <c r="C354" s="224"/>
      <c r="D354" s="278"/>
      <c r="E354" s="278"/>
      <c r="F354" s="278"/>
      <c r="G354" s="278"/>
      <c r="H354" s="278"/>
      <c r="I354" s="278"/>
      <c r="J354" s="278"/>
    </row>
    <row r="355" spans="1:10" ht="68.25" customHeight="1">
      <c r="A355" s="278"/>
      <c r="B355" s="278"/>
      <c r="C355" s="224"/>
      <c r="D355" s="278"/>
      <c r="E355" s="278"/>
      <c r="F355" s="278"/>
      <c r="G355" s="278"/>
      <c r="H355" s="278"/>
      <c r="I355" s="278"/>
      <c r="J355" s="278"/>
    </row>
    <row r="356" spans="1:10" ht="68.25" customHeight="1">
      <c r="A356" s="278"/>
      <c r="B356" s="278"/>
      <c r="C356" s="224"/>
      <c r="D356" s="278"/>
      <c r="E356" s="278"/>
      <c r="F356" s="278"/>
      <c r="G356" s="278"/>
      <c r="H356" s="278"/>
      <c r="I356" s="278"/>
      <c r="J356" s="278"/>
    </row>
    <row r="357" spans="1:10" ht="68.25" customHeight="1">
      <c r="A357" s="278"/>
      <c r="B357" s="278"/>
      <c r="C357" s="224"/>
      <c r="D357" s="278"/>
      <c r="E357" s="278"/>
      <c r="F357" s="278"/>
      <c r="G357" s="278"/>
      <c r="H357" s="278"/>
      <c r="I357" s="278"/>
      <c r="J357" s="278"/>
    </row>
    <row r="358" spans="1:10" ht="68.25" customHeight="1">
      <c r="A358" s="278"/>
      <c r="B358" s="278"/>
      <c r="C358" s="224"/>
      <c r="D358" s="278"/>
      <c r="E358" s="278"/>
      <c r="F358" s="278"/>
      <c r="G358" s="278"/>
      <c r="H358" s="278"/>
      <c r="I358" s="278"/>
      <c r="J358" s="278"/>
    </row>
    <row r="359" spans="1:10" ht="68.25" customHeight="1">
      <c r="A359" s="278"/>
      <c r="B359" s="278"/>
      <c r="C359" s="224"/>
      <c r="D359" s="278"/>
      <c r="E359" s="278"/>
      <c r="F359" s="278"/>
      <c r="G359" s="278"/>
      <c r="H359" s="278"/>
      <c r="I359" s="278"/>
      <c r="J359" s="278"/>
    </row>
    <row r="360" spans="1:10" ht="68.25" customHeight="1">
      <c r="A360" s="278"/>
      <c r="B360" s="278"/>
      <c r="C360" s="224"/>
      <c r="D360" s="278"/>
      <c r="E360" s="278"/>
      <c r="F360" s="278"/>
      <c r="G360" s="278"/>
      <c r="H360" s="278"/>
      <c r="I360" s="278"/>
      <c r="J360" s="278"/>
    </row>
    <row r="361" spans="1:10" ht="68.25" customHeight="1">
      <c r="A361" s="278"/>
      <c r="B361" s="278"/>
      <c r="C361" s="224"/>
      <c r="D361" s="278"/>
      <c r="E361" s="278"/>
      <c r="F361" s="278"/>
      <c r="G361" s="278"/>
      <c r="H361" s="278"/>
      <c r="I361" s="278"/>
      <c r="J361" s="278"/>
    </row>
    <row r="362" spans="1:10" ht="68.25" customHeight="1">
      <c r="A362" s="278"/>
      <c r="B362" s="278"/>
      <c r="C362" s="224"/>
      <c r="D362" s="278"/>
      <c r="E362" s="278"/>
      <c r="F362" s="278"/>
      <c r="G362" s="278"/>
      <c r="H362" s="278"/>
      <c r="I362" s="278"/>
      <c r="J362" s="278"/>
    </row>
    <row r="363" spans="1:10" ht="68.25" customHeight="1">
      <c r="A363" s="278"/>
      <c r="B363" s="278"/>
      <c r="C363" s="224"/>
      <c r="D363" s="278"/>
      <c r="E363" s="278"/>
      <c r="F363" s="278"/>
      <c r="G363" s="278"/>
      <c r="H363" s="278"/>
      <c r="I363" s="278"/>
      <c r="J363" s="278"/>
    </row>
    <row r="364" spans="1:10" ht="68.25" customHeight="1">
      <c r="A364" s="278"/>
      <c r="B364" s="278"/>
      <c r="C364" s="224"/>
      <c r="D364" s="278"/>
      <c r="E364" s="278"/>
      <c r="F364" s="278"/>
      <c r="G364" s="278"/>
      <c r="H364" s="278"/>
      <c r="I364" s="278"/>
      <c r="J364" s="278"/>
    </row>
    <row r="365" spans="1:10" ht="68.25" customHeight="1">
      <c r="A365" s="278"/>
      <c r="B365" s="278"/>
      <c r="C365" s="224"/>
      <c r="D365" s="278"/>
      <c r="E365" s="278"/>
      <c r="F365" s="278"/>
      <c r="G365" s="278"/>
      <c r="H365" s="278"/>
      <c r="I365" s="278"/>
      <c r="J365" s="278"/>
    </row>
    <row r="366" spans="1:10" ht="68.25" customHeight="1">
      <c r="A366" s="278"/>
      <c r="B366" s="278"/>
      <c r="C366" s="224"/>
      <c r="D366" s="278"/>
      <c r="E366" s="278"/>
      <c r="F366" s="278"/>
      <c r="G366" s="278"/>
      <c r="H366" s="278"/>
      <c r="I366" s="278"/>
      <c r="J366" s="278"/>
    </row>
    <row r="367" spans="1:10" ht="68.25" customHeight="1">
      <c r="A367" s="278"/>
      <c r="B367" s="278"/>
      <c r="C367" s="224"/>
      <c r="D367" s="278"/>
      <c r="E367" s="278"/>
      <c r="F367" s="278"/>
      <c r="G367" s="278"/>
      <c r="H367" s="278"/>
      <c r="I367" s="278"/>
      <c r="J367" s="278"/>
    </row>
    <row r="368" spans="1:10" ht="68.25" customHeight="1">
      <c r="A368" s="278"/>
      <c r="B368" s="278"/>
      <c r="C368" s="224"/>
      <c r="D368" s="278"/>
      <c r="E368" s="278"/>
      <c r="F368" s="278"/>
      <c r="G368" s="278"/>
      <c r="H368" s="278"/>
      <c r="I368" s="278"/>
      <c r="J368" s="278"/>
    </row>
    <row r="369" spans="1:10" ht="68.25" customHeight="1">
      <c r="A369" s="278"/>
      <c r="B369" s="278"/>
      <c r="C369" s="224"/>
      <c r="D369" s="278"/>
      <c r="E369" s="278"/>
      <c r="F369" s="278"/>
      <c r="G369" s="278"/>
      <c r="H369" s="278"/>
      <c r="I369" s="278"/>
      <c r="J369" s="278"/>
    </row>
    <row r="370" spans="1:10" ht="68.25" customHeight="1">
      <c r="A370" s="278"/>
      <c r="B370" s="278"/>
      <c r="C370" s="224"/>
      <c r="D370" s="278"/>
      <c r="E370" s="278"/>
      <c r="F370" s="278"/>
      <c r="G370" s="278"/>
      <c r="H370" s="278"/>
      <c r="I370" s="278"/>
      <c r="J370" s="278"/>
    </row>
    <row r="371" spans="1:10" ht="68.25" customHeight="1">
      <c r="A371" s="278"/>
      <c r="B371" s="278"/>
      <c r="C371" s="224"/>
      <c r="D371" s="278"/>
      <c r="E371" s="278"/>
      <c r="F371" s="278"/>
      <c r="G371" s="278"/>
      <c r="H371" s="278"/>
      <c r="I371" s="278"/>
      <c r="J371" s="278"/>
    </row>
    <row r="372" spans="1:10" ht="68.25" customHeight="1">
      <c r="A372" s="278"/>
      <c r="B372" s="278"/>
      <c r="C372" s="224"/>
      <c r="D372" s="278"/>
      <c r="E372" s="278"/>
      <c r="F372" s="278"/>
      <c r="G372" s="278"/>
      <c r="H372" s="278"/>
      <c r="I372" s="278"/>
      <c r="J372" s="278"/>
    </row>
    <row r="373" spans="1:10" ht="68.25" customHeight="1">
      <c r="A373" s="278"/>
      <c r="B373" s="278"/>
      <c r="C373" s="224"/>
      <c r="D373" s="278"/>
      <c r="E373" s="278"/>
      <c r="F373" s="278"/>
      <c r="G373" s="278"/>
      <c r="H373" s="278"/>
      <c r="I373" s="278"/>
      <c r="J373" s="278"/>
    </row>
    <row r="374" spans="1:10" ht="68.25" customHeight="1">
      <c r="A374" s="278"/>
      <c r="B374" s="278"/>
      <c r="C374" s="224"/>
      <c r="D374" s="278"/>
      <c r="E374" s="278"/>
      <c r="F374" s="278"/>
      <c r="G374" s="278"/>
      <c r="H374" s="278"/>
      <c r="I374" s="278"/>
      <c r="J374" s="278"/>
    </row>
    <row r="375" spans="1:10" ht="68.25" customHeight="1">
      <c r="A375" s="278"/>
      <c r="B375" s="278"/>
      <c r="C375" s="224"/>
      <c r="D375" s="278"/>
      <c r="E375" s="278"/>
      <c r="F375" s="278"/>
      <c r="G375" s="278"/>
      <c r="H375" s="278"/>
      <c r="I375" s="278"/>
      <c r="J375" s="278"/>
    </row>
    <row r="376" spans="1:10" ht="68.25" customHeight="1">
      <c r="A376" s="278"/>
      <c r="B376" s="278"/>
      <c r="C376" s="224"/>
      <c r="D376" s="278"/>
      <c r="E376" s="278"/>
      <c r="F376" s="278"/>
      <c r="G376" s="278"/>
      <c r="H376" s="278"/>
      <c r="I376" s="278"/>
      <c r="J376" s="278"/>
    </row>
    <row r="377" spans="1:10" ht="68.25" customHeight="1">
      <c r="A377" s="278"/>
      <c r="B377" s="278"/>
      <c r="C377" s="224"/>
      <c r="D377" s="278"/>
      <c r="E377" s="278"/>
      <c r="F377" s="278"/>
      <c r="G377" s="278"/>
      <c r="H377" s="278"/>
      <c r="I377" s="278"/>
      <c r="J377" s="278"/>
    </row>
    <row r="378" spans="1:10" ht="68.25" customHeight="1">
      <c r="A378" s="278"/>
      <c r="B378" s="278"/>
      <c r="C378" s="224"/>
      <c r="D378" s="278"/>
      <c r="E378" s="278"/>
      <c r="F378" s="278"/>
      <c r="G378" s="278"/>
      <c r="H378" s="278"/>
      <c r="I378" s="278"/>
      <c r="J378" s="278"/>
    </row>
    <row r="379" spans="1:10" ht="68.25" customHeight="1">
      <c r="A379" s="278"/>
      <c r="B379" s="278"/>
      <c r="C379" s="224"/>
      <c r="D379" s="278"/>
      <c r="E379" s="278"/>
      <c r="F379" s="278"/>
      <c r="G379" s="278"/>
      <c r="H379" s="278"/>
      <c r="I379" s="278"/>
      <c r="J379" s="278"/>
    </row>
    <row r="380" spans="1:10" ht="68.25" customHeight="1">
      <c r="A380" s="278"/>
      <c r="B380" s="278"/>
      <c r="C380" s="224"/>
      <c r="D380" s="278"/>
      <c r="E380" s="278"/>
      <c r="F380" s="278"/>
      <c r="G380" s="278"/>
      <c r="H380" s="278"/>
      <c r="I380" s="278"/>
      <c r="J380" s="278"/>
    </row>
    <row r="381" spans="1:10" ht="68.25" customHeight="1">
      <c r="A381" s="278"/>
      <c r="B381" s="278"/>
      <c r="C381" s="224"/>
      <c r="D381" s="278"/>
      <c r="E381" s="278"/>
      <c r="F381" s="278"/>
      <c r="G381" s="278"/>
      <c r="H381" s="278"/>
      <c r="I381" s="278"/>
      <c r="J381" s="278"/>
    </row>
    <row r="382" spans="1:10" ht="68.25" customHeight="1">
      <c r="A382" s="278"/>
      <c r="B382" s="278"/>
      <c r="C382" s="224"/>
      <c r="D382" s="278"/>
      <c r="E382" s="278"/>
      <c r="F382" s="278"/>
      <c r="G382" s="278"/>
      <c r="H382" s="278"/>
      <c r="I382" s="278"/>
      <c r="J382" s="278"/>
    </row>
    <row r="383" spans="1:10" ht="68.25" customHeight="1">
      <c r="A383" s="278"/>
      <c r="B383" s="278"/>
      <c r="C383" s="224"/>
      <c r="D383" s="278"/>
      <c r="E383" s="278"/>
      <c r="F383" s="278"/>
      <c r="G383" s="278"/>
      <c r="H383" s="278"/>
      <c r="I383" s="278"/>
      <c r="J383" s="278"/>
    </row>
    <row r="384" spans="1:10" ht="68.25" customHeight="1">
      <c r="A384" s="278"/>
      <c r="B384" s="278"/>
      <c r="C384" s="224"/>
      <c r="D384" s="278"/>
      <c r="E384" s="278"/>
      <c r="F384" s="278"/>
      <c r="G384" s="278"/>
      <c r="H384" s="278"/>
      <c r="I384" s="278"/>
      <c r="J384" s="278"/>
    </row>
    <row r="385" spans="1:10" ht="68.25" customHeight="1">
      <c r="A385" s="278"/>
      <c r="B385" s="278"/>
      <c r="C385" s="224"/>
      <c r="D385" s="278"/>
      <c r="E385" s="278"/>
      <c r="F385" s="278"/>
      <c r="G385" s="278"/>
      <c r="H385" s="278"/>
      <c r="I385" s="278"/>
      <c r="J385" s="278"/>
    </row>
    <row r="386" spans="1:10" ht="68.25" customHeight="1">
      <c r="A386" s="278"/>
      <c r="B386" s="278"/>
      <c r="C386" s="224"/>
      <c r="D386" s="278"/>
      <c r="E386" s="278"/>
      <c r="F386" s="278"/>
      <c r="G386" s="278"/>
      <c r="H386" s="278"/>
      <c r="I386" s="278"/>
      <c r="J386" s="278"/>
    </row>
    <row r="387" spans="1:10" ht="68.25" customHeight="1">
      <c r="A387" s="278"/>
      <c r="B387" s="278"/>
      <c r="C387" s="224"/>
      <c r="D387" s="278"/>
      <c r="E387" s="278"/>
      <c r="F387" s="278"/>
      <c r="G387" s="278"/>
      <c r="H387" s="278"/>
      <c r="I387" s="278"/>
      <c r="J387" s="278"/>
    </row>
    <row r="388" spans="1:10" ht="68.25" customHeight="1">
      <c r="A388" s="278"/>
      <c r="B388" s="278"/>
      <c r="C388" s="224"/>
      <c r="D388" s="278"/>
      <c r="E388" s="278"/>
      <c r="F388" s="278"/>
      <c r="G388" s="278"/>
      <c r="H388" s="278"/>
      <c r="I388" s="278"/>
      <c r="J388" s="278"/>
    </row>
    <row r="389" spans="1:10" ht="68.25" customHeight="1">
      <c r="A389" s="278"/>
      <c r="B389" s="278"/>
      <c r="C389" s="224"/>
      <c r="D389" s="278"/>
      <c r="E389" s="278"/>
      <c r="F389" s="278"/>
      <c r="G389" s="278"/>
      <c r="H389" s="278"/>
      <c r="I389" s="278"/>
      <c r="J389" s="278"/>
    </row>
    <row r="390" spans="1:10" ht="68.25" customHeight="1">
      <c r="A390" s="278"/>
      <c r="B390" s="278"/>
      <c r="C390" s="224"/>
      <c r="D390" s="278"/>
      <c r="E390" s="278"/>
      <c r="F390" s="278"/>
      <c r="G390" s="278"/>
      <c r="H390" s="278"/>
      <c r="I390" s="278"/>
      <c r="J390" s="278"/>
    </row>
    <row r="391" spans="1:10" ht="68.25" customHeight="1">
      <c r="A391" s="278"/>
      <c r="B391" s="278"/>
      <c r="C391" s="224"/>
      <c r="D391" s="278"/>
      <c r="E391" s="278"/>
      <c r="F391" s="278"/>
      <c r="G391" s="278"/>
      <c r="H391" s="278"/>
      <c r="I391" s="278"/>
      <c r="J391" s="278"/>
    </row>
    <row r="392" spans="1:10" ht="68.25" customHeight="1">
      <c r="A392" s="278"/>
      <c r="B392" s="278"/>
      <c r="C392" s="224"/>
      <c r="D392" s="278"/>
      <c r="E392" s="278"/>
      <c r="F392" s="278"/>
      <c r="G392" s="278"/>
      <c r="H392" s="278"/>
      <c r="I392" s="278"/>
      <c r="J392" s="278"/>
    </row>
    <row r="393" spans="1:10" ht="68.25" customHeight="1">
      <c r="A393" s="278"/>
      <c r="B393" s="278"/>
      <c r="C393" s="224"/>
      <c r="D393" s="278"/>
      <c r="E393" s="278"/>
      <c r="F393" s="278"/>
      <c r="G393" s="278"/>
      <c r="H393" s="278"/>
      <c r="I393" s="278"/>
      <c r="J393" s="278"/>
    </row>
    <row r="394" spans="1:10" ht="68.25" customHeight="1">
      <c r="A394" s="278"/>
      <c r="B394" s="278"/>
      <c r="C394" s="224"/>
      <c r="D394" s="278"/>
      <c r="E394" s="278"/>
      <c r="F394" s="278"/>
      <c r="G394" s="278"/>
      <c r="H394" s="278"/>
      <c r="I394" s="278"/>
      <c r="J394" s="278"/>
    </row>
    <row r="395" spans="1:10" ht="68.25" customHeight="1">
      <c r="A395" s="278"/>
      <c r="B395" s="278"/>
      <c r="C395" s="224"/>
      <c r="D395" s="278"/>
      <c r="E395" s="278"/>
      <c r="F395" s="278"/>
      <c r="G395" s="278"/>
      <c r="H395" s="278"/>
      <c r="I395" s="278"/>
      <c r="J395" s="278"/>
    </row>
    <row r="396" spans="1:10" ht="68.25" customHeight="1">
      <c r="A396" s="278"/>
      <c r="B396" s="278"/>
      <c r="C396" s="224"/>
      <c r="D396" s="278"/>
      <c r="E396" s="278"/>
      <c r="F396" s="278"/>
      <c r="G396" s="278"/>
      <c r="H396" s="278"/>
      <c r="I396" s="278"/>
      <c r="J396" s="278"/>
    </row>
    <row r="397" spans="1:10" ht="68.25" customHeight="1">
      <c r="A397" s="278"/>
      <c r="B397" s="278"/>
      <c r="C397" s="224"/>
      <c r="D397" s="278"/>
      <c r="E397" s="278"/>
      <c r="F397" s="278"/>
      <c r="G397" s="278"/>
      <c r="H397" s="278"/>
      <c r="I397" s="278"/>
      <c r="J397" s="278"/>
    </row>
    <row r="398" spans="1:10" ht="68.25" customHeight="1">
      <c r="A398" s="278"/>
      <c r="B398" s="278"/>
      <c r="C398" s="224"/>
      <c r="D398" s="278"/>
      <c r="E398" s="278"/>
      <c r="F398" s="278"/>
      <c r="G398" s="278"/>
      <c r="H398" s="278"/>
      <c r="I398" s="278"/>
      <c r="J398" s="278"/>
    </row>
    <row r="399" spans="1:10" ht="68.25" customHeight="1">
      <c r="A399" s="278"/>
      <c r="B399" s="278"/>
      <c r="C399" s="224"/>
      <c r="D399" s="278"/>
      <c r="E399" s="278"/>
      <c r="F399" s="278"/>
      <c r="G399" s="278"/>
      <c r="H399" s="278"/>
      <c r="I399" s="278"/>
      <c r="J399" s="278"/>
    </row>
    <row r="400" spans="1:10" ht="68.25" customHeight="1">
      <c r="A400" s="278"/>
      <c r="B400" s="278"/>
      <c r="C400" s="224"/>
      <c r="D400" s="278"/>
      <c r="E400" s="278"/>
      <c r="F400" s="278"/>
      <c r="G400" s="278"/>
      <c r="H400" s="278"/>
      <c r="I400" s="278"/>
      <c r="J400" s="278"/>
    </row>
    <row r="401" spans="1:10" ht="68.25" customHeight="1">
      <c r="A401" s="278"/>
      <c r="B401" s="278"/>
      <c r="C401" s="224"/>
      <c r="D401" s="278"/>
      <c r="E401" s="278"/>
      <c r="F401" s="278"/>
      <c r="G401" s="278"/>
      <c r="H401" s="278"/>
      <c r="I401" s="278"/>
      <c r="J401" s="278"/>
    </row>
    <row r="402" spans="1:10" ht="68.25" customHeight="1">
      <c r="A402" s="278"/>
      <c r="B402" s="278"/>
      <c r="C402" s="224"/>
      <c r="D402" s="278"/>
      <c r="E402" s="278"/>
      <c r="F402" s="278"/>
      <c r="G402" s="278"/>
      <c r="H402" s="278"/>
      <c r="I402" s="278"/>
      <c r="J402" s="278"/>
    </row>
    <row r="403" spans="1:10" ht="68.25" customHeight="1">
      <c r="A403" s="278"/>
      <c r="B403" s="278"/>
      <c r="C403" s="224"/>
      <c r="D403" s="278"/>
      <c r="E403" s="278"/>
      <c r="F403" s="278"/>
      <c r="G403" s="278"/>
      <c r="H403" s="278"/>
      <c r="I403" s="278"/>
      <c r="J403" s="278"/>
    </row>
    <row r="404" spans="1:10" ht="68.25" customHeight="1">
      <c r="A404" s="278"/>
      <c r="B404" s="278"/>
      <c r="C404" s="224"/>
      <c r="D404" s="278"/>
      <c r="E404" s="278"/>
      <c r="F404" s="278"/>
      <c r="G404" s="278"/>
      <c r="H404" s="278"/>
      <c r="I404" s="278"/>
      <c r="J404" s="278"/>
    </row>
    <row r="405" spans="1:10" ht="68.25" customHeight="1">
      <c r="A405" s="278"/>
      <c r="B405" s="278"/>
      <c r="C405" s="224"/>
      <c r="D405" s="278"/>
      <c r="E405" s="278"/>
      <c r="F405" s="278"/>
      <c r="G405" s="278"/>
      <c r="H405" s="278"/>
      <c r="I405" s="278"/>
      <c r="J405" s="278"/>
    </row>
    <row r="406" spans="1:10" ht="68.25" customHeight="1">
      <c r="A406" s="278"/>
      <c r="B406" s="278"/>
      <c r="C406" s="224"/>
      <c r="D406" s="278"/>
      <c r="E406" s="278"/>
      <c r="F406" s="278"/>
      <c r="G406" s="278"/>
      <c r="H406" s="278"/>
      <c r="I406" s="278"/>
      <c r="J406" s="278"/>
    </row>
    <row r="407" spans="1:10" ht="68.25" customHeight="1">
      <c r="A407" s="278"/>
      <c r="B407" s="278"/>
      <c r="C407" s="224"/>
      <c r="D407" s="278"/>
      <c r="E407" s="278"/>
      <c r="F407" s="278"/>
      <c r="G407" s="278"/>
      <c r="H407" s="278"/>
      <c r="I407" s="278"/>
      <c r="J407" s="278"/>
    </row>
    <row r="408" spans="1:10" ht="68.25" customHeight="1">
      <c r="A408" s="278"/>
      <c r="B408" s="278"/>
      <c r="C408" s="224"/>
      <c r="D408" s="278"/>
      <c r="E408" s="278"/>
      <c r="F408" s="278"/>
      <c r="G408" s="278"/>
      <c r="H408" s="278"/>
      <c r="I408" s="278"/>
      <c r="J408" s="278"/>
    </row>
    <row r="409" spans="1:10" ht="68.25" customHeight="1">
      <c r="A409" s="278"/>
      <c r="B409" s="278"/>
      <c r="C409" s="224"/>
      <c r="D409" s="278"/>
      <c r="E409" s="278"/>
      <c r="F409" s="278"/>
      <c r="G409" s="278"/>
      <c r="H409" s="278"/>
      <c r="I409" s="278"/>
      <c r="J409" s="278"/>
    </row>
    <row r="410" spans="1:10" ht="68.25" customHeight="1">
      <c r="A410" s="278"/>
      <c r="B410" s="278"/>
      <c r="C410" s="224"/>
      <c r="D410" s="278"/>
      <c r="E410" s="278"/>
      <c r="F410" s="278"/>
      <c r="G410" s="278"/>
      <c r="H410" s="278"/>
      <c r="I410" s="278"/>
      <c r="J410" s="278"/>
    </row>
    <row r="411" spans="1:10" ht="68.25" customHeight="1">
      <c r="A411" s="278"/>
      <c r="B411" s="278"/>
      <c r="C411" s="224"/>
      <c r="D411" s="278"/>
      <c r="E411" s="278"/>
      <c r="F411" s="278"/>
      <c r="G411" s="278"/>
      <c r="H411" s="278"/>
      <c r="I411" s="278"/>
      <c r="J411" s="278"/>
    </row>
    <row r="412" spans="1:10" ht="68.25" customHeight="1">
      <c r="A412" s="278"/>
      <c r="B412" s="278"/>
      <c r="C412" s="224"/>
      <c r="D412" s="278"/>
      <c r="E412" s="278"/>
      <c r="F412" s="278"/>
      <c r="G412" s="278"/>
      <c r="H412" s="278"/>
      <c r="I412" s="278"/>
      <c r="J412" s="278"/>
    </row>
    <row r="413" spans="1:10" ht="68.25" customHeight="1">
      <c r="A413" s="278"/>
      <c r="B413" s="278"/>
      <c r="C413" s="224"/>
      <c r="D413" s="278"/>
      <c r="E413" s="278"/>
      <c r="F413" s="278"/>
      <c r="G413" s="278"/>
      <c r="H413" s="278"/>
      <c r="I413" s="278"/>
      <c r="J413" s="278"/>
    </row>
    <row r="414" spans="1:10" ht="68.25" customHeight="1">
      <c r="A414" s="278"/>
      <c r="B414" s="278"/>
      <c r="C414" s="224"/>
      <c r="D414" s="278"/>
      <c r="E414" s="278"/>
      <c r="F414" s="278"/>
      <c r="G414" s="278"/>
      <c r="H414" s="278"/>
      <c r="I414" s="278"/>
      <c r="J414" s="278"/>
    </row>
    <row r="415" spans="1:10" ht="68.25" customHeight="1">
      <c r="A415" s="278"/>
      <c r="B415" s="278"/>
      <c r="C415" s="224"/>
      <c r="D415" s="278"/>
      <c r="E415" s="278"/>
      <c r="F415" s="278"/>
      <c r="G415" s="278"/>
      <c r="H415" s="278"/>
      <c r="I415" s="278"/>
      <c r="J415" s="278"/>
    </row>
    <row r="416" spans="1:10" ht="68.25" customHeight="1">
      <c r="A416" s="278"/>
      <c r="B416" s="278"/>
      <c r="C416" s="224"/>
      <c r="D416" s="278"/>
      <c r="E416" s="278"/>
      <c r="F416" s="278"/>
      <c r="G416" s="278"/>
      <c r="H416" s="278"/>
      <c r="I416" s="278"/>
      <c r="J416" s="278"/>
    </row>
    <row r="417" spans="1:10" ht="68.25" customHeight="1">
      <c r="A417" s="278"/>
      <c r="B417" s="278"/>
      <c r="C417" s="224"/>
      <c r="D417" s="278"/>
      <c r="E417" s="278"/>
      <c r="F417" s="278"/>
      <c r="G417" s="278"/>
      <c r="H417" s="278"/>
      <c r="I417" s="278"/>
      <c r="J417" s="278"/>
    </row>
    <row r="418" spans="1:10" ht="68.25" customHeight="1">
      <c r="A418" s="278"/>
      <c r="B418" s="278"/>
      <c r="C418" s="224"/>
      <c r="D418" s="278"/>
      <c r="E418" s="278"/>
      <c r="F418" s="278"/>
      <c r="G418" s="278"/>
      <c r="H418" s="278"/>
      <c r="I418" s="278"/>
      <c r="J418" s="278"/>
    </row>
    <row r="419" spans="1:10" ht="68.25" customHeight="1">
      <c r="A419" s="278"/>
      <c r="B419" s="278"/>
      <c r="C419" s="224"/>
      <c r="D419" s="278"/>
      <c r="E419" s="278"/>
      <c r="F419" s="278"/>
      <c r="G419" s="278"/>
      <c r="H419" s="278"/>
      <c r="I419" s="278"/>
      <c r="J419" s="278"/>
    </row>
    <row r="420" spans="1:10" ht="68.25" customHeight="1">
      <c r="A420" s="278"/>
      <c r="B420" s="278"/>
      <c r="C420" s="224"/>
      <c r="D420" s="278"/>
      <c r="E420" s="278"/>
      <c r="F420" s="278"/>
      <c r="G420" s="278"/>
      <c r="H420" s="278"/>
      <c r="I420" s="278"/>
      <c r="J420" s="278"/>
    </row>
    <row r="421" spans="1:10" ht="68.25" customHeight="1">
      <c r="A421" s="278"/>
      <c r="B421" s="278"/>
      <c r="C421" s="224"/>
      <c r="D421" s="278"/>
      <c r="E421" s="278"/>
      <c r="F421" s="278"/>
      <c r="G421" s="278"/>
      <c r="H421" s="278"/>
      <c r="I421" s="278"/>
      <c r="J421" s="278"/>
    </row>
    <row r="422" spans="1:10" ht="68.25" customHeight="1">
      <c r="A422" s="278"/>
      <c r="B422" s="278"/>
      <c r="C422" s="224"/>
      <c r="D422" s="278"/>
      <c r="E422" s="278"/>
      <c r="F422" s="278"/>
      <c r="G422" s="278"/>
      <c r="H422" s="278"/>
      <c r="I422" s="278"/>
      <c r="J422" s="278"/>
    </row>
    <row r="423" spans="1:10" ht="68.25" customHeight="1">
      <c r="A423" s="278"/>
      <c r="B423" s="278"/>
      <c r="C423" s="224"/>
      <c r="D423" s="278"/>
      <c r="E423" s="278"/>
      <c r="F423" s="278"/>
      <c r="G423" s="278"/>
      <c r="H423" s="278"/>
      <c r="I423" s="278"/>
      <c r="J423" s="278"/>
    </row>
    <row r="424" spans="1:10" ht="68.25" customHeight="1">
      <c r="A424" s="278"/>
      <c r="B424" s="278"/>
      <c r="C424" s="224"/>
      <c r="D424" s="278"/>
      <c r="E424" s="278"/>
      <c r="F424" s="278"/>
      <c r="G424" s="278"/>
      <c r="H424" s="278"/>
      <c r="I424" s="278"/>
      <c r="J424" s="278"/>
    </row>
    <row r="425" spans="1:10" ht="68.25" customHeight="1">
      <c r="A425" s="278"/>
      <c r="B425" s="278"/>
      <c r="C425" s="224"/>
      <c r="D425" s="278"/>
      <c r="E425" s="278"/>
      <c r="F425" s="278"/>
      <c r="G425" s="278"/>
      <c r="H425" s="278"/>
      <c r="I425" s="278"/>
      <c r="J425" s="278"/>
    </row>
    <row r="426" spans="1:10" ht="68.25" customHeight="1">
      <c r="A426" s="278"/>
      <c r="B426" s="278"/>
      <c r="C426" s="224"/>
      <c r="D426" s="278"/>
      <c r="E426" s="278"/>
      <c r="F426" s="278"/>
      <c r="G426" s="278"/>
      <c r="H426" s="278"/>
      <c r="I426" s="278"/>
      <c r="J426" s="278"/>
    </row>
    <row r="427" spans="1:10" ht="68.25" customHeight="1">
      <c r="A427" s="278"/>
      <c r="B427" s="278"/>
      <c r="C427" s="224"/>
      <c r="D427" s="278"/>
      <c r="E427" s="278"/>
      <c r="F427" s="278"/>
      <c r="G427" s="278"/>
      <c r="H427" s="278"/>
      <c r="I427" s="278"/>
      <c r="J427" s="278"/>
    </row>
    <row r="428" spans="1:10" ht="68.25" customHeight="1">
      <c r="A428" s="278"/>
      <c r="B428" s="278"/>
      <c r="C428" s="224"/>
      <c r="D428" s="278"/>
      <c r="E428" s="278"/>
      <c r="F428" s="278"/>
      <c r="G428" s="278"/>
      <c r="H428" s="278"/>
      <c r="I428" s="278"/>
      <c r="J428" s="278"/>
    </row>
    <row r="429" spans="1:10" ht="68.25" customHeight="1">
      <c r="A429" s="278"/>
      <c r="B429" s="278"/>
      <c r="C429" s="224"/>
      <c r="D429" s="278"/>
      <c r="E429" s="278"/>
      <c r="F429" s="278"/>
      <c r="G429" s="278"/>
      <c r="H429" s="278"/>
      <c r="I429" s="278"/>
      <c r="J429" s="278"/>
    </row>
    <row r="430" spans="1:10" ht="68.25" customHeight="1">
      <c r="A430" s="278"/>
      <c r="B430" s="278"/>
      <c r="C430" s="224"/>
      <c r="D430" s="278"/>
      <c r="E430" s="278"/>
      <c r="F430" s="278"/>
      <c r="G430" s="278"/>
      <c r="H430" s="278"/>
      <c r="I430" s="278"/>
      <c r="J430" s="278"/>
    </row>
    <row r="431" spans="1:10" ht="68.25" customHeight="1">
      <c r="A431" s="278"/>
      <c r="B431" s="278"/>
      <c r="C431" s="224"/>
      <c r="D431" s="278"/>
      <c r="E431" s="278"/>
      <c r="F431" s="278"/>
      <c r="G431" s="278"/>
      <c r="H431" s="278"/>
      <c r="I431" s="278"/>
      <c r="J431" s="278"/>
    </row>
    <row r="432" spans="1:10" ht="68.25" customHeight="1">
      <c r="A432" s="278"/>
      <c r="B432" s="278"/>
      <c r="C432" s="224"/>
      <c r="D432" s="278"/>
      <c r="E432" s="278"/>
      <c r="F432" s="278"/>
      <c r="G432" s="278"/>
      <c r="H432" s="278"/>
      <c r="I432" s="278"/>
      <c r="J432" s="278"/>
    </row>
    <row r="433" spans="1:10" ht="68.25" customHeight="1">
      <c r="A433" s="278"/>
      <c r="B433" s="278"/>
      <c r="C433" s="224"/>
      <c r="D433" s="278"/>
      <c r="E433" s="278"/>
      <c r="F433" s="278"/>
      <c r="G433" s="278"/>
      <c r="H433" s="278"/>
      <c r="I433" s="278"/>
      <c r="J433" s="278"/>
    </row>
    <row r="434" spans="1:10" ht="68.25" customHeight="1">
      <c r="A434" s="278"/>
      <c r="B434" s="278"/>
      <c r="C434" s="224"/>
      <c r="D434" s="278"/>
      <c r="E434" s="278"/>
      <c r="F434" s="278"/>
      <c r="G434" s="278"/>
      <c r="H434" s="278"/>
      <c r="I434" s="278"/>
      <c r="J434" s="278"/>
    </row>
    <row r="435" spans="1:10" ht="68.25" customHeight="1">
      <c r="A435" s="278"/>
      <c r="B435" s="278"/>
      <c r="C435" s="224"/>
      <c r="D435" s="278"/>
      <c r="E435" s="278"/>
      <c r="F435" s="278"/>
      <c r="G435" s="278"/>
      <c r="H435" s="278"/>
      <c r="I435" s="278"/>
      <c r="J435" s="278"/>
    </row>
    <row r="436" spans="1:10" ht="68.25" customHeight="1">
      <c r="A436" s="278"/>
      <c r="B436" s="278"/>
      <c r="C436" s="224"/>
      <c r="D436" s="278"/>
      <c r="E436" s="278"/>
      <c r="F436" s="278"/>
      <c r="G436" s="278"/>
      <c r="H436" s="278"/>
      <c r="I436" s="278"/>
      <c r="J436" s="278"/>
    </row>
    <row r="437" spans="1:10" ht="68.25" customHeight="1">
      <c r="A437" s="278"/>
      <c r="B437" s="278"/>
      <c r="C437" s="224"/>
      <c r="D437" s="278"/>
      <c r="E437" s="278"/>
      <c r="F437" s="278"/>
      <c r="G437" s="278"/>
      <c r="H437" s="278"/>
      <c r="I437" s="278"/>
      <c r="J437" s="278"/>
    </row>
    <row r="438" spans="1:10" ht="68.25" customHeight="1">
      <c r="A438" s="278"/>
      <c r="B438" s="278"/>
      <c r="C438" s="224"/>
      <c r="D438" s="278"/>
      <c r="E438" s="278"/>
      <c r="F438" s="278"/>
      <c r="G438" s="278"/>
      <c r="H438" s="278"/>
      <c r="I438" s="278"/>
      <c r="J438" s="278"/>
    </row>
    <row r="439" spans="1:10" ht="68.25" customHeight="1">
      <c r="A439" s="278"/>
      <c r="B439" s="278"/>
      <c r="C439" s="224"/>
      <c r="D439" s="278"/>
      <c r="E439" s="278"/>
      <c r="F439" s="278"/>
      <c r="G439" s="278"/>
      <c r="H439" s="278"/>
      <c r="I439" s="278"/>
      <c r="J439" s="278"/>
    </row>
    <row r="440" spans="1:10" ht="68.25" customHeight="1">
      <c r="A440" s="278"/>
      <c r="B440" s="278"/>
      <c r="C440" s="224"/>
      <c r="D440" s="278"/>
      <c r="E440" s="278"/>
      <c r="F440" s="278"/>
      <c r="G440" s="278"/>
      <c r="H440" s="278"/>
      <c r="I440" s="278"/>
      <c r="J440" s="278"/>
    </row>
    <row r="441" spans="1:10" ht="68.25" customHeight="1">
      <c r="A441" s="278"/>
      <c r="B441" s="278"/>
      <c r="C441" s="224"/>
      <c r="D441" s="278"/>
      <c r="E441" s="278"/>
      <c r="F441" s="278"/>
      <c r="G441" s="278"/>
      <c r="H441" s="278"/>
      <c r="I441" s="278"/>
      <c r="J441" s="278"/>
    </row>
    <row r="442" spans="1:10" ht="68.25" customHeight="1">
      <c r="A442" s="278"/>
      <c r="B442" s="278"/>
      <c r="C442" s="224"/>
      <c r="D442" s="278"/>
      <c r="E442" s="278"/>
      <c r="F442" s="278"/>
      <c r="G442" s="278"/>
      <c r="H442" s="278"/>
      <c r="I442" s="278"/>
      <c r="J442" s="278"/>
    </row>
    <row r="443" spans="1:10" ht="68.25" customHeight="1">
      <c r="A443" s="278"/>
      <c r="B443" s="278"/>
      <c r="C443" s="224"/>
      <c r="D443" s="278"/>
      <c r="E443" s="278"/>
      <c r="F443" s="278"/>
      <c r="G443" s="278"/>
      <c r="H443" s="278"/>
      <c r="I443" s="278"/>
      <c r="J443" s="278"/>
    </row>
    <row r="444" spans="1:10" ht="68.25" customHeight="1">
      <c r="A444" s="278"/>
      <c r="B444" s="278"/>
      <c r="C444" s="224"/>
      <c r="D444" s="278"/>
      <c r="E444" s="278"/>
      <c r="F444" s="278"/>
      <c r="G444" s="278"/>
      <c r="H444" s="278"/>
      <c r="I444" s="278"/>
      <c r="J444" s="278"/>
    </row>
    <row r="445" spans="1:10" ht="68.25" customHeight="1">
      <c r="A445" s="278"/>
      <c r="B445" s="278"/>
      <c r="C445" s="224"/>
      <c r="D445" s="278"/>
      <c r="E445" s="278"/>
      <c r="F445" s="278"/>
      <c r="G445" s="278"/>
      <c r="H445" s="278"/>
      <c r="I445" s="278"/>
      <c r="J445" s="278"/>
    </row>
    <row r="446" spans="1:10" ht="68.25" customHeight="1">
      <c r="A446" s="278"/>
      <c r="B446" s="278"/>
      <c r="C446" s="224"/>
      <c r="D446" s="278"/>
      <c r="E446" s="278"/>
      <c r="F446" s="278"/>
      <c r="G446" s="278"/>
      <c r="H446" s="278"/>
      <c r="I446" s="278"/>
      <c r="J446" s="278"/>
    </row>
    <row r="447" spans="1:10" ht="68.25" customHeight="1">
      <c r="A447" s="278"/>
      <c r="B447" s="278"/>
      <c r="C447" s="224"/>
      <c r="D447" s="278"/>
      <c r="E447" s="278"/>
      <c r="F447" s="278"/>
      <c r="G447" s="278"/>
      <c r="H447" s="278"/>
      <c r="I447" s="278"/>
      <c r="J447" s="278"/>
    </row>
    <row r="448" spans="1:10" ht="68.25" customHeight="1">
      <c r="A448" s="278"/>
      <c r="B448" s="278"/>
      <c r="C448" s="224"/>
      <c r="D448" s="278"/>
      <c r="E448" s="278"/>
      <c r="F448" s="278"/>
      <c r="G448" s="278"/>
      <c r="H448" s="278"/>
      <c r="I448" s="278"/>
      <c r="J448" s="278"/>
    </row>
    <row r="449" spans="1:10" ht="68.25" customHeight="1">
      <c r="A449" s="278"/>
      <c r="B449" s="278"/>
      <c r="C449" s="224"/>
      <c r="D449" s="278"/>
      <c r="E449" s="278"/>
      <c r="F449" s="278"/>
      <c r="G449" s="278"/>
      <c r="H449" s="278"/>
      <c r="I449" s="278"/>
      <c r="J449" s="278"/>
    </row>
    <row r="450" spans="1:10" ht="68.25" customHeight="1">
      <c r="A450" s="278"/>
      <c r="B450" s="278"/>
      <c r="C450" s="224"/>
      <c r="D450" s="278"/>
      <c r="E450" s="278"/>
      <c r="F450" s="278"/>
      <c r="G450" s="278"/>
      <c r="H450" s="278"/>
      <c r="I450" s="278"/>
      <c r="J450" s="278"/>
    </row>
    <row r="451" spans="1:10" ht="68.25" customHeight="1">
      <c r="A451" s="278"/>
      <c r="B451" s="278"/>
      <c r="C451" s="224"/>
      <c r="D451" s="278"/>
      <c r="E451" s="278"/>
      <c r="F451" s="278"/>
      <c r="G451" s="278"/>
      <c r="H451" s="278"/>
      <c r="I451" s="278"/>
      <c r="J451" s="278"/>
    </row>
    <row r="452" spans="1:10" ht="68.25" customHeight="1">
      <c r="A452" s="278"/>
      <c r="B452" s="278"/>
      <c r="C452" s="224"/>
      <c r="D452" s="278"/>
      <c r="E452" s="278"/>
      <c r="F452" s="278"/>
      <c r="G452" s="278"/>
      <c r="H452" s="278"/>
      <c r="I452" s="278"/>
      <c r="J452" s="278"/>
    </row>
    <row r="453" spans="1:10" ht="68.25" customHeight="1">
      <c r="A453" s="278"/>
      <c r="B453" s="278"/>
      <c r="C453" s="224"/>
      <c r="D453" s="278"/>
      <c r="E453" s="278"/>
      <c r="F453" s="278"/>
      <c r="G453" s="278"/>
      <c r="H453" s="278"/>
      <c r="I453" s="278"/>
      <c r="J453" s="278"/>
    </row>
    <row r="454" spans="1:10" ht="68.25" customHeight="1">
      <c r="A454" s="278"/>
      <c r="B454" s="278"/>
      <c r="C454" s="224"/>
      <c r="D454" s="278"/>
      <c r="E454" s="278"/>
      <c r="F454" s="278"/>
      <c r="G454" s="278"/>
      <c r="H454" s="278"/>
      <c r="I454" s="278"/>
      <c r="J454" s="278"/>
    </row>
    <row r="455" spans="1:10" ht="68.25" customHeight="1">
      <c r="A455" s="278"/>
      <c r="B455" s="278"/>
      <c r="C455" s="224"/>
      <c r="D455" s="278"/>
      <c r="E455" s="278"/>
      <c r="F455" s="278"/>
      <c r="G455" s="278"/>
      <c r="H455" s="278"/>
      <c r="I455" s="278"/>
      <c r="J455" s="278"/>
    </row>
    <row r="456" spans="1:10" ht="68.25" customHeight="1">
      <c r="A456" s="278"/>
      <c r="B456" s="278"/>
      <c r="C456" s="224"/>
      <c r="D456" s="278"/>
      <c r="E456" s="278"/>
      <c r="F456" s="278"/>
      <c r="G456" s="278"/>
      <c r="H456" s="278"/>
      <c r="I456" s="278"/>
      <c r="J456" s="278"/>
    </row>
    <row r="457" spans="1:10" ht="68.25" customHeight="1">
      <c r="A457" s="278"/>
      <c r="B457" s="278"/>
      <c r="C457" s="224"/>
      <c r="D457" s="278"/>
      <c r="E457" s="278"/>
      <c r="F457" s="278"/>
      <c r="G457" s="278"/>
      <c r="H457" s="278"/>
      <c r="I457" s="278"/>
      <c r="J457" s="278"/>
    </row>
    <row r="458" spans="1:10" ht="68.25" customHeight="1">
      <c r="A458" s="278"/>
      <c r="B458" s="278"/>
      <c r="C458" s="224"/>
      <c r="D458" s="278"/>
      <c r="E458" s="278"/>
      <c r="F458" s="278"/>
      <c r="G458" s="278"/>
      <c r="H458" s="278"/>
      <c r="I458" s="278"/>
      <c r="J458" s="278"/>
    </row>
    <row r="459" spans="1:10" ht="68.25" customHeight="1">
      <c r="A459" s="278"/>
      <c r="B459" s="278"/>
      <c r="C459" s="224"/>
      <c r="D459" s="278"/>
      <c r="E459" s="278"/>
      <c r="F459" s="278"/>
      <c r="G459" s="278"/>
      <c r="H459" s="278"/>
      <c r="I459" s="278"/>
      <c r="J459" s="278"/>
    </row>
    <row r="460" spans="1:10" ht="68.25" customHeight="1">
      <c r="A460" s="278"/>
      <c r="B460" s="278"/>
      <c r="C460" s="224"/>
      <c r="D460" s="278"/>
      <c r="E460" s="278"/>
      <c r="F460" s="278"/>
      <c r="G460" s="278"/>
      <c r="H460" s="278"/>
      <c r="I460" s="278"/>
      <c r="J460" s="278"/>
    </row>
    <row r="461" spans="1:10" ht="68.25" customHeight="1">
      <c r="A461" s="278"/>
      <c r="B461" s="278"/>
      <c r="C461" s="224"/>
      <c r="D461" s="278"/>
      <c r="E461" s="278"/>
      <c r="F461" s="278"/>
      <c r="G461" s="278"/>
      <c r="H461" s="278"/>
      <c r="I461" s="278"/>
      <c r="J461" s="278"/>
    </row>
    <row r="462" spans="1:10" ht="68.25" customHeight="1">
      <c r="A462" s="278"/>
      <c r="B462" s="278"/>
      <c r="C462" s="224"/>
      <c r="D462" s="278"/>
      <c r="E462" s="278"/>
      <c r="F462" s="278"/>
      <c r="G462" s="278"/>
      <c r="H462" s="278"/>
      <c r="I462" s="278"/>
      <c r="J462" s="278"/>
    </row>
    <row r="463" spans="1:10" ht="68.25" customHeight="1">
      <c r="A463" s="278"/>
      <c r="B463" s="278"/>
      <c r="C463" s="224"/>
      <c r="D463" s="278"/>
      <c r="E463" s="278"/>
      <c r="F463" s="278"/>
      <c r="G463" s="278"/>
      <c r="H463" s="278"/>
      <c r="I463" s="278"/>
      <c r="J463" s="278"/>
    </row>
    <row r="464" spans="1:10" ht="68.25" customHeight="1">
      <c r="A464" s="278"/>
      <c r="B464" s="278"/>
      <c r="C464" s="224"/>
      <c r="D464" s="278"/>
      <c r="E464" s="278"/>
      <c r="F464" s="278"/>
      <c r="G464" s="278"/>
      <c r="H464" s="278"/>
      <c r="I464" s="278"/>
      <c r="J464" s="278"/>
    </row>
    <row r="465" spans="1:10" ht="68.25" customHeight="1">
      <c r="A465" s="278"/>
      <c r="B465" s="278"/>
      <c r="C465" s="224"/>
      <c r="D465" s="278"/>
      <c r="E465" s="278"/>
      <c r="F465" s="278"/>
      <c r="G465" s="278"/>
      <c r="H465" s="278"/>
      <c r="I465" s="278"/>
      <c r="J465" s="278"/>
    </row>
    <row r="466" spans="1:10" ht="68.25" customHeight="1">
      <c r="A466" s="278"/>
      <c r="B466" s="278"/>
      <c r="C466" s="224"/>
      <c r="D466" s="278"/>
      <c r="E466" s="278"/>
      <c r="F466" s="278"/>
      <c r="G466" s="278"/>
      <c r="H466" s="278"/>
      <c r="I466" s="278"/>
      <c r="J466" s="278"/>
    </row>
    <row r="467" spans="1:10" ht="68.25" customHeight="1">
      <c r="A467" s="278"/>
      <c r="B467" s="278"/>
      <c r="C467" s="224"/>
      <c r="D467" s="278"/>
      <c r="E467" s="278"/>
      <c r="F467" s="278"/>
      <c r="G467" s="278"/>
      <c r="H467" s="278"/>
      <c r="I467" s="278"/>
      <c r="J467" s="278"/>
    </row>
    <row r="468" spans="1:10" ht="68.25" customHeight="1">
      <c r="A468" s="278"/>
      <c r="B468" s="278"/>
      <c r="C468" s="224"/>
      <c r="D468" s="278"/>
      <c r="E468" s="278"/>
      <c r="F468" s="278"/>
      <c r="G468" s="278"/>
      <c r="H468" s="278"/>
      <c r="I468" s="278"/>
      <c r="J468" s="278"/>
    </row>
    <row r="469" spans="1:10" ht="68.25" customHeight="1">
      <c r="A469" s="278"/>
      <c r="B469" s="278"/>
      <c r="C469" s="224"/>
      <c r="D469" s="278"/>
      <c r="E469" s="278"/>
      <c r="F469" s="278"/>
      <c r="G469" s="278"/>
      <c r="H469" s="278"/>
      <c r="I469" s="278"/>
      <c r="J469" s="278"/>
    </row>
    <row r="470" spans="1:10" ht="68.25" customHeight="1">
      <c r="A470" s="278"/>
      <c r="B470" s="278"/>
      <c r="C470" s="224"/>
      <c r="D470" s="278"/>
      <c r="E470" s="278"/>
      <c r="F470" s="278"/>
      <c r="G470" s="278"/>
      <c r="H470" s="278"/>
      <c r="I470" s="278"/>
      <c r="J470" s="278"/>
    </row>
    <row r="471" spans="1:10" ht="68.25" customHeight="1">
      <c r="A471" s="278"/>
      <c r="B471" s="278"/>
      <c r="C471" s="224"/>
      <c r="D471" s="278"/>
      <c r="E471" s="278"/>
      <c r="F471" s="278"/>
      <c r="G471" s="278"/>
      <c r="H471" s="278"/>
      <c r="I471" s="278"/>
      <c r="J471" s="278"/>
    </row>
    <row r="472" spans="1:10" ht="68.25" customHeight="1">
      <c r="A472" s="278"/>
      <c r="B472" s="278"/>
      <c r="C472" s="224"/>
      <c r="D472" s="278"/>
      <c r="E472" s="278"/>
      <c r="F472" s="278"/>
      <c r="G472" s="278"/>
      <c r="H472" s="278"/>
      <c r="I472" s="278"/>
      <c r="J472" s="278"/>
    </row>
    <row r="473" spans="1:10" ht="68.25" customHeight="1">
      <c r="A473" s="278"/>
      <c r="B473" s="278"/>
      <c r="C473" s="224"/>
      <c r="D473" s="278"/>
      <c r="E473" s="278"/>
      <c r="F473" s="278"/>
      <c r="G473" s="278"/>
      <c r="H473" s="278"/>
      <c r="I473" s="278"/>
      <c r="J473" s="278"/>
    </row>
    <row r="474" spans="1:10" ht="68.25" customHeight="1">
      <c r="A474" s="278"/>
      <c r="B474" s="278"/>
      <c r="C474" s="224"/>
      <c r="D474" s="278"/>
      <c r="E474" s="278"/>
      <c r="F474" s="278"/>
      <c r="G474" s="278"/>
      <c r="H474" s="278"/>
      <c r="I474" s="278"/>
      <c r="J474" s="278"/>
    </row>
    <row r="475" spans="1:10" ht="68.25" customHeight="1">
      <c r="A475" s="278"/>
      <c r="B475" s="278"/>
      <c r="C475" s="224"/>
      <c r="D475" s="278"/>
      <c r="E475" s="278"/>
      <c r="F475" s="278"/>
      <c r="G475" s="278"/>
      <c r="H475" s="278"/>
      <c r="I475" s="278"/>
      <c r="J475" s="278"/>
    </row>
    <row r="476" spans="1:10" ht="68.25" customHeight="1">
      <c r="A476" s="278"/>
      <c r="B476" s="278"/>
      <c r="C476" s="224"/>
      <c r="D476" s="278"/>
      <c r="E476" s="278"/>
      <c r="F476" s="278"/>
      <c r="G476" s="278"/>
      <c r="H476" s="278"/>
      <c r="I476" s="278"/>
      <c r="J476" s="278"/>
    </row>
    <row r="477" spans="1:10" ht="68.25" customHeight="1">
      <c r="A477" s="278"/>
      <c r="B477" s="278"/>
      <c r="C477" s="224"/>
      <c r="D477" s="278"/>
      <c r="E477" s="278"/>
      <c r="F477" s="278"/>
      <c r="G477" s="278"/>
      <c r="H477" s="278"/>
      <c r="I477" s="278"/>
      <c r="J477" s="278"/>
    </row>
    <row r="478" spans="1:10" ht="68.25" customHeight="1">
      <c r="A478" s="278"/>
      <c r="B478" s="278"/>
      <c r="C478" s="224"/>
      <c r="D478" s="278"/>
      <c r="E478" s="278"/>
      <c r="F478" s="278"/>
      <c r="G478" s="278"/>
      <c r="H478" s="278"/>
      <c r="I478" s="278"/>
      <c r="J478" s="278"/>
    </row>
    <row r="479" spans="1:10" ht="68.25" customHeight="1">
      <c r="A479" s="278"/>
      <c r="B479" s="278"/>
      <c r="C479" s="224"/>
      <c r="D479" s="278"/>
      <c r="E479" s="278"/>
      <c r="F479" s="278"/>
      <c r="G479" s="278"/>
      <c r="H479" s="278"/>
      <c r="I479" s="278"/>
      <c r="J479" s="278"/>
    </row>
    <row r="480" spans="1:10" ht="68.25" customHeight="1">
      <c r="A480" s="278"/>
      <c r="B480" s="278"/>
      <c r="C480" s="224"/>
      <c r="D480" s="278"/>
      <c r="E480" s="278"/>
      <c r="F480" s="278"/>
      <c r="G480" s="278"/>
      <c r="H480" s="278"/>
      <c r="I480" s="278"/>
      <c r="J480" s="278"/>
    </row>
    <row r="481" spans="1:10" ht="68.25" customHeight="1">
      <c r="A481" s="278"/>
      <c r="B481" s="278"/>
      <c r="C481" s="224"/>
      <c r="D481" s="278"/>
      <c r="E481" s="278"/>
      <c r="F481" s="278"/>
      <c r="G481" s="278"/>
      <c r="H481" s="278"/>
      <c r="I481" s="278"/>
      <c r="J481" s="278"/>
    </row>
    <row r="482" spans="1:10" ht="68.25" customHeight="1">
      <c r="A482" s="278"/>
      <c r="B482" s="278"/>
      <c r="C482" s="224"/>
      <c r="D482" s="278"/>
      <c r="E482" s="278"/>
      <c r="F482" s="278"/>
      <c r="G482" s="278"/>
      <c r="H482" s="278"/>
      <c r="I482" s="278"/>
      <c r="J482" s="278"/>
    </row>
    <row r="483" spans="1:10" ht="68.25" customHeight="1">
      <c r="A483" s="278"/>
      <c r="B483" s="278"/>
      <c r="C483" s="224"/>
      <c r="D483" s="278"/>
      <c r="E483" s="278"/>
      <c r="F483" s="278"/>
      <c r="G483" s="278"/>
      <c r="H483" s="278"/>
      <c r="I483" s="278"/>
      <c r="J483" s="278"/>
    </row>
    <row r="484" spans="1:10" ht="68.25" customHeight="1">
      <c r="A484" s="278"/>
      <c r="B484" s="278"/>
      <c r="C484" s="224"/>
      <c r="D484" s="278"/>
      <c r="E484" s="278"/>
      <c r="F484" s="278"/>
      <c r="G484" s="278"/>
      <c r="H484" s="278"/>
      <c r="I484" s="278"/>
      <c r="J484" s="278"/>
    </row>
    <row r="485" spans="1:10" ht="68.25" customHeight="1">
      <c r="A485" s="278"/>
      <c r="B485" s="278"/>
      <c r="C485" s="224"/>
      <c r="D485" s="278"/>
      <c r="E485" s="278"/>
      <c r="F485" s="278"/>
      <c r="G485" s="278"/>
      <c r="H485" s="278"/>
      <c r="I485" s="278"/>
      <c r="J485" s="278"/>
    </row>
    <row r="486" spans="1:10" ht="68.25" customHeight="1">
      <c r="A486" s="278"/>
      <c r="B486" s="278"/>
      <c r="C486" s="224"/>
      <c r="D486" s="278"/>
      <c r="E486" s="278"/>
      <c r="F486" s="278"/>
      <c r="G486" s="278"/>
      <c r="H486" s="278"/>
      <c r="I486" s="278"/>
      <c r="J486" s="278"/>
    </row>
    <row r="487" spans="1:10" ht="68.25" customHeight="1">
      <c r="A487" s="278"/>
      <c r="B487" s="278"/>
      <c r="C487" s="224"/>
      <c r="D487" s="278"/>
      <c r="E487" s="278"/>
      <c r="F487" s="278"/>
      <c r="G487" s="278"/>
      <c r="H487" s="278"/>
      <c r="I487" s="278"/>
      <c r="J487" s="278"/>
    </row>
    <row r="488" spans="1:10" ht="68.25" customHeight="1">
      <c r="A488" s="278"/>
      <c r="B488" s="278"/>
      <c r="C488" s="224"/>
      <c r="D488" s="278"/>
      <c r="E488" s="278"/>
      <c r="F488" s="278"/>
      <c r="G488" s="278"/>
      <c r="H488" s="278"/>
      <c r="I488" s="278"/>
      <c r="J488" s="278"/>
    </row>
    <row r="489" spans="1:10" ht="68.25" customHeight="1">
      <c r="A489" s="278"/>
      <c r="B489" s="278"/>
      <c r="C489" s="224"/>
      <c r="D489" s="278"/>
      <c r="E489" s="278"/>
      <c r="F489" s="278"/>
      <c r="G489" s="278"/>
      <c r="H489" s="278"/>
      <c r="I489" s="278"/>
      <c r="J489" s="278"/>
    </row>
    <row r="490" spans="1:10" ht="68.25" customHeight="1">
      <c r="A490" s="278"/>
      <c r="B490" s="278"/>
      <c r="C490" s="224"/>
      <c r="D490" s="278"/>
      <c r="E490" s="278"/>
      <c r="F490" s="278"/>
      <c r="G490" s="278"/>
      <c r="H490" s="278"/>
      <c r="I490" s="278"/>
      <c r="J490" s="278"/>
    </row>
    <row r="491" spans="1:10" ht="68.25" customHeight="1">
      <c r="A491" s="278"/>
      <c r="B491" s="278"/>
      <c r="C491" s="224"/>
      <c r="D491" s="278"/>
      <c r="E491" s="278"/>
      <c r="F491" s="278"/>
      <c r="G491" s="278"/>
      <c r="H491" s="278"/>
      <c r="I491" s="278"/>
      <c r="J491" s="278"/>
    </row>
    <row r="492" spans="1:10" ht="68.25" customHeight="1">
      <c r="A492" s="278"/>
      <c r="B492" s="278"/>
      <c r="C492" s="224"/>
      <c r="D492" s="278"/>
      <c r="E492" s="278"/>
      <c r="F492" s="278"/>
      <c r="G492" s="278"/>
      <c r="H492" s="278"/>
      <c r="I492" s="278"/>
      <c r="J492" s="278"/>
    </row>
    <row r="493" spans="1:10" ht="68.25" customHeight="1">
      <c r="A493" s="278"/>
      <c r="B493" s="278"/>
      <c r="C493" s="224"/>
      <c r="D493" s="278"/>
      <c r="E493" s="278"/>
      <c r="F493" s="278"/>
      <c r="G493" s="278"/>
      <c r="H493" s="278"/>
      <c r="I493" s="278"/>
      <c r="J493" s="278"/>
    </row>
    <row r="494" spans="1:10" ht="68.25" customHeight="1">
      <c r="A494" s="278"/>
      <c r="B494" s="278"/>
      <c r="C494" s="224"/>
      <c r="D494" s="278"/>
      <c r="E494" s="278"/>
      <c r="F494" s="278"/>
      <c r="G494" s="278"/>
      <c r="H494" s="278"/>
      <c r="I494" s="278"/>
      <c r="J494" s="278"/>
    </row>
    <row r="495" spans="1:10" ht="68.25" customHeight="1">
      <c r="A495" s="278"/>
      <c r="B495" s="278"/>
      <c r="C495" s="224"/>
      <c r="D495" s="278"/>
      <c r="E495" s="278"/>
      <c r="F495" s="278"/>
      <c r="G495" s="278"/>
      <c r="H495" s="278"/>
      <c r="I495" s="278"/>
      <c r="J495" s="278"/>
    </row>
    <row r="496" spans="1:10" ht="68.25" customHeight="1">
      <c r="A496" s="278"/>
      <c r="B496" s="278"/>
      <c r="C496" s="224"/>
      <c r="D496" s="278"/>
      <c r="E496" s="278"/>
      <c r="F496" s="278"/>
      <c r="G496" s="278"/>
      <c r="H496" s="278"/>
      <c r="I496" s="278"/>
      <c r="J496" s="278"/>
    </row>
    <row r="497" spans="1:10" ht="68.25" customHeight="1">
      <c r="A497" s="278"/>
      <c r="B497" s="278"/>
      <c r="C497" s="224"/>
      <c r="D497" s="278"/>
      <c r="E497" s="278"/>
      <c r="F497" s="278"/>
      <c r="G497" s="278"/>
      <c r="H497" s="278"/>
      <c r="I497" s="278"/>
      <c r="J497" s="278"/>
    </row>
    <row r="498" spans="1:10" ht="68.25" customHeight="1">
      <c r="A498" s="278"/>
      <c r="B498" s="278"/>
      <c r="C498" s="224"/>
      <c r="D498" s="278"/>
      <c r="E498" s="278"/>
      <c r="F498" s="278"/>
      <c r="G498" s="278"/>
      <c r="H498" s="278"/>
      <c r="I498" s="278"/>
      <c r="J498" s="278"/>
    </row>
    <row r="499" spans="1:10" ht="68.25" customHeight="1">
      <c r="A499" s="278"/>
      <c r="B499" s="278"/>
      <c r="C499" s="224"/>
      <c r="D499" s="278"/>
      <c r="E499" s="278"/>
      <c r="F499" s="278"/>
      <c r="G499" s="278"/>
      <c r="H499" s="278"/>
      <c r="I499" s="278"/>
      <c r="J499" s="278"/>
    </row>
    <row r="500" spans="1:10" ht="68.25" customHeight="1">
      <c r="A500" s="278"/>
      <c r="B500" s="278"/>
      <c r="C500" s="224"/>
      <c r="D500" s="278"/>
      <c r="E500" s="278"/>
      <c r="F500" s="278"/>
      <c r="G500" s="278"/>
      <c r="H500" s="278"/>
      <c r="I500" s="278"/>
      <c r="J500" s="278"/>
    </row>
    <row r="501" spans="1:10" ht="68.25" customHeight="1">
      <c r="A501" s="278"/>
      <c r="B501" s="278"/>
      <c r="C501" s="224"/>
      <c r="D501" s="278"/>
      <c r="E501" s="278"/>
      <c r="F501" s="278"/>
      <c r="G501" s="278"/>
      <c r="H501" s="278"/>
      <c r="I501" s="278"/>
      <c r="J501" s="278"/>
    </row>
    <row r="502" spans="1:10" ht="68.25" customHeight="1">
      <c r="A502" s="278"/>
      <c r="B502" s="278"/>
      <c r="C502" s="224"/>
      <c r="D502" s="278"/>
      <c r="E502" s="278"/>
      <c r="F502" s="278"/>
      <c r="G502" s="278"/>
      <c r="H502" s="278"/>
      <c r="I502" s="278"/>
      <c r="J502" s="278"/>
    </row>
    <row r="503" spans="1:10" ht="68.25" customHeight="1">
      <c r="A503" s="278"/>
      <c r="B503" s="278"/>
      <c r="C503" s="224"/>
      <c r="D503" s="278"/>
      <c r="E503" s="278"/>
      <c r="F503" s="278"/>
      <c r="G503" s="278"/>
      <c r="H503" s="278"/>
      <c r="I503" s="278"/>
      <c r="J503" s="278"/>
    </row>
    <row r="504" spans="1:10" ht="68.25" customHeight="1">
      <c r="A504" s="278"/>
      <c r="B504" s="278"/>
      <c r="C504" s="224"/>
      <c r="D504" s="278"/>
      <c r="E504" s="278"/>
      <c r="F504" s="278"/>
      <c r="G504" s="278"/>
      <c r="H504" s="278"/>
      <c r="I504" s="278"/>
      <c r="J504" s="278"/>
    </row>
    <row r="505" spans="1:10" ht="68.25" customHeight="1">
      <c r="A505" s="278"/>
      <c r="B505" s="278"/>
      <c r="C505" s="224"/>
      <c r="D505" s="278"/>
      <c r="E505" s="278"/>
      <c r="F505" s="278"/>
      <c r="G505" s="278"/>
      <c r="H505" s="278"/>
      <c r="I505" s="278"/>
      <c r="J505" s="278"/>
    </row>
    <row r="506" spans="1:10" ht="68.25" customHeight="1">
      <c r="A506" s="278"/>
      <c r="B506" s="278"/>
      <c r="C506" s="224"/>
      <c r="D506" s="278"/>
      <c r="E506" s="278"/>
      <c r="F506" s="278"/>
      <c r="G506" s="278"/>
      <c r="H506" s="278"/>
      <c r="I506" s="278"/>
      <c r="J506" s="278"/>
    </row>
    <row r="507" spans="1:10" ht="68.25" customHeight="1">
      <c r="A507" s="278"/>
      <c r="B507" s="278"/>
      <c r="C507" s="224"/>
      <c r="D507" s="278"/>
      <c r="E507" s="278"/>
      <c r="F507" s="278"/>
      <c r="G507" s="278"/>
      <c r="H507" s="278"/>
      <c r="I507" s="278"/>
      <c r="J507" s="278"/>
    </row>
    <row r="508" spans="1:10" ht="68.25" customHeight="1">
      <c r="A508" s="278"/>
      <c r="B508" s="278"/>
      <c r="C508" s="224"/>
      <c r="D508" s="278"/>
      <c r="E508" s="278"/>
      <c r="F508" s="278"/>
      <c r="G508" s="278"/>
      <c r="H508" s="278"/>
      <c r="I508" s="278"/>
      <c r="J508" s="278"/>
    </row>
    <row r="509" spans="1:10" ht="68.25" customHeight="1">
      <c r="A509" s="278"/>
      <c r="B509" s="278"/>
      <c r="C509" s="224"/>
      <c r="D509" s="278"/>
      <c r="E509" s="278"/>
      <c r="F509" s="278"/>
      <c r="G509" s="278"/>
      <c r="H509" s="278"/>
      <c r="I509" s="278"/>
      <c r="J509" s="278"/>
    </row>
    <row r="510" spans="1:10" ht="68.25" customHeight="1">
      <c r="A510" s="278"/>
      <c r="B510" s="278"/>
      <c r="C510" s="224"/>
      <c r="D510" s="278"/>
      <c r="E510" s="278"/>
      <c r="F510" s="278"/>
      <c r="G510" s="278"/>
      <c r="H510" s="278"/>
      <c r="I510" s="278"/>
      <c r="J510" s="278"/>
    </row>
    <row r="511" spans="1:10" ht="68.25" customHeight="1">
      <c r="A511" s="278"/>
      <c r="B511" s="278"/>
      <c r="C511" s="224"/>
      <c r="D511" s="278"/>
      <c r="E511" s="278"/>
      <c r="F511" s="278"/>
      <c r="G511" s="278"/>
      <c r="H511" s="278"/>
      <c r="I511" s="278"/>
      <c r="J511" s="278"/>
    </row>
    <row r="512" spans="1:10" ht="68.25" customHeight="1">
      <c r="A512" s="278"/>
      <c r="B512" s="278"/>
      <c r="C512" s="224"/>
      <c r="D512" s="278"/>
      <c r="E512" s="278"/>
      <c r="F512" s="278"/>
      <c r="G512" s="278"/>
      <c r="H512" s="278"/>
      <c r="I512" s="278"/>
      <c r="J512" s="278"/>
    </row>
    <row r="513" spans="1:10" ht="68.25" customHeight="1">
      <c r="A513" s="278"/>
      <c r="B513" s="278"/>
      <c r="C513" s="224"/>
      <c r="D513" s="278"/>
      <c r="E513" s="278"/>
      <c r="F513" s="278"/>
      <c r="G513" s="278"/>
      <c r="H513" s="278"/>
      <c r="I513" s="278"/>
      <c r="J513" s="278"/>
    </row>
    <row r="514" spans="1:10" ht="68.25" customHeight="1">
      <c r="A514" s="278"/>
      <c r="B514" s="278"/>
      <c r="C514" s="224"/>
      <c r="D514" s="278"/>
      <c r="E514" s="278"/>
      <c r="F514" s="278"/>
      <c r="G514" s="278"/>
      <c r="H514" s="278"/>
      <c r="I514" s="278"/>
      <c r="J514" s="278"/>
    </row>
    <row r="515" spans="1:10" ht="68.25" customHeight="1">
      <c r="A515" s="278"/>
      <c r="B515" s="278"/>
      <c r="C515" s="224"/>
      <c r="D515" s="278"/>
      <c r="E515" s="278"/>
      <c r="F515" s="278"/>
      <c r="G515" s="278"/>
      <c r="H515" s="278"/>
      <c r="I515" s="278"/>
      <c r="J515" s="278"/>
    </row>
    <row r="516" spans="1:10" ht="68.25" customHeight="1">
      <c r="A516" s="278"/>
      <c r="B516" s="278"/>
      <c r="C516" s="224"/>
      <c r="D516" s="278"/>
      <c r="E516" s="278"/>
      <c r="F516" s="278"/>
      <c r="G516" s="278"/>
      <c r="H516" s="278"/>
      <c r="I516" s="278"/>
      <c r="J516" s="278"/>
    </row>
    <row r="517" spans="1:10" ht="68.25" customHeight="1">
      <c r="A517" s="278"/>
      <c r="B517" s="278"/>
      <c r="C517" s="224"/>
      <c r="D517" s="278"/>
      <c r="E517" s="278"/>
      <c r="F517" s="278"/>
      <c r="G517" s="278"/>
      <c r="H517" s="278"/>
      <c r="I517" s="278"/>
      <c r="J517" s="278"/>
    </row>
    <row r="518" spans="1:10" ht="68.25" customHeight="1">
      <c r="A518" s="278"/>
      <c r="B518" s="278"/>
      <c r="C518" s="224"/>
      <c r="D518" s="278"/>
      <c r="E518" s="278"/>
      <c r="F518" s="278"/>
      <c r="G518" s="278"/>
      <c r="H518" s="278"/>
      <c r="I518" s="278"/>
      <c r="J518" s="278"/>
    </row>
    <row r="519" spans="1:10" ht="68.25" customHeight="1">
      <c r="A519" s="278"/>
      <c r="B519" s="278"/>
      <c r="C519" s="224"/>
      <c r="D519" s="278"/>
      <c r="E519" s="278"/>
      <c r="F519" s="278"/>
      <c r="G519" s="278"/>
      <c r="H519" s="278"/>
      <c r="I519" s="278"/>
      <c r="J519" s="278"/>
    </row>
    <row r="520" spans="1:10" ht="68.25" customHeight="1">
      <c r="A520" s="278"/>
      <c r="B520" s="278"/>
      <c r="C520" s="224"/>
      <c r="D520" s="278"/>
      <c r="E520" s="278"/>
      <c r="F520" s="278"/>
      <c r="G520" s="278"/>
      <c r="H520" s="278"/>
      <c r="I520" s="278"/>
      <c r="J520" s="278"/>
    </row>
    <row r="521" spans="1:10" ht="68.25" customHeight="1">
      <c r="A521" s="278"/>
      <c r="B521" s="278"/>
      <c r="C521" s="224"/>
      <c r="D521" s="278"/>
      <c r="E521" s="278"/>
      <c r="F521" s="278"/>
      <c r="G521" s="278"/>
      <c r="H521" s="278"/>
      <c r="I521" s="278"/>
      <c r="J521" s="278"/>
    </row>
    <row r="522" spans="1:10" ht="68.25" customHeight="1">
      <c r="A522" s="278"/>
      <c r="B522" s="278"/>
      <c r="C522" s="224"/>
      <c r="D522" s="278"/>
      <c r="E522" s="278"/>
      <c r="F522" s="278"/>
      <c r="G522" s="278"/>
      <c r="H522" s="278"/>
      <c r="I522" s="278"/>
      <c r="J522" s="278"/>
    </row>
    <row r="523" spans="1:10" ht="68.25" customHeight="1">
      <c r="A523" s="278"/>
      <c r="B523" s="278"/>
      <c r="C523" s="224"/>
      <c r="D523" s="278"/>
      <c r="E523" s="278"/>
      <c r="F523" s="278"/>
      <c r="G523" s="278"/>
      <c r="H523" s="278"/>
      <c r="I523" s="278"/>
      <c r="J523" s="278"/>
    </row>
    <row r="524" spans="1:10" ht="68.25" customHeight="1">
      <c r="A524" s="278"/>
      <c r="B524" s="278"/>
      <c r="C524" s="224"/>
      <c r="D524" s="278"/>
      <c r="E524" s="278"/>
      <c r="F524" s="278"/>
      <c r="G524" s="278"/>
      <c r="H524" s="278"/>
      <c r="I524" s="278"/>
      <c r="J524" s="278"/>
    </row>
    <row r="525" spans="1:10" ht="68.25" customHeight="1">
      <c r="A525" s="278"/>
      <c r="B525" s="278"/>
      <c r="C525" s="224"/>
      <c r="D525" s="278"/>
      <c r="E525" s="278"/>
      <c r="F525" s="278"/>
      <c r="G525" s="278"/>
      <c r="H525" s="278"/>
      <c r="I525" s="278"/>
      <c r="J525" s="278"/>
    </row>
    <row r="526" spans="1:10" ht="68.25" customHeight="1">
      <c r="A526" s="278"/>
      <c r="B526" s="278"/>
      <c r="C526" s="224"/>
      <c r="D526" s="278"/>
      <c r="E526" s="278"/>
      <c r="F526" s="278"/>
      <c r="G526" s="278"/>
      <c r="H526" s="278"/>
      <c r="I526" s="278"/>
      <c r="J526" s="278"/>
    </row>
    <row r="527" spans="1:10" ht="68.25" customHeight="1">
      <c r="A527" s="278"/>
      <c r="B527" s="278"/>
      <c r="C527" s="224"/>
      <c r="D527" s="278"/>
      <c r="E527" s="278"/>
      <c r="F527" s="278"/>
      <c r="G527" s="278"/>
      <c r="H527" s="278"/>
      <c r="I527" s="278"/>
      <c r="J527" s="278"/>
    </row>
    <row r="528" spans="1:10" ht="68.25" customHeight="1">
      <c r="A528" s="278"/>
      <c r="B528" s="278"/>
      <c r="C528" s="224"/>
      <c r="D528" s="278"/>
      <c r="E528" s="278"/>
      <c r="F528" s="278"/>
      <c r="G528" s="278"/>
      <c r="H528" s="278"/>
      <c r="I528" s="278"/>
      <c r="J528" s="278"/>
    </row>
    <row r="529" spans="1:10" ht="68.25" customHeight="1">
      <c r="A529" s="278"/>
      <c r="B529" s="278"/>
      <c r="C529" s="224"/>
      <c r="D529" s="278"/>
      <c r="E529" s="278"/>
      <c r="F529" s="278"/>
      <c r="G529" s="278"/>
      <c r="H529" s="278"/>
      <c r="I529" s="278"/>
      <c r="J529" s="278"/>
    </row>
    <row r="530" spans="1:10" ht="68.25" customHeight="1">
      <c r="A530" s="278"/>
      <c r="B530" s="278"/>
      <c r="C530" s="224"/>
      <c r="D530" s="278"/>
      <c r="E530" s="278"/>
      <c r="F530" s="278"/>
      <c r="G530" s="278"/>
      <c r="H530" s="278"/>
      <c r="I530" s="278"/>
      <c r="J530" s="278"/>
    </row>
    <row r="531" spans="1:10" ht="68.25" customHeight="1">
      <c r="A531" s="278"/>
      <c r="B531" s="278"/>
      <c r="C531" s="224"/>
      <c r="D531" s="278"/>
      <c r="E531" s="278"/>
      <c r="F531" s="278"/>
      <c r="G531" s="278"/>
      <c r="H531" s="278"/>
      <c r="I531" s="278"/>
      <c r="J531" s="278"/>
    </row>
    <row r="532" spans="1:10" ht="68.25" customHeight="1">
      <c r="A532" s="278"/>
      <c r="B532" s="278"/>
      <c r="C532" s="224"/>
      <c r="D532" s="278"/>
      <c r="E532" s="278"/>
      <c r="F532" s="278"/>
      <c r="G532" s="278"/>
      <c r="H532" s="278"/>
      <c r="I532" s="278"/>
      <c r="J532" s="278"/>
    </row>
    <row r="533" spans="1:10" ht="68.25" customHeight="1">
      <c r="A533" s="278"/>
      <c r="B533" s="278"/>
      <c r="C533" s="224"/>
      <c r="D533" s="278"/>
      <c r="E533" s="278"/>
      <c r="F533" s="278"/>
      <c r="G533" s="278"/>
      <c r="H533" s="278"/>
      <c r="I533" s="278"/>
      <c r="J533" s="278"/>
    </row>
    <row r="534" spans="1:10" ht="68.25" customHeight="1">
      <c r="A534" s="278"/>
      <c r="B534" s="278"/>
      <c r="C534" s="224"/>
      <c r="D534" s="278"/>
      <c r="E534" s="278"/>
      <c r="F534" s="278"/>
      <c r="G534" s="278"/>
      <c r="H534" s="278"/>
      <c r="I534" s="278"/>
      <c r="J534" s="278"/>
    </row>
    <row r="535" spans="1:10" ht="68.25" customHeight="1">
      <c r="A535" s="278"/>
      <c r="B535" s="278"/>
      <c r="C535" s="224"/>
      <c r="D535" s="278"/>
      <c r="E535" s="278"/>
      <c r="F535" s="278"/>
      <c r="G535" s="278"/>
      <c r="H535" s="278"/>
      <c r="I535" s="278"/>
      <c r="J535" s="278"/>
    </row>
    <row r="536" spans="1:10" ht="68.25" customHeight="1">
      <c r="A536" s="278"/>
      <c r="B536" s="278"/>
      <c r="C536" s="224"/>
      <c r="D536" s="278"/>
      <c r="E536" s="278"/>
      <c r="F536" s="278"/>
      <c r="G536" s="278"/>
      <c r="H536" s="278"/>
      <c r="I536" s="278"/>
      <c r="J536" s="278"/>
    </row>
    <row r="537" spans="1:10" ht="68.25" customHeight="1">
      <c r="A537" s="278"/>
      <c r="B537" s="278"/>
      <c r="C537" s="224"/>
      <c r="D537" s="278"/>
      <c r="E537" s="278"/>
      <c r="F537" s="278"/>
      <c r="G537" s="278"/>
      <c r="H537" s="278"/>
      <c r="I537" s="278"/>
      <c r="J537" s="278"/>
    </row>
    <row r="538" spans="1:10" ht="68.25" customHeight="1">
      <c r="A538" s="278"/>
      <c r="B538" s="278"/>
      <c r="C538" s="224"/>
      <c r="D538" s="278"/>
      <c r="E538" s="278"/>
      <c r="F538" s="278"/>
      <c r="G538" s="278"/>
      <c r="H538" s="278"/>
      <c r="I538" s="278"/>
      <c r="J538" s="278"/>
    </row>
    <row r="539" spans="1:10" ht="68.25" customHeight="1">
      <c r="A539" s="278"/>
      <c r="B539" s="278"/>
      <c r="C539" s="224"/>
      <c r="D539" s="278"/>
      <c r="E539" s="278"/>
      <c r="F539" s="278"/>
      <c r="G539" s="278"/>
      <c r="H539" s="278"/>
      <c r="I539" s="278"/>
      <c r="J539" s="278"/>
    </row>
    <row r="540" spans="1:10" ht="68.25" customHeight="1">
      <c r="A540" s="278"/>
      <c r="B540" s="278"/>
      <c r="C540" s="224"/>
      <c r="D540" s="278"/>
      <c r="E540" s="278"/>
      <c r="F540" s="278"/>
      <c r="G540" s="278"/>
      <c r="H540" s="278"/>
      <c r="I540" s="278"/>
      <c r="J540" s="278"/>
    </row>
    <row r="541" spans="1:10" ht="68.25" customHeight="1">
      <c r="A541" s="278"/>
      <c r="B541" s="278"/>
      <c r="C541" s="224"/>
      <c r="D541" s="278"/>
      <c r="E541" s="278"/>
      <c r="F541" s="278"/>
      <c r="G541" s="278"/>
      <c r="H541" s="278"/>
      <c r="I541" s="278"/>
      <c r="J541" s="278"/>
    </row>
    <row r="542" spans="1:10" ht="68.25" customHeight="1">
      <c r="A542" s="278"/>
      <c r="B542" s="278"/>
      <c r="C542" s="224"/>
      <c r="D542" s="278"/>
      <c r="E542" s="278"/>
      <c r="F542" s="278"/>
      <c r="G542" s="278"/>
      <c r="H542" s="278"/>
      <c r="I542" s="278"/>
      <c r="J542" s="278"/>
    </row>
    <row r="543" spans="1:10" ht="68.25" customHeight="1">
      <c r="A543" s="278"/>
      <c r="B543" s="278"/>
      <c r="C543" s="224"/>
      <c r="D543" s="278"/>
      <c r="E543" s="278"/>
      <c r="F543" s="278"/>
      <c r="G543" s="278"/>
      <c r="H543" s="278"/>
      <c r="I543" s="278"/>
      <c r="J543" s="278"/>
    </row>
    <row r="544" spans="1:10" ht="68.25" customHeight="1">
      <c r="A544" s="278"/>
      <c r="B544" s="278"/>
      <c r="C544" s="224"/>
      <c r="D544" s="278"/>
      <c r="E544" s="278"/>
      <c r="F544" s="278"/>
      <c r="G544" s="278"/>
      <c r="H544" s="278"/>
      <c r="I544" s="278"/>
      <c r="J544" s="278"/>
    </row>
    <row r="545" spans="1:10" ht="68.25" customHeight="1">
      <c r="A545" s="278"/>
      <c r="B545" s="278"/>
      <c r="C545" s="224"/>
      <c r="D545" s="278"/>
      <c r="E545" s="278"/>
      <c r="F545" s="278"/>
      <c r="G545" s="278"/>
      <c r="H545" s="278"/>
      <c r="I545" s="278"/>
      <c r="J545" s="278"/>
    </row>
    <row r="546" spans="1:10" ht="68.25" customHeight="1">
      <c r="A546" s="278"/>
      <c r="B546" s="278"/>
      <c r="C546" s="224"/>
      <c r="D546" s="278"/>
      <c r="E546" s="278"/>
      <c r="F546" s="278"/>
      <c r="G546" s="278"/>
      <c r="H546" s="278"/>
      <c r="I546" s="278"/>
      <c r="J546" s="278"/>
    </row>
    <row r="547" spans="1:10" ht="68.25" customHeight="1">
      <c r="A547" s="278"/>
      <c r="B547" s="278"/>
      <c r="C547" s="224"/>
      <c r="D547" s="278"/>
      <c r="E547" s="278"/>
      <c r="F547" s="278"/>
      <c r="G547" s="278"/>
      <c r="H547" s="278"/>
      <c r="I547" s="278"/>
      <c r="J547" s="278"/>
    </row>
    <row r="548" spans="1:10" ht="68.25" customHeight="1">
      <c r="A548" s="278"/>
      <c r="B548" s="278"/>
      <c r="C548" s="224"/>
      <c r="D548" s="278"/>
      <c r="E548" s="278"/>
      <c r="F548" s="278"/>
      <c r="G548" s="278"/>
      <c r="H548" s="278"/>
      <c r="I548" s="278"/>
      <c r="J548" s="278"/>
    </row>
    <row r="549" spans="1:10" ht="68.25" customHeight="1">
      <c r="A549" s="278"/>
      <c r="B549" s="278"/>
      <c r="C549" s="224"/>
      <c r="D549" s="278"/>
      <c r="E549" s="278"/>
      <c r="F549" s="278"/>
      <c r="G549" s="278"/>
      <c r="H549" s="278"/>
      <c r="I549" s="278"/>
      <c r="J549" s="278"/>
    </row>
    <row r="550" spans="1:10" ht="68.25" customHeight="1">
      <c r="A550" s="278"/>
      <c r="B550" s="278"/>
      <c r="C550" s="224"/>
      <c r="D550" s="278"/>
      <c r="E550" s="278"/>
      <c r="F550" s="278"/>
      <c r="G550" s="278"/>
      <c r="H550" s="278"/>
      <c r="I550" s="278"/>
      <c r="J550" s="278"/>
    </row>
    <row r="551" spans="1:10" ht="68.25" customHeight="1">
      <c r="A551" s="278"/>
      <c r="B551" s="278"/>
      <c r="C551" s="224"/>
      <c r="D551" s="278"/>
      <c r="E551" s="278"/>
      <c r="F551" s="278"/>
      <c r="G551" s="278"/>
      <c r="H551" s="278"/>
      <c r="I551" s="278"/>
      <c r="J551" s="278"/>
    </row>
    <row r="552" spans="1:10" ht="68.25" customHeight="1">
      <c r="A552" s="278"/>
      <c r="B552" s="278"/>
      <c r="C552" s="224"/>
      <c r="D552" s="278"/>
      <c r="E552" s="278"/>
      <c r="F552" s="278"/>
      <c r="G552" s="278"/>
      <c r="H552" s="278"/>
      <c r="I552" s="278"/>
      <c r="J552" s="278"/>
    </row>
    <row r="553" spans="1:10" ht="68.25" customHeight="1">
      <c r="A553" s="278"/>
      <c r="B553" s="278"/>
      <c r="C553" s="224"/>
      <c r="D553" s="278"/>
      <c r="E553" s="278"/>
      <c r="F553" s="278"/>
      <c r="G553" s="278"/>
      <c r="H553" s="278"/>
      <c r="I553" s="278"/>
      <c r="J553" s="278"/>
    </row>
    <row r="554" spans="1:10" ht="68.25" customHeight="1">
      <c r="A554" s="278"/>
      <c r="B554" s="278"/>
      <c r="C554" s="224"/>
      <c r="D554" s="278"/>
      <c r="E554" s="278"/>
      <c r="F554" s="278"/>
      <c r="G554" s="278"/>
      <c r="H554" s="278"/>
      <c r="I554" s="278"/>
      <c r="J554" s="278"/>
    </row>
    <row r="555" spans="1:10" ht="68.25" customHeight="1">
      <c r="A555" s="278"/>
      <c r="B555" s="278"/>
      <c r="C555" s="224"/>
      <c r="D555" s="278"/>
      <c r="E555" s="278"/>
      <c r="F555" s="278"/>
      <c r="G555" s="278"/>
      <c r="H555" s="278"/>
      <c r="I555" s="278"/>
      <c r="J555" s="278"/>
    </row>
    <row r="556" spans="1:10" ht="68.25" customHeight="1">
      <c r="A556" s="278"/>
      <c r="B556" s="278"/>
      <c r="C556" s="224"/>
      <c r="D556" s="278"/>
      <c r="E556" s="278"/>
      <c r="F556" s="278"/>
      <c r="G556" s="278"/>
      <c r="H556" s="278"/>
      <c r="I556" s="278"/>
      <c r="J556" s="278"/>
    </row>
    <row r="557" spans="1:10" ht="68.25" customHeight="1">
      <c r="A557" s="278"/>
      <c r="B557" s="278"/>
      <c r="C557" s="224"/>
      <c r="D557" s="278"/>
      <c r="E557" s="278"/>
      <c r="F557" s="278"/>
      <c r="G557" s="278"/>
      <c r="H557" s="278"/>
      <c r="I557" s="278"/>
      <c r="J557" s="278"/>
    </row>
    <row r="558" spans="1:10" ht="68.25" customHeight="1">
      <c r="A558" s="278"/>
      <c r="B558" s="278"/>
      <c r="C558" s="224"/>
      <c r="D558" s="278"/>
      <c r="E558" s="278"/>
      <c r="F558" s="278"/>
      <c r="G558" s="278"/>
      <c r="H558" s="278"/>
      <c r="I558" s="278"/>
      <c r="J558" s="278"/>
    </row>
    <row r="559" spans="1:10" ht="68.25" customHeight="1">
      <c r="A559" s="278"/>
      <c r="B559" s="278"/>
      <c r="C559" s="224"/>
      <c r="D559" s="278"/>
      <c r="E559" s="278"/>
      <c r="F559" s="278"/>
      <c r="G559" s="278"/>
      <c r="H559" s="278"/>
      <c r="I559" s="278"/>
      <c r="J559" s="278"/>
    </row>
    <row r="560" spans="1:10" ht="68.25" customHeight="1">
      <c r="A560" s="278"/>
      <c r="B560" s="278"/>
      <c r="C560" s="224"/>
      <c r="D560" s="278"/>
      <c r="E560" s="278"/>
      <c r="F560" s="278"/>
      <c r="G560" s="278"/>
      <c r="H560" s="278"/>
      <c r="I560" s="278"/>
      <c r="J560" s="278"/>
    </row>
    <row r="561" spans="1:10" ht="68.25" customHeight="1">
      <c r="A561" s="278"/>
      <c r="B561" s="278"/>
      <c r="C561" s="224"/>
      <c r="D561" s="278"/>
      <c r="E561" s="278"/>
      <c r="F561" s="278"/>
      <c r="G561" s="278"/>
      <c r="H561" s="278"/>
      <c r="I561" s="278"/>
      <c r="J561" s="278"/>
    </row>
    <row r="562" spans="1:10" ht="68.25" customHeight="1">
      <c r="A562" s="278"/>
      <c r="B562" s="278"/>
      <c r="C562" s="224"/>
      <c r="D562" s="278"/>
      <c r="E562" s="278"/>
      <c r="F562" s="278"/>
      <c r="G562" s="278"/>
      <c r="H562" s="278"/>
      <c r="I562" s="278"/>
      <c r="J562" s="278"/>
    </row>
    <row r="563" spans="1:10" ht="68.25" customHeight="1">
      <c r="A563" s="278"/>
      <c r="B563" s="278"/>
      <c r="C563" s="224"/>
      <c r="D563" s="278"/>
      <c r="E563" s="278"/>
      <c r="F563" s="278"/>
      <c r="G563" s="278"/>
      <c r="H563" s="278"/>
      <c r="I563" s="278"/>
      <c r="J563" s="278"/>
    </row>
    <row r="564" spans="1:10" ht="68.25" customHeight="1">
      <c r="A564" s="278"/>
      <c r="B564" s="278"/>
      <c r="C564" s="224"/>
      <c r="D564" s="278"/>
      <c r="E564" s="278"/>
      <c r="F564" s="278"/>
      <c r="G564" s="278"/>
      <c r="H564" s="278"/>
      <c r="I564" s="278"/>
      <c r="J564" s="278"/>
    </row>
    <row r="565" spans="1:10" ht="68.25" customHeight="1">
      <c r="A565" s="278"/>
      <c r="B565" s="278"/>
      <c r="C565" s="224"/>
      <c r="D565" s="278"/>
      <c r="E565" s="278"/>
      <c r="F565" s="278"/>
      <c r="G565" s="278"/>
      <c r="H565" s="278"/>
      <c r="I565" s="278"/>
      <c r="J565" s="278"/>
    </row>
    <row r="566" spans="1:10" ht="68.25" customHeight="1">
      <c r="A566" s="278"/>
      <c r="B566" s="278"/>
      <c r="C566" s="224"/>
      <c r="D566" s="278"/>
      <c r="E566" s="278"/>
      <c r="F566" s="278"/>
      <c r="G566" s="278"/>
      <c r="H566" s="278"/>
      <c r="I566" s="278"/>
      <c r="J566" s="278"/>
    </row>
    <row r="567" spans="1:10" ht="68.25" customHeight="1">
      <c r="A567" s="278"/>
      <c r="B567" s="278"/>
      <c r="C567" s="224"/>
      <c r="D567" s="278"/>
      <c r="E567" s="278"/>
      <c r="F567" s="278"/>
      <c r="G567" s="278"/>
      <c r="H567" s="278"/>
      <c r="I567" s="278"/>
      <c r="J567" s="278"/>
    </row>
    <row r="568" spans="1:10" ht="68.25" customHeight="1">
      <c r="A568" s="278"/>
      <c r="B568" s="278"/>
      <c r="C568" s="224"/>
      <c r="D568" s="278"/>
      <c r="E568" s="278"/>
      <c r="F568" s="278"/>
      <c r="G568" s="278"/>
      <c r="H568" s="278"/>
      <c r="I568" s="278"/>
      <c r="J568" s="278"/>
    </row>
    <row r="569" spans="1:10" ht="68.25" customHeight="1">
      <c r="A569" s="278"/>
      <c r="B569" s="278"/>
      <c r="C569" s="224"/>
      <c r="D569" s="278"/>
      <c r="E569" s="278"/>
      <c r="F569" s="278"/>
      <c r="G569" s="278"/>
      <c r="H569" s="278"/>
      <c r="I569" s="278"/>
      <c r="J569" s="278"/>
    </row>
    <row r="570" spans="1:10" ht="68.25" customHeight="1">
      <c r="A570" s="278"/>
      <c r="B570" s="278"/>
      <c r="C570" s="224"/>
      <c r="D570" s="278"/>
      <c r="E570" s="278"/>
      <c r="F570" s="278"/>
      <c r="G570" s="278"/>
      <c r="H570" s="278"/>
      <c r="I570" s="278"/>
      <c r="J570" s="278"/>
    </row>
    <row r="571" spans="1:10" ht="68.25" customHeight="1">
      <c r="A571" s="278"/>
      <c r="B571" s="278"/>
      <c r="C571" s="224"/>
      <c r="D571" s="278"/>
      <c r="E571" s="278"/>
      <c r="F571" s="278"/>
      <c r="G571" s="278"/>
      <c r="H571" s="278"/>
      <c r="I571" s="278"/>
      <c r="J571" s="278"/>
    </row>
    <row r="572" spans="1:10" ht="68.25" customHeight="1">
      <c r="A572" s="278"/>
      <c r="B572" s="278"/>
      <c r="C572" s="224"/>
      <c r="D572" s="278"/>
      <c r="E572" s="278"/>
      <c r="F572" s="278"/>
      <c r="G572" s="278"/>
      <c r="H572" s="278"/>
      <c r="I572" s="278"/>
      <c r="J572" s="278"/>
    </row>
    <row r="573" spans="1:10" ht="68.25" customHeight="1">
      <c r="A573" s="278"/>
      <c r="B573" s="278"/>
      <c r="C573" s="224"/>
      <c r="D573" s="278"/>
      <c r="E573" s="278"/>
      <c r="F573" s="278"/>
      <c r="G573" s="278"/>
      <c r="H573" s="278"/>
      <c r="I573" s="278"/>
      <c r="J573" s="278"/>
    </row>
    <row r="574" spans="1:10" ht="68.25" customHeight="1">
      <c r="A574" s="278"/>
      <c r="B574" s="278"/>
      <c r="C574" s="224"/>
      <c r="D574" s="278"/>
      <c r="E574" s="278"/>
      <c r="F574" s="278"/>
      <c r="G574" s="278"/>
      <c r="H574" s="278"/>
      <c r="I574" s="278"/>
      <c r="J574" s="278"/>
    </row>
    <row r="575" spans="1:10" ht="68.25" customHeight="1">
      <c r="A575" s="278"/>
      <c r="B575" s="278"/>
      <c r="C575" s="224"/>
      <c r="D575" s="278"/>
      <c r="E575" s="278"/>
      <c r="F575" s="278"/>
      <c r="G575" s="278"/>
      <c r="H575" s="278"/>
      <c r="I575" s="278"/>
      <c r="J575" s="278"/>
    </row>
    <row r="576" spans="1:10" ht="68.25" customHeight="1">
      <c r="A576" s="278"/>
      <c r="B576" s="278"/>
      <c r="C576" s="224"/>
      <c r="D576" s="278"/>
      <c r="E576" s="278"/>
      <c r="F576" s="278"/>
      <c r="G576" s="278"/>
      <c r="H576" s="278"/>
      <c r="I576" s="278"/>
      <c r="J576" s="278"/>
    </row>
    <row r="577" spans="1:10" ht="68.25" customHeight="1">
      <c r="A577" s="278"/>
      <c r="B577" s="278"/>
      <c r="C577" s="224"/>
      <c r="D577" s="278"/>
      <c r="E577" s="278"/>
      <c r="F577" s="278"/>
      <c r="G577" s="278"/>
      <c r="H577" s="278"/>
      <c r="I577" s="278"/>
      <c r="J577" s="278"/>
    </row>
    <row r="578" spans="1:10" ht="68.25" customHeight="1">
      <c r="A578" s="278"/>
      <c r="B578" s="278"/>
      <c r="C578" s="224"/>
      <c r="D578" s="278"/>
      <c r="E578" s="278"/>
      <c r="F578" s="278"/>
      <c r="G578" s="278"/>
      <c r="H578" s="278"/>
      <c r="I578" s="278"/>
      <c r="J578" s="278"/>
    </row>
    <row r="579" spans="1:10" ht="68.25" customHeight="1">
      <c r="A579" s="278"/>
      <c r="B579" s="278"/>
      <c r="C579" s="224"/>
      <c r="D579" s="278"/>
      <c r="E579" s="278"/>
      <c r="F579" s="278"/>
      <c r="G579" s="278"/>
      <c r="H579" s="278"/>
      <c r="I579" s="278"/>
      <c r="J579" s="278"/>
    </row>
    <row r="580" spans="1:10" ht="68.25" customHeight="1">
      <c r="A580" s="278"/>
      <c r="B580" s="278"/>
      <c r="C580" s="224"/>
      <c r="D580" s="278"/>
      <c r="E580" s="278"/>
      <c r="F580" s="278"/>
      <c r="G580" s="278"/>
      <c r="H580" s="278"/>
      <c r="I580" s="278"/>
      <c r="J580" s="278"/>
    </row>
    <row r="581" spans="1:10" ht="68.25" customHeight="1">
      <c r="A581" s="278"/>
      <c r="B581" s="278"/>
      <c r="C581" s="224"/>
      <c r="D581" s="278"/>
      <c r="E581" s="278"/>
      <c r="F581" s="278"/>
      <c r="G581" s="278"/>
      <c r="H581" s="278"/>
      <c r="I581" s="278"/>
      <c r="J581" s="278"/>
    </row>
    <row r="582" spans="1:10" ht="68.25" customHeight="1">
      <c r="A582" s="278"/>
      <c r="B582" s="278"/>
      <c r="C582" s="224"/>
      <c r="D582" s="278"/>
      <c r="E582" s="278"/>
      <c r="F582" s="278"/>
      <c r="G582" s="278"/>
      <c r="H582" s="278"/>
      <c r="I582" s="278"/>
      <c r="J582" s="278"/>
    </row>
    <row r="583" spans="1:10" ht="68.25" customHeight="1">
      <c r="A583" s="278"/>
      <c r="B583" s="278"/>
      <c r="C583" s="224"/>
      <c r="D583" s="278"/>
      <c r="E583" s="278"/>
      <c r="F583" s="278"/>
      <c r="G583" s="278"/>
      <c r="H583" s="278"/>
      <c r="I583" s="278"/>
      <c r="J583" s="278"/>
    </row>
    <row r="584" spans="1:10" ht="68.25" customHeight="1">
      <c r="A584" s="278"/>
      <c r="B584" s="278"/>
      <c r="C584" s="224"/>
      <c r="D584" s="278"/>
      <c r="E584" s="278"/>
      <c r="F584" s="278"/>
      <c r="G584" s="278"/>
      <c r="H584" s="278"/>
      <c r="I584" s="278"/>
      <c r="J584" s="278"/>
    </row>
    <row r="585" spans="1:10" ht="68.25" customHeight="1">
      <c r="A585" s="278"/>
      <c r="B585" s="278"/>
      <c r="C585" s="224"/>
      <c r="D585" s="278"/>
      <c r="E585" s="278"/>
      <c r="F585" s="278"/>
      <c r="G585" s="278"/>
      <c r="H585" s="278"/>
      <c r="I585" s="278"/>
      <c r="J585" s="278"/>
    </row>
    <row r="586" spans="1:10" ht="68.25" customHeight="1">
      <c r="A586" s="278"/>
      <c r="B586" s="278"/>
      <c r="C586" s="224"/>
      <c r="D586" s="278"/>
      <c r="E586" s="278"/>
      <c r="F586" s="278"/>
      <c r="G586" s="278"/>
      <c r="H586" s="278"/>
      <c r="I586" s="278"/>
      <c r="J586" s="278"/>
    </row>
    <row r="587" spans="1:10" ht="68.25" customHeight="1">
      <c r="A587" s="278"/>
      <c r="B587" s="278"/>
      <c r="C587" s="224"/>
      <c r="D587" s="278"/>
      <c r="E587" s="278"/>
      <c r="F587" s="278"/>
      <c r="G587" s="278"/>
      <c r="H587" s="278"/>
      <c r="I587" s="278"/>
      <c r="J587" s="278"/>
    </row>
    <row r="588" spans="1:10" ht="68.25" customHeight="1">
      <c r="A588" s="278"/>
      <c r="B588" s="278"/>
      <c r="C588" s="224"/>
      <c r="D588" s="278"/>
      <c r="E588" s="278"/>
      <c r="F588" s="278"/>
      <c r="G588" s="278"/>
      <c r="H588" s="278"/>
      <c r="I588" s="278"/>
      <c r="J588" s="278"/>
    </row>
    <row r="589" spans="1:10" ht="68.25" customHeight="1">
      <c r="A589" s="278"/>
      <c r="B589" s="278"/>
      <c r="C589" s="224"/>
      <c r="D589" s="278"/>
      <c r="E589" s="278"/>
      <c r="F589" s="278"/>
      <c r="G589" s="278"/>
      <c r="H589" s="278"/>
      <c r="I589" s="278"/>
      <c r="J589" s="278"/>
    </row>
    <row r="590" spans="1:10" ht="68.25" customHeight="1">
      <c r="A590" s="278"/>
      <c r="B590" s="278"/>
      <c r="C590" s="224"/>
      <c r="D590" s="278"/>
      <c r="E590" s="278"/>
      <c r="F590" s="278"/>
      <c r="G590" s="278"/>
      <c r="H590" s="278"/>
      <c r="I590" s="278"/>
      <c r="J590" s="278"/>
    </row>
    <row r="591" spans="1:10" ht="68.25" customHeight="1">
      <c r="A591" s="278"/>
      <c r="B591" s="278"/>
      <c r="C591" s="224"/>
      <c r="D591" s="278"/>
      <c r="E591" s="278"/>
      <c r="F591" s="278"/>
      <c r="G591" s="278"/>
      <c r="H591" s="278"/>
      <c r="I591" s="278"/>
      <c r="J591" s="278"/>
    </row>
    <row r="592" spans="1:10" ht="68.25" customHeight="1">
      <c r="A592" s="278"/>
      <c r="B592" s="278"/>
      <c r="C592" s="224"/>
      <c r="D592" s="278"/>
      <c r="E592" s="278"/>
      <c r="F592" s="278"/>
      <c r="G592" s="278"/>
      <c r="H592" s="278"/>
      <c r="I592" s="278"/>
      <c r="J592" s="278"/>
    </row>
    <row r="593" spans="1:10" ht="68.25" customHeight="1">
      <c r="A593" s="278"/>
      <c r="B593" s="278"/>
      <c r="C593" s="224"/>
      <c r="D593" s="278"/>
      <c r="E593" s="278"/>
      <c r="F593" s="278"/>
      <c r="G593" s="278"/>
      <c r="H593" s="278"/>
      <c r="I593" s="278"/>
      <c r="J593" s="278"/>
    </row>
    <row r="594" spans="1:10" ht="68.25" customHeight="1">
      <c r="A594" s="278"/>
      <c r="B594" s="278"/>
      <c r="C594" s="224"/>
      <c r="D594" s="278"/>
      <c r="E594" s="278"/>
      <c r="F594" s="278"/>
      <c r="G594" s="278"/>
      <c r="H594" s="278"/>
      <c r="I594" s="278"/>
      <c r="J594" s="278"/>
    </row>
    <row r="595" spans="1:10" ht="68.25" customHeight="1">
      <c r="A595" s="278"/>
      <c r="B595" s="278"/>
      <c r="C595" s="224"/>
      <c r="D595" s="278"/>
      <c r="E595" s="278"/>
      <c r="F595" s="278"/>
      <c r="G595" s="278"/>
      <c r="H595" s="278"/>
      <c r="I595" s="278"/>
      <c r="J595" s="278"/>
    </row>
    <row r="596" spans="1:10" ht="68.25" customHeight="1">
      <c r="A596" s="278"/>
      <c r="B596" s="278"/>
      <c r="C596" s="224"/>
      <c r="D596" s="278"/>
      <c r="E596" s="278"/>
      <c r="F596" s="278"/>
      <c r="G596" s="278"/>
      <c r="H596" s="278"/>
      <c r="I596" s="278"/>
      <c r="J596" s="278"/>
    </row>
    <row r="597" spans="1:10" ht="68.25" customHeight="1">
      <c r="A597" s="278"/>
      <c r="B597" s="278"/>
      <c r="C597" s="224"/>
      <c r="D597" s="278"/>
      <c r="E597" s="278"/>
      <c r="F597" s="278"/>
      <c r="G597" s="278"/>
      <c r="H597" s="278"/>
      <c r="I597" s="278"/>
      <c r="J597" s="278"/>
    </row>
    <row r="598" spans="1:10" ht="68.25" customHeight="1">
      <c r="A598" s="278"/>
      <c r="B598" s="278"/>
      <c r="C598" s="224"/>
      <c r="D598" s="278"/>
      <c r="E598" s="278"/>
      <c r="F598" s="278"/>
      <c r="G598" s="278"/>
      <c r="H598" s="278"/>
      <c r="I598" s="278"/>
      <c r="J598" s="278"/>
    </row>
    <row r="599" spans="1:10" ht="68.25" customHeight="1">
      <c r="A599" s="278"/>
      <c r="B599" s="278"/>
      <c r="C599" s="224"/>
      <c r="D599" s="278"/>
      <c r="E599" s="278"/>
      <c r="F599" s="278"/>
      <c r="G599" s="278"/>
      <c r="H599" s="278"/>
      <c r="I599" s="278"/>
      <c r="J599" s="278"/>
    </row>
    <row r="600" spans="1:10" ht="68.25" customHeight="1">
      <c r="A600" s="278"/>
      <c r="B600" s="278"/>
      <c r="C600" s="224"/>
      <c r="D600" s="278"/>
      <c r="E600" s="278"/>
      <c r="F600" s="278"/>
      <c r="G600" s="278"/>
      <c r="H600" s="278"/>
      <c r="I600" s="278"/>
      <c r="J600" s="278"/>
    </row>
    <row r="601" spans="1:10" ht="68.25" customHeight="1">
      <c r="A601" s="278"/>
      <c r="B601" s="278"/>
      <c r="C601" s="224"/>
      <c r="D601" s="278"/>
      <c r="E601" s="278"/>
      <c r="F601" s="278"/>
      <c r="G601" s="278"/>
      <c r="H601" s="278"/>
      <c r="I601" s="278"/>
      <c r="J601" s="278"/>
    </row>
    <row r="602" spans="1:10" ht="68.25" customHeight="1">
      <c r="A602" s="278"/>
      <c r="B602" s="278"/>
      <c r="C602" s="224"/>
      <c r="D602" s="278"/>
      <c r="E602" s="278"/>
      <c r="F602" s="278"/>
      <c r="G602" s="278"/>
      <c r="H602" s="278"/>
      <c r="I602" s="278"/>
      <c r="J602" s="278"/>
    </row>
    <row r="603" spans="1:10" ht="68.25" customHeight="1">
      <c r="A603" s="278"/>
      <c r="B603" s="278"/>
      <c r="C603" s="224"/>
      <c r="D603" s="278"/>
      <c r="E603" s="278"/>
      <c r="F603" s="278"/>
      <c r="G603" s="278"/>
      <c r="H603" s="278"/>
      <c r="I603" s="278"/>
      <c r="J603" s="278"/>
    </row>
    <row r="604" spans="1:10" ht="68.25" customHeight="1">
      <c r="A604" s="278"/>
      <c r="B604" s="278"/>
      <c r="C604" s="224"/>
      <c r="D604" s="278"/>
      <c r="E604" s="278"/>
      <c r="F604" s="278"/>
      <c r="G604" s="278"/>
      <c r="H604" s="278"/>
      <c r="I604" s="278"/>
      <c r="J604" s="278"/>
    </row>
    <row r="605" spans="1:10" ht="68.25" customHeight="1">
      <c r="A605" s="278"/>
      <c r="B605" s="278"/>
      <c r="C605" s="224"/>
      <c r="D605" s="278"/>
      <c r="E605" s="278"/>
      <c r="F605" s="278"/>
      <c r="G605" s="278"/>
      <c r="H605" s="278"/>
      <c r="I605" s="278"/>
      <c r="J605" s="278"/>
    </row>
    <row r="606" spans="1:10" ht="68.25" customHeight="1">
      <c r="A606" s="278"/>
      <c r="B606" s="278"/>
      <c r="C606" s="224"/>
      <c r="D606" s="278"/>
      <c r="E606" s="278"/>
      <c r="F606" s="278"/>
      <c r="G606" s="278"/>
      <c r="H606" s="278"/>
      <c r="I606" s="278"/>
      <c r="J606" s="278"/>
    </row>
    <row r="607" spans="1:10" ht="68.25" customHeight="1">
      <c r="A607" s="278"/>
      <c r="B607" s="278"/>
      <c r="C607" s="224"/>
      <c r="D607" s="278"/>
      <c r="E607" s="278"/>
      <c r="F607" s="278"/>
      <c r="G607" s="278"/>
      <c r="H607" s="278"/>
      <c r="I607" s="278"/>
      <c r="J607" s="278"/>
    </row>
    <row r="608" spans="1:10" ht="68.25" customHeight="1">
      <c r="A608" s="278"/>
      <c r="B608" s="278"/>
      <c r="C608" s="224"/>
      <c r="D608" s="278"/>
      <c r="E608" s="278"/>
      <c r="F608" s="278"/>
      <c r="G608" s="278"/>
      <c r="H608" s="278"/>
      <c r="I608" s="278"/>
      <c r="J608" s="278"/>
    </row>
    <row r="609" spans="1:10" ht="68.25" customHeight="1">
      <c r="A609" s="278"/>
      <c r="B609" s="278"/>
      <c r="C609" s="224"/>
      <c r="D609" s="278"/>
      <c r="E609" s="278"/>
      <c r="F609" s="278"/>
      <c r="G609" s="278"/>
      <c r="H609" s="278"/>
      <c r="I609" s="278"/>
      <c r="J609" s="278"/>
    </row>
    <row r="610" spans="1:10" ht="68.25" customHeight="1">
      <c r="A610" s="278"/>
      <c r="B610" s="278"/>
      <c r="C610" s="224"/>
      <c r="D610" s="278"/>
      <c r="E610" s="278"/>
      <c r="F610" s="278"/>
      <c r="G610" s="278"/>
      <c r="H610" s="278"/>
      <c r="I610" s="278"/>
      <c r="J610" s="278"/>
    </row>
    <row r="611" spans="1:10" ht="68.25" customHeight="1">
      <c r="A611" s="278"/>
      <c r="B611" s="278"/>
      <c r="C611" s="224"/>
      <c r="D611" s="278"/>
      <c r="E611" s="278"/>
      <c r="F611" s="278"/>
      <c r="G611" s="278"/>
      <c r="H611" s="278"/>
      <c r="I611" s="278"/>
      <c r="J611" s="278"/>
    </row>
    <row r="612" spans="1:10" ht="68.25" customHeight="1">
      <c r="A612" s="278"/>
      <c r="B612" s="278"/>
      <c r="C612" s="224"/>
      <c r="D612" s="278"/>
      <c r="E612" s="278"/>
      <c r="F612" s="278"/>
      <c r="G612" s="278"/>
      <c r="H612" s="278"/>
      <c r="I612" s="278"/>
      <c r="J612" s="278"/>
    </row>
    <row r="613" spans="1:10" ht="68.25" customHeight="1">
      <c r="A613" s="278"/>
      <c r="B613" s="278"/>
      <c r="C613" s="224"/>
      <c r="D613" s="278"/>
      <c r="E613" s="278"/>
      <c r="F613" s="278"/>
      <c r="G613" s="278"/>
      <c r="H613" s="278"/>
      <c r="I613" s="278"/>
      <c r="J613" s="278"/>
    </row>
    <row r="614" spans="1:10" ht="68.25" customHeight="1">
      <c r="A614" s="278"/>
      <c r="B614" s="278"/>
      <c r="C614" s="224"/>
      <c r="D614" s="278"/>
      <c r="E614" s="278"/>
      <c r="F614" s="278"/>
      <c r="G614" s="278"/>
      <c r="H614" s="278"/>
      <c r="I614" s="278"/>
      <c r="J614" s="278"/>
    </row>
    <row r="615" spans="1:10" ht="68.25" customHeight="1">
      <c r="A615" s="278"/>
      <c r="B615" s="278"/>
      <c r="C615" s="224"/>
      <c r="D615" s="278"/>
      <c r="E615" s="278"/>
      <c r="F615" s="278"/>
      <c r="G615" s="278"/>
      <c r="H615" s="278"/>
      <c r="I615" s="278"/>
      <c r="J615" s="278"/>
    </row>
    <row r="616" spans="1:10" ht="68.25" customHeight="1">
      <c r="A616" s="278"/>
      <c r="B616" s="278"/>
      <c r="C616" s="224"/>
      <c r="D616" s="278"/>
      <c r="E616" s="278"/>
      <c r="F616" s="278"/>
      <c r="G616" s="278"/>
      <c r="H616" s="278"/>
      <c r="I616" s="278"/>
      <c r="J616" s="278"/>
    </row>
    <row r="617" spans="1:10" ht="68.25" customHeight="1"/>
    <row r="618" spans="1:10" ht="68.25" customHeight="1"/>
    <row r="619" spans="1:10" ht="68.25" customHeight="1"/>
    <row r="620" spans="1:10" ht="68.25" customHeight="1"/>
    <row r="621" spans="1:10" ht="68.25" customHeight="1"/>
    <row r="622" spans="1:10" ht="68.25" customHeight="1"/>
    <row r="623" spans="1:10" ht="68.25" customHeight="1"/>
    <row r="624" spans="1:10" ht="68.25" customHeight="1"/>
    <row r="625" ht="68.25" customHeight="1"/>
    <row r="626" ht="68.25" customHeight="1"/>
    <row r="627" ht="68.25" customHeight="1"/>
    <row r="628" ht="68.25" customHeight="1"/>
    <row r="629" ht="68.25" customHeight="1"/>
    <row r="630" ht="68.25" customHeight="1"/>
    <row r="631" ht="68.25" customHeight="1"/>
    <row r="632" ht="68.25" customHeight="1"/>
    <row r="633" ht="68.25" customHeight="1"/>
    <row r="634" ht="68.25" customHeight="1"/>
    <row r="635" ht="68.25" customHeight="1"/>
    <row r="636" ht="68.25" customHeight="1"/>
    <row r="637" ht="68.25" customHeight="1"/>
    <row r="638" ht="68.25" customHeight="1"/>
    <row r="639" ht="68.25" customHeight="1"/>
    <row r="640" ht="68.25" customHeight="1"/>
    <row r="641" ht="68.25" customHeight="1"/>
    <row r="642" ht="68.25" customHeight="1"/>
    <row r="643" ht="68.25" customHeight="1"/>
    <row r="644" ht="68.25" customHeight="1"/>
    <row r="645" ht="68.25" customHeight="1"/>
    <row r="646" ht="68.25" customHeight="1"/>
    <row r="647" ht="68.25" customHeight="1"/>
    <row r="648" ht="68.25" customHeight="1"/>
    <row r="649" ht="68.25" customHeight="1"/>
    <row r="650" ht="68.25" customHeight="1"/>
    <row r="651" ht="68.25" customHeight="1"/>
    <row r="652" ht="68.25" customHeight="1"/>
    <row r="653" ht="68.25" customHeight="1"/>
    <row r="654" ht="68.25" customHeight="1"/>
    <row r="655" ht="68.25" customHeight="1"/>
    <row r="656" ht="68.25" customHeight="1"/>
    <row r="657" ht="68.25" customHeight="1"/>
    <row r="658" ht="68.25" customHeight="1"/>
    <row r="659" ht="68.25" customHeight="1"/>
    <row r="660" ht="68.25" customHeight="1"/>
    <row r="661" ht="68.25" customHeight="1"/>
    <row r="662" ht="68.25" customHeight="1"/>
    <row r="663" ht="68.25" customHeight="1"/>
    <row r="664" ht="68.25" customHeight="1"/>
    <row r="665" ht="68.25" customHeight="1"/>
    <row r="666" ht="68.25" customHeight="1"/>
    <row r="667" ht="68.25" customHeight="1"/>
    <row r="668" ht="68.25" customHeight="1"/>
    <row r="669" ht="68.25" customHeight="1"/>
    <row r="670" ht="68.25" customHeight="1"/>
    <row r="671" ht="68.25" customHeight="1"/>
    <row r="672" ht="68.25" customHeight="1"/>
    <row r="673" ht="68.25" customHeight="1"/>
    <row r="674" ht="68.25" customHeight="1"/>
    <row r="675" ht="68.25" customHeight="1"/>
    <row r="676" ht="68.25" customHeight="1"/>
    <row r="677" ht="68.25" customHeight="1"/>
    <row r="678" ht="68.25" customHeight="1"/>
    <row r="679" ht="68.25" customHeight="1"/>
    <row r="680" ht="68.25" customHeight="1"/>
    <row r="681" ht="68.25" customHeight="1"/>
    <row r="682" ht="68.25" customHeight="1"/>
    <row r="683" ht="68.25" customHeight="1"/>
    <row r="684" ht="68.25" customHeight="1"/>
    <row r="685" ht="68.25" customHeight="1"/>
    <row r="686" ht="68.25" customHeight="1"/>
    <row r="687" ht="68.25" customHeight="1"/>
    <row r="688" ht="68.25" customHeight="1"/>
    <row r="689" ht="68.25" customHeight="1"/>
    <row r="690" ht="68.25" customHeight="1"/>
    <row r="691" ht="68.25" customHeight="1"/>
    <row r="692" ht="68.25" customHeight="1"/>
    <row r="693" ht="68.25" customHeight="1"/>
    <row r="694" ht="68.25" customHeight="1"/>
    <row r="695" ht="68.25" customHeight="1"/>
    <row r="696" ht="68.25" customHeight="1"/>
    <row r="697" ht="68.25" customHeight="1"/>
    <row r="698" ht="68.25" customHeight="1"/>
    <row r="699" ht="68.25" customHeight="1"/>
    <row r="700" ht="68.25" customHeight="1"/>
    <row r="701" ht="68.25" customHeight="1"/>
    <row r="702" ht="68.25" customHeight="1"/>
    <row r="703" ht="68.25" customHeight="1"/>
    <row r="704" ht="68.25" customHeight="1"/>
    <row r="705" ht="68.25" customHeight="1"/>
    <row r="706" ht="68.25" customHeight="1"/>
    <row r="707" ht="68.25" customHeight="1"/>
    <row r="708" ht="68.25" customHeight="1"/>
    <row r="709" ht="68.25" customHeight="1"/>
    <row r="710" ht="68.25" customHeight="1"/>
    <row r="711" ht="68.25" customHeight="1"/>
    <row r="712" ht="68.25" customHeight="1"/>
    <row r="713" ht="68.25" customHeight="1"/>
    <row r="714" ht="68.25" customHeight="1"/>
    <row r="715" ht="68.25" customHeight="1"/>
    <row r="716" ht="68.25" customHeight="1"/>
    <row r="717" ht="68.25" customHeight="1"/>
    <row r="718" ht="68.25" customHeight="1"/>
    <row r="719" ht="68.25" customHeight="1"/>
    <row r="720" ht="68.25" customHeight="1"/>
    <row r="721" ht="68.25" customHeight="1"/>
    <row r="722" ht="68.25" customHeight="1"/>
    <row r="723" ht="68.25" customHeight="1"/>
    <row r="724" ht="68.25" customHeight="1"/>
    <row r="725" ht="68.25" customHeight="1"/>
    <row r="726" ht="68.25" customHeight="1"/>
    <row r="727" ht="68.25" customHeight="1"/>
    <row r="728" ht="68.25" customHeight="1"/>
    <row r="729" ht="68.25" customHeight="1"/>
    <row r="730" ht="68.25" customHeight="1"/>
    <row r="731" ht="68.25" customHeight="1"/>
    <row r="732" ht="68.25" customHeight="1"/>
    <row r="733" ht="68.25" customHeight="1"/>
    <row r="734" ht="68.25" customHeight="1"/>
    <row r="735" ht="68.25" customHeight="1"/>
    <row r="736" ht="68.25" customHeight="1"/>
    <row r="737" ht="68.25" customHeight="1"/>
    <row r="738" ht="68.25" customHeight="1"/>
    <row r="739" ht="68.25" customHeight="1"/>
    <row r="740" ht="68.25" customHeight="1"/>
    <row r="741" ht="68.25" customHeight="1"/>
    <row r="742" ht="68.25" customHeight="1"/>
    <row r="743" ht="68.25" customHeight="1"/>
    <row r="744" ht="68.25" customHeight="1"/>
    <row r="745" ht="68.25" customHeight="1"/>
    <row r="746" ht="68.25" customHeight="1"/>
    <row r="747" ht="68.25" customHeight="1"/>
    <row r="748" ht="68.25" customHeight="1"/>
    <row r="749" ht="68.25" customHeight="1"/>
    <row r="750" ht="68.25" customHeight="1"/>
    <row r="751" ht="68.25" customHeight="1"/>
  </sheetData>
  <mergeCells count="175">
    <mergeCell ref="D223:F223"/>
    <mergeCell ref="D224:F224"/>
    <mergeCell ref="D221:F221"/>
    <mergeCell ref="D222:F222"/>
    <mergeCell ref="D242:F242"/>
    <mergeCell ref="D219:F219"/>
    <mergeCell ref="D220:F220"/>
    <mergeCell ref="D217:F217"/>
    <mergeCell ref="D218:F218"/>
    <mergeCell ref="D215:F215"/>
    <mergeCell ref="D216:F216"/>
    <mergeCell ref="D213:F213"/>
    <mergeCell ref="D214:F214"/>
    <mergeCell ref="D211:F211"/>
    <mergeCell ref="D212:F212"/>
    <mergeCell ref="D209:F209"/>
    <mergeCell ref="D210:F210"/>
    <mergeCell ref="D207:F207"/>
    <mergeCell ref="D208:F208"/>
    <mergeCell ref="D205:F205"/>
    <mergeCell ref="D206:F206"/>
    <mergeCell ref="D203:F203"/>
    <mergeCell ref="D204:F204"/>
    <mergeCell ref="D201:F201"/>
    <mergeCell ref="D202:F202"/>
    <mergeCell ref="D199:F199"/>
    <mergeCell ref="D200:F200"/>
    <mergeCell ref="D197:F197"/>
    <mergeCell ref="D198:F198"/>
    <mergeCell ref="D195:F195"/>
    <mergeCell ref="D196:F196"/>
    <mergeCell ref="D193:F193"/>
    <mergeCell ref="D194:F194"/>
    <mergeCell ref="D191:F191"/>
    <mergeCell ref="D192:F192"/>
    <mergeCell ref="D189:F189"/>
    <mergeCell ref="D190:F190"/>
    <mergeCell ref="D187:F187"/>
    <mergeCell ref="D188:F188"/>
    <mergeCell ref="D185:F185"/>
    <mergeCell ref="D186:F186"/>
    <mergeCell ref="D184:F184"/>
    <mergeCell ref="B182:C182"/>
    <mergeCell ref="D182:E182"/>
    <mergeCell ref="D183:F183"/>
    <mergeCell ref="B181:C181"/>
    <mergeCell ref="D181:F181"/>
    <mergeCell ref="B180:C180"/>
    <mergeCell ref="D180:F180"/>
    <mergeCell ref="B179:C179"/>
    <mergeCell ref="D179:F179"/>
    <mergeCell ref="B178:C178"/>
    <mergeCell ref="D178:F178"/>
    <mergeCell ref="B177:C177"/>
    <mergeCell ref="D177:F177"/>
    <mergeCell ref="B176:C176"/>
    <mergeCell ref="D176:F176"/>
    <mergeCell ref="B175:C175"/>
    <mergeCell ref="D175:F175"/>
    <mergeCell ref="B174:C174"/>
    <mergeCell ref="D174:F174"/>
    <mergeCell ref="B173:C173"/>
    <mergeCell ref="D173:F173"/>
    <mergeCell ref="B172:C172"/>
    <mergeCell ref="D172:F172"/>
    <mergeCell ref="B171:C171"/>
    <mergeCell ref="D171:F171"/>
    <mergeCell ref="B170:C170"/>
    <mergeCell ref="D170:F170"/>
    <mergeCell ref="B169:C169"/>
    <mergeCell ref="D169:F169"/>
    <mergeCell ref="B168:C168"/>
    <mergeCell ref="D168:F168"/>
    <mergeCell ref="B167:C167"/>
    <mergeCell ref="D167:F167"/>
    <mergeCell ref="B166:C166"/>
    <mergeCell ref="D166:F166"/>
    <mergeCell ref="B165:C165"/>
    <mergeCell ref="D165:F165"/>
    <mergeCell ref="B164:C164"/>
    <mergeCell ref="D164:F164"/>
    <mergeCell ref="B163:C163"/>
    <mergeCell ref="D163:F163"/>
    <mergeCell ref="B162:C162"/>
    <mergeCell ref="D162:F162"/>
    <mergeCell ref="B161:C161"/>
    <mergeCell ref="D161:F161"/>
    <mergeCell ref="B160:C160"/>
    <mergeCell ref="D160:F160"/>
    <mergeCell ref="B159:C159"/>
    <mergeCell ref="D159:F159"/>
    <mergeCell ref="B158:C158"/>
    <mergeCell ref="D158:F158"/>
    <mergeCell ref="B157:C157"/>
    <mergeCell ref="D157:F157"/>
    <mergeCell ref="B156:C156"/>
    <mergeCell ref="D156:F156"/>
    <mergeCell ref="B155:C155"/>
    <mergeCell ref="D155:F155"/>
    <mergeCell ref="B154:C154"/>
    <mergeCell ref="D154:F154"/>
    <mergeCell ref="B153:C153"/>
    <mergeCell ref="D153:F153"/>
    <mergeCell ref="B152:C152"/>
    <mergeCell ref="D152:F152"/>
    <mergeCell ref="B151:C151"/>
    <mergeCell ref="D151:F151"/>
    <mergeCell ref="B150:C150"/>
    <mergeCell ref="D150:F150"/>
    <mergeCell ref="B149:C149"/>
    <mergeCell ref="D149:F149"/>
    <mergeCell ref="B148:C148"/>
    <mergeCell ref="D148:F148"/>
    <mergeCell ref="B147:C147"/>
    <mergeCell ref="D147:F147"/>
    <mergeCell ref="B146:C146"/>
    <mergeCell ref="D146:F146"/>
    <mergeCell ref="B145:C145"/>
    <mergeCell ref="D145:F145"/>
    <mergeCell ref="B144:C144"/>
    <mergeCell ref="D144:F144"/>
    <mergeCell ref="B143:C143"/>
    <mergeCell ref="D143:F143"/>
    <mergeCell ref="B142:C142"/>
    <mergeCell ref="D142:F142"/>
    <mergeCell ref="B53:C53"/>
    <mergeCell ref="B93:D93"/>
    <mergeCell ref="B97:C97"/>
    <mergeCell ref="B137:D137"/>
    <mergeCell ref="B140:C141"/>
    <mergeCell ref="D140:F141"/>
    <mergeCell ref="E40:I40"/>
    <mergeCell ref="B49:D49"/>
    <mergeCell ref="B50:D50"/>
    <mergeCell ref="B38:C40"/>
    <mergeCell ref="D38:D40"/>
    <mergeCell ref="E30:I30"/>
    <mergeCell ref="B33:B37"/>
    <mergeCell ref="I23:I27"/>
    <mergeCell ref="B28:D30"/>
    <mergeCell ref="C23:C27"/>
    <mergeCell ref="D23:D27"/>
    <mergeCell ref="E23:E27"/>
    <mergeCell ref="F23:F27"/>
    <mergeCell ref="G23:G27"/>
    <mergeCell ref="H23:H27"/>
    <mergeCell ref="B3:B27"/>
    <mergeCell ref="G13:G17"/>
    <mergeCell ref="H13:H17"/>
    <mergeCell ref="I13:I17"/>
    <mergeCell ref="C18:C22"/>
    <mergeCell ref="D18:D22"/>
    <mergeCell ref="E18:E22"/>
    <mergeCell ref="F18:F22"/>
    <mergeCell ref="G18:G22"/>
    <mergeCell ref="H18:H22"/>
    <mergeCell ref="I18:I22"/>
    <mergeCell ref="C13:C17"/>
    <mergeCell ref="D13:D17"/>
    <mergeCell ref="E13:E17"/>
    <mergeCell ref="F13:F17"/>
    <mergeCell ref="H3:H7"/>
    <mergeCell ref="I3:I7"/>
    <mergeCell ref="C8:C12"/>
    <mergeCell ref="D8:D12"/>
    <mergeCell ref="E8:E12"/>
    <mergeCell ref="F8:F12"/>
    <mergeCell ref="G8:G12"/>
    <mergeCell ref="H8:H12"/>
    <mergeCell ref="I8:I12"/>
    <mergeCell ref="C3:C7"/>
    <mergeCell ref="D3:D7"/>
    <mergeCell ref="E3:E7"/>
    <mergeCell ref="F3:F7"/>
    <mergeCell ref="G3:G7"/>
  </mergeCells>
  <dataValidations count="2">
    <dataValidation type="list" allowBlank="1" showInputMessage="1" showErrorMessage="1" sqref="Q33" xr:uid="{AFED34A7-607F-42A3-96D8-E5DDC2F978C5}">
      <formula1>"Accept/Monitor"</formula1>
    </dataValidation>
    <dataValidation type="list" allowBlank="1" showInputMessage="1" showErrorMessage="1" sqref="Q34" xr:uid="{710C83CD-103D-422E-A89C-720298EA8AEC}">
      <formula1>"Reduce/Mitigation,Accept/Monitor"</formula1>
    </dataValidation>
  </dataValidations>
  <hyperlinks>
    <hyperlink ref="A1" location="'Daftar Isi'!A1" display="Kembali ke Daftar Isi" xr:uid="{DAF2050F-F9D7-4C2F-8901-E02E6BA26143}"/>
  </hyperlink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2711-0962-41ED-9A1A-14A7C41677E5}">
  <sheetPr>
    <tabColor rgb="FFFFFF00"/>
  </sheetPr>
  <dimension ref="A1:AA1000"/>
  <sheetViews>
    <sheetView topLeftCell="A132" workbookViewId="0">
      <selection activeCell="A132" sqref="A132:B132"/>
    </sheetView>
  </sheetViews>
  <sheetFormatPr defaultColWidth="14.3984375" defaultRowHeight="15" customHeight="1"/>
  <cols>
    <col min="1" max="1" width="3.59765625" style="1074" customWidth="1"/>
    <col min="2" max="2" width="1.59765625" style="1074" customWidth="1"/>
    <col min="3" max="3" width="1" style="1074" customWidth="1"/>
    <col min="4" max="4" width="1.59765625" style="1074" customWidth="1"/>
    <col min="5" max="5" width="2.59765625" style="1074" customWidth="1"/>
    <col min="6" max="6" width="9.59765625" style="1074" customWidth="1"/>
    <col min="7" max="7" width="1" style="1074" customWidth="1"/>
    <col min="8" max="8" width="2.59765625" style="1074" customWidth="1"/>
    <col min="9" max="9" width="1" style="1074" customWidth="1"/>
    <col min="10" max="11" width="1.59765625" style="1074" customWidth="1"/>
    <col min="12" max="13" width="2.59765625" style="1074" customWidth="1"/>
    <col min="14" max="14" width="3.59765625" style="1074" customWidth="1"/>
    <col min="15" max="15" width="2.59765625" style="1074" customWidth="1"/>
    <col min="16" max="16" width="6.59765625" style="1074" customWidth="1"/>
    <col min="17" max="17" width="7.59765625" style="1074" customWidth="1"/>
    <col min="18" max="18" width="41.59765625" style="1074" customWidth="1"/>
    <col min="19" max="19" width="0.1328125" style="1074" customWidth="1"/>
    <col min="20" max="20" width="9.59765625" style="1074" customWidth="1"/>
    <col min="21" max="21" width="1" style="1074" customWidth="1"/>
    <col min="22" max="22" width="3.59765625" style="1074" customWidth="1"/>
    <col min="23" max="23" width="1" style="1074" customWidth="1"/>
    <col min="24" max="24" width="6.59765625" style="1074" customWidth="1"/>
    <col min="25" max="25" width="57" style="1074" customWidth="1"/>
    <col min="26" max="26" width="4.59765625" style="1074" customWidth="1"/>
    <col min="27" max="27" width="10.3984375" style="1074" hidden="1" customWidth="1"/>
    <col min="28" max="16384" width="14.3984375" style="1074"/>
  </cols>
  <sheetData>
    <row r="1" spans="1:27" ht="82.5" customHeight="1">
      <c r="A1" s="1796" t="s">
        <v>1530</v>
      </c>
      <c r="B1" s="1762"/>
      <c r="C1" s="1762"/>
      <c r="D1" s="1762"/>
      <c r="E1" s="1762"/>
      <c r="F1" s="1762"/>
      <c r="G1" s="1762"/>
      <c r="H1" s="1762"/>
      <c r="I1" s="1762"/>
      <c r="J1" s="1762"/>
      <c r="K1" s="1762"/>
      <c r="L1" s="1762"/>
      <c r="M1" s="1762"/>
      <c r="N1" s="1762"/>
      <c r="O1" s="1762"/>
      <c r="P1" s="1762"/>
      <c r="Q1" s="1762"/>
      <c r="R1" s="1762"/>
      <c r="S1" s="1762"/>
      <c r="T1" s="1762"/>
      <c r="U1" s="1762"/>
      <c r="V1" s="1762"/>
      <c r="W1" s="1762"/>
      <c r="X1" s="1762"/>
      <c r="Y1" s="1762"/>
      <c r="Z1" s="1762"/>
      <c r="AA1" s="1075"/>
    </row>
    <row r="2" spans="1:27" ht="13.5" customHeight="1">
      <c r="A2" s="1810" t="s">
        <v>1531</v>
      </c>
      <c r="B2" s="1808"/>
      <c r="C2" s="1808"/>
      <c r="D2" s="1808"/>
      <c r="E2" s="1808"/>
      <c r="F2" s="1808"/>
      <c r="G2" s="1808"/>
      <c r="H2" s="1801"/>
      <c r="I2" s="1811" t="s">
        <v>1532</v>
      </c>
      <c r="J2" s="1808"/>
      <c r="K2" s="1808"/>
      <c r="L2" s="1808"/>
      <c r="M2" s="1808"/>
      <c r="N2" s="1808"/>
      <c r="O2" s="1808"/>
      <c r="P2" s="1801"/>
      <c r="Q2" s="1810" t="s">
        <v>1533</v>
      </c>
      <c r="R2" s="1808"/>
      <c r="S2" s="1801"/>
      <c r="T2" s="1810" t="s">
        <v>1534</v>
      </c>
      <c r="U2" s="1808"/>
      <c r="V2" s="1808"/>
      <c r="W2" s="1808"/>
      <c r="X2" s="1808"/>
      <c r="Y2" s="1801"/>
      <c r="Z2" s="1073"/>
      <c r="AA2" s="1075"/>
    </row>
    <row r="3" spans="1:27" ht="13.5" customHeight="1">
      <c r="A3" s="1804"/>
      <c r="B3" s="1809"/>
      <c r="C3" s="1809"/>
      <c r="D3" s="1809"/>
      <c r="E3" s="1809"/>
      <c r="F3" s="1809"/>
      <c r="G3" s="1809"/>
      <c r="H3" s="1805"/>
      <c r="I3" s="1812"/>
      <c r="J3" s="1809"/>
      <c r="K3" s="1805"/>
      <c r="L3" s="1813" t="s">
        <v>1535</v>
      </c>
      <c r="M3" s="1809"/>
      <c r="N3" s="1809"/>
      <c r="O3" s="1809"/>
      <c r="P3" s="1805"/>
      <c r="Q3" s="1804"/>
      <c r="R3" s="1809"/>
      <c r="S3" s="1805"/>
      <c r="T3" s="1804"/>
      <c r="U3" s="1809"/>
      <c r="V3" s="1809"/>
      <c r="W3" s="1809"/>
      <c r="X3" s="1809"/>
      <c r="Y3" s="1805"/>
      <c r="Z3" s="1073"/>
      <c r="AA3" s="1075"/>
    </row>
    <row r="4" spans="1:27" ht="24.75" customHeight="1">
      <c r="A4" s="1839">
        <v>1</v>
      </c>
      <c r="B4" s="1800" t="s">
        <v>1536</v>
      </c>
      <c r="C4" s="1808"/>
      <c r="D4" s="1808"/>
      <c r="E4" s="1808"/>
      <c r="F4" s="1808"/>
      <c r="G4" s="1808"/>
      <c r="H4" s="1801"/>
      <c r="I4" s="1840" t="s">
        <v>1537</v>
      </c>
      <c r="J4" s="1808"/>
      <c r="K4" s="1801"/>
      <c r="L4" s="1800" t="s">
        <v>1538</v>
      </c>
      <c r="M4" s="1808"/>
      <c r="N4" s="1808"/>
      <c r="O4" s="1808"/>
      <c r="P4" s="1801"/>
      <c r="Q4" s="1076" t="s">
        <v>1539</v>
      </c>
      <c r="R4" s="1782" t="s">
        <v>1540</v>
      </c>
      <c r="S4" s="1755"/>
      <c r="T4" s="1076" t="s">
        <v>1541</v>
      </c>
      <c r="U4" s="1781" t="s">
        <v>1542</v>
      </c>
      <c r="V4" s="1757"/>
      <c r="W4" s="1757"/>
      <c r="X4" s="1757"/>
      <c r="Y4" s="1755"/>
      <c r="Z4" s="1077"/>
      <c r="AA4" s="1075" t="str">
        <f>CONCATENATE(Q4," ",R4)</f>
        <v>1.1 Peristiwa Risiko terkait
dividen</v>
      </c>
    </row>
    <row r="5" spans="1:27" ht="15" customHeight="1">
      <c r="A5" s="1798"/>
      <c r="B5" s="1802"/>
      <c r="C5" s="1762"/>
      <c r="D5" s="1762"/>
      <c r="E5" s="1762"/>
      <c r="F5" s="1762"/>
      <c r="G5" s="1762"/>
      <c r="H5" s="1803"/>
      <c r="I5" s="1802"/>
      <c r="J5" s="1762"/>
      <c r="K5" s="1803"/>
      <c r="L5" s="1802"/>
      <c r="M5" s="1762"/>
      <c r="N5" s="1762"/>
      <c r="O5" s="1762"/>
      <c r="P5" s="1803"/>
      <c r="Q5" s="1835" t="s">
        <v>1543</v>
      </c>
      <c r="R5" s="1807" t="s">
        <v>1544</v>
      </c>
      <c r="S5" s="1801"/>
      <c r="T5" s="1078" t="s">
        <v>1545</v>
      </c>
      <c r="U5" s="1782" t="s">
        <v>1546</v>
      </c>
      <c r="V5" s="1757"/>
      <c r="W5" s="1757"/>
      <c r="X5" s="1757"/>
      <c r="Y5" s="1755"/>
      <c r="Z5" s="1073"/>
      <c r="AA5" s="1075" t="str">
        <f t="shared" ref="AA5:AA67" si="0">CONCATENATE(Q5," ",R5)</f>
        <v>1.1.2 Peristiwa Risiko terkait Penyertaan Modal Negara
(PMN)</v>
      </c>
    </row>
    <row r="6" spans="1:27" ht="22.5" customHeight="1">
      <c r="A6" s="1798"/>
      <c r="B6" s="1802"/>
      <c r="C6" s="1762"/>
      <c r="D6" s="1762"/>
      <c r="E6" s="1762"/>
      <c r="F6" s="1762"/>
      <c r="G6" s="1762"/>
      <c r="H6" s="1803"/>
      <c r="I6" s="1802"/>
      <c r="J6" s="1762"/>
      <c r="K6" s="1803"/>
      <c r="L6" s="1802"/>
      <c r="M6" s="1762"/>
      <c r="N6" s="1762"/>
      <c r="O6" s="1762"/>
      <c r="P6" s="1803"/>
      <c r="Q6" s="1799"/>
      <c r="R6" s="1804"/>
      <c r="S6" s="1805"/>
      <c r="T6" s="1078" t="s">
        <v>1547</v>
      </c>
      <c r="U6" s="1781" t="s">
        <v>1548</v>
      </c>
      <c r="V6" s="1757"/>
      <c r="W6" s="1757"/>
      <c r="X6" s="1757"/>
      <c r="Y6" s="1755"/>
      <c r="Z6" s="1077"/>
      <c r="AA6" s="1075" t="str">
        <f t="shared" si="0"/>
        <v xml:space="preserve"> </v>
      </c>
    </row>
    <row r="7" spans="1:27" ht="15" customHeight="1">
      <c r="A7" s="1798"/>
      <c r="B7" s="1802"/>
      <c r="C7" s="1762"/>
      <c r="D7" s="1762"/>
      <c r="E7" s="1762"/>
      <c r="F7" s="1762"/>
      <c r="G7" s="1762"/>
      <c r="H7" s="1803"/>
      <c r="I7" s="1802"/>
      <c r="J7" s="1762"/>
      <c r="K7" s="1803"/>
      <c r="L7" s="1802"/>
      <c r="M7" s="1762"/>
      <c r="N7" s="1762"/>
      <c r="O7" s="1762"/>
      <c r="P7" s="1803"/>
      <c r="Q7" s="1835" t="s">
        <v>1549</v>
      </c>
      <c r="R7" s="1807" t="s">
        <v>1550</v>
      </c>
      <c r="S7" s="1801"/>
      <c r="T7" s="1078" t="s">
        <v>1551</v>
      </c>
      <c r="U7" s="1781" t="s">
        <v>1552</v>
      </c>
      <c r="V7" s="1757"/>
      <c r="W7" s="1757"/>
      <c r="X7" s="1757"/>
      <c r="Y7" s="1755"/>
      <c r="Z7" s="1073"/>
      <c r="AA7" s="1075" t="str">
        <f t="shared" si="0"/>
        <v>1.1.3 Peristiwa Risiko terkait
subsidi dan kompensasi</v>
      </c>
    </row>
    <row r="8" spans="1:27" ht="15" customHeight="1">
      <c r="A8" s="1798"/>
      <c r="B8" s="1802"/>
      <c r="C8" s="1762"/>
      <c r="D8" s="1762"/>
      <c r="E8" s="1762"/>
      <c r="F8" s="1762"/>
      <c r="G8" s="1762"/>
      <c r="H8" s="1803"/>
      <c r="I8" s="1804"/>
      <c r="J8" s="1809"/>
      <c r="K8" s="1805"/>
      <c r="L8" s="1804"/>
      <c r="M8" s="1809"/>
      <c r="N8" s="1809"/>
      <c r="O8" s="1809"/>
      <c r="P8" s="1805"/>
      <c r="Q8" s="1799"/>
      <c r="R8" s="1804"/>
      <c r="S8" s="1805"/>
      <c r="T8" s="1078" t="s">
        <v>1553</v>
      </c>
      <c r="U8" s="1781" t="s">
        <v>1554</v>
      </c>
      <c r="V8" s="1757"/>
      <c r="W8" s="1757"/>
      <c r="X8" s="1757"/>
      <c r="Y8" s="1755"/>
      <c r="Z8" s="1073"/>
      <c r="AA8" s="1075" t="str">
        <f t="shared" si="0"/>
        <v xml:space="preserve"> </v>
      </c>
    </row>
    <row r="9" spans="1:27" ht="15" customHeight="1">
      <c r="A9" s="1798"/>
      <c r="B9" s="1802"/>
      <c r="C9" s="1762"/>
      <c r="D9" s="1762"/>
      <c r="E9" s="1762"/>
      <c r="F9" s="1762"/>
      <c r="G9" s="1762"/>
      <c r="H9" s="1803"/>
      <c r="I9" s="1834" t="s">
        <v>1555</v>
      </c>
      <c r="J9" s="1808"/>
      <c r="K9" s="1801"/>
      <c r="L9" s="1800" t="s">
        <v>1556</v>
      </c>
      <c r="M9" s="1808"/>
      <c r="N9" s="1808"/>
      <c r="O9" s="1808"/>
      <c r="P9" s="1801"/>
      <c r="Q9" s="1835" t="s">
        <v>1557</v>
      </c>
      <c r="R9" s="1800" t="s">
        <v>1558</v>
      </c>
      <c r="S9" s="1801"/>
      <c r="T9" s="1078" t="s">
        <v>1559</v>
      </c>
      <c r="U9" s="1781" t="s">
        <v>1560</v>
      </c>
      <c r="V9" s="1757"/>
      <c r="W9" s="1757"/>
      <c r="X9" s="1757"/>
      <c r="Y9" s="1755"/>
      <c r="Z9" s="1073"/>
      <c r="AA9" s="1075" t="str">
        <f t="shared" si="0"/>
        <v>1.2.4 Peristiwa Risiko terkait kebijakan Sumber Daya Manusia (SOM)</v>
      </c>
    </row>
    <row r="10" spans="1:27" ht="49.5" customHeight="1">
      <c r="A10" s="1798"/>
      <c r="B10" s="1802"/>
      <c r="C10" s="1762"/>
      <c r="D10" s="1762"/>
      <c r="E10" s="1762"/>
      <c r="F10" s="1762"/>
      <c r="G10" s="1762"/>
      <c r="H10" s="1803"/>
      <c r="I10" s="1802"/>
      <c r="J10" s="1762"/>
      <c r="K10" s="1803"/>
      <c r="L10" s="1802"/>
      <c r="M10" s="1762"/>
      <c r="N10" s="1762"/>
      <c r="O10" s="1762"/>
      <c r="P10" s="1803"/>
      <c r="Q10" s="1798"/>
      <c r="R10" s="1802"/>
      <c r="S10" s="1803"/>
      <c r="T10" s="1078" t="s">
        <v>1561</v>
      </c>
      <c r="U10" s="1782" t="s">
        <v>1562</v>
      </c>
      <c r="V10" s="1757"/>
      <c r="W10" s="1757"/>
      <c r="X10" s="1757"/>
      <c r="Y10" s="1755"/>
      <c r="Z10" s="1079"/>
      <c r="AA10" s="1075" t="str">
        <f t="shared" si="0"/>
        <v xml:space="preserve"> </v>
      </c>
    </row>
    <row r="11" spans="1:27" ht="48.75" customHeight="1">
      <c r="A11" s="1798"/>
      <c r="B11" s="1802"/>
      <c r="C11" s="1762"/>
      <c r="D11" s="1762"/>
      <c r="E11" s="1762"/>
      <c r="F11" s="1762"/>
      <c r="G11" s="1762"/>
      <c r="H11" s="1803"/>
      <c r="I11" s="1802"/>
      <c r="J11" s="1762"/>
      <c r="K11" s="1803"/>
      <c r="L11" s="1802"/>
      <c r="M11" s="1762"/>
      <c r="N11" s="1762"/>
      <c r="O11" s="1762"/>
      <c r="P11" s="1803"/>
      <c r="Q11" s="1799"/>
      <c r="R11" s="1804"/>
      <c r="S11" s="1805"/>
      <c r="T11" s="1078" t="s">
        <v>1563</v>
      </c>
      <c r="U11" s="1782" t="s">
        <v>1564</v>
      </c>
      <c r="V11" s="1757"/>
      <c r="W11" s="1757"/>
      <c r="X11" s="1757"/>
      <c r="Y11" s="1755"/>
      <c r="Z11" s="1079"/>
      <c r="AA11" s="1075" t="str">
        <f t="shared" si="0"/>
        <v xml:space="preserve"> </v>
      </c>
    </row>
    <row r="12" spans="1:27" ht="24.75" customHeight="1">
      <c r="A12" s="1798"/>
      <c r="B12" s="1802"/>
      <c r="C12" s="1762"/>
      <c r="D12" s="1762"/>
      <c r="E12" s="1762"/>
      <c r="F12" s="1762"/>
      <c r="G12" s="1762"/>
      <c r="H12" s="1803"/>
      <c r="I12" s="1802"/>
      <c r="J12" s="1762"/>
      <c r="K12" s="1803"/>
      <c r="L12" s="1802"/>
      <c r="M12" s="1762"/>
      <c r="N12" s="1762"/>
      <c r="O12" s="1762"/>
      <c r="P12" s="1803"/>
      <c r="Q12" s="1835" t="s">
        <v>1565</v>
      </c>
      <c r="R12" s="1800" t="s">
        <v>1566</v>
      </c>
      <c r="S12" s="1801"/>
      <c r="T12" s="1078" t="s">
        <v>1567</v>
      </c>
      <c r="U12" s="1782" t="s">
        <v>1568</v>
      </c>
      <c r="V12" s="1757"/>
      <c r="W12" s="1757"/>
      <c r="X12" s="1757"/>
      <c r="Y12" s="1755"/>
      <c r="Z12" s="1077"/>
      <c r="AA12" s="1075" t="str">
        <f t="shared" si="0"/>
        <v>1.2.5 Peristiwa Risiko terkait kebijakan sektoral</v>
      </c>
    </row>
    <row r="13" spans="1:27" ht="24" customHeight="1">
      <c r="A13" s="1798"/>
      <c r="B13" s="1802"/>
      <c r="C13" s="1762"/>
      <c r="D13" s="1762"/>
      <c r="E13" s="1762"/>
      <c r="F13" s="1762"/>
      <c r="G13" s="1762"/>
      <c r="H13" s="1803"/>
      <c r="I13" s="1804"/>
      <c r="J13" s="1809"/>
      <c r="K13" s="1805"/>
      <c r="L13" s="1804"/>
      <c r="M13" s="1809"/>
      <c r="N13" s="1809"/>
      <c r="O13" s="1809"/>
      <c r="P13" s="1805"/>
      <c r="Q13" s="1799"/>
      <c r="R13" s="1804"/>
      <c r="S13" s="1805"/>
      <c r="T13" s="1078" t="s">
        <v>1569</v>
      </c>
      <c r="U13" s="1782" t="s">
        <v>1570</v>
      </c>
      <c r="V13" s="1757"/>
      <c r="W13" s="1757"/>
      <c r="X13" s="1757"/>
      <c r="Y13" s="1755"/>
      <c r="Z13" s="1077"/>
      <c r="AA13" s="1075" t="str">
        <f t="shared" si="0"/>
        <v xml:space="preserve"> </v>
      </c>
    </row>
    <row r="14" spans="1:27" ht="25.5" customHeight="1">
      <c r="A14" s="1799"/>
      <c r="B14" s="1804"/>
      <c r="C14" s="1809"/>
      <c r="D14" s="1809"/>
      <c r="E14" s="1809"/>
      <c r="F14" s="1809"/>
      <c r="G14" s="1809"/>
      <c r="H14" s="1805"/>
      <c r="I14" s="1838" t="s">
        <v>1571</v>
      </c>
      <c r="J14" s="1757"/>
      <c r="K14" s="1755"/>
      <c r="L14" s="1782" t="s">
        <v>1572</v>
      </c>
      <c r="M14" s="1757"/>
      <c r="N14" s="1757"/>
      <c r="O14" s="1757"/>
      <c r="P14" s="1755"/>
      <c r="Q14" s="1078" t="s">
        <v>1573</v>
      </c>
      <c r="R14" s="1782" t="s">
        <v>1574</v>
      </c>
      <c r="S14" s="1755"/>
      <c r="T14" s="1078" t="s">
        <v>1575</v>
      </c>
      <c r="U14" s="1782" t="s">
        <v>1576</v>
      </c>
      <c r="V14" s="1757"/>
      <c r="W14" s="1757"/>
      <c r="X14" s="1757"/>
      <c r="Y14" s="1755"/>
      <c r="Z14" s="1077"/>
      <c r="AA14" s="1075" t="str">
        <f t="shared" si="0"/>
        <v>1.3.6 Peritiwa Risiko terkait
konsentrasi portofolio</v>
      </c>
    </row>
    <row r="15" spans="1:27" ht="13.5" customHeight="1">
      <c r="A15" s="1810" t="s">
        <v>1577</v>
      </c>
      <c r="B15" s="1808"/>
      <c r="C15" s="1808"/>
      <c r="D15" s="1808"/>
      <c r="E15" s="1808"/>
      <c r="F15" s="1808"/>
      <c r="G15" s="1808"/>
      <c r="H15" s="1801"/>
      <c r="I15" s="1811" t="s">
        <v>1578</v>
      </c>
      <c r="J15" s="1808"/>
      <c r="K15" s="1808"/>
      <c r="L15" s="1808"/>
      <c r="M15" s="1808"/>
      <c r="N15" s="1808"/>
      <c r="O15" s="1808"/>
      <c r="P15" s="1801"/>
      <c r="Q15" s="1810" t="s">
        <v>1579</v>
      </c>
      <c r="R15" s="1808"/>
      <c r="S15" s="1801"/>
      <c r="T15" s="1810" t="s">
        <v>1580</v>
      </c>
      <c r="U15" s="1808"/>
      <c r="V15" s="1808"/>
      <c r="W15" s="1808"/>
      <c r="X15" s="1808"/>
      <c r="Y15" s="1801"/>
      <c r="Z15" s="1075"/>
      <c r="AA15" s="1075"/>
    </row>
    <row r="16" spans="1:27" ht="13.5" customHeight="1">
      <c r="A16" s="1804"/>
      <c r="B16" s="1809"/>
      <c r="C16" s="1809"/>
      <c r="D16" s="1809"/>
      <c r="E16" s="1809"/>
      <c r="F16" s="1809"/>
      <c r="G16" s="1809"/>
      <c r="H16" s="1805"/>
      <c r="I16" s="1812"/>
      <c r="J16" s="1809"/>
      <c r="K16" s="1805"/>
      <c r="L16" s="1813" t="s">
        <v>1581</v>
      </c>
      <c r="M16" s="1809"/>
      <c r="N16" s="1809"/>
      <c r="O16" s="1809"/>
      <c r="P16" s="1805"/>
      <c r="Q16" s="1804"/>
      <c r="R16" s="1809"/>
      <c r="S16" s="1805"/>
      <c r="T16" s="1804"/>
      <c r="U16" s="1809"/>
      <c r="V16" s="1809"/>
      <c r="W16" s="1809"/>
      <c r="X16" s="1809"/>
      <c r="Y16" s="1805"/>
      <c r="Z16" s="1075"/>
      <c r="AA16" s="1075" t="str">
        <f t="shared" si="0"/>
        <v xml:space="preserve"> </v>
      </c>
    </row>
    <row r="17" spans="1:27" ht="24.75" customHeight="1">
      <c r="A17" s="1806"/>
      <c r="B17" s="1807"/>
      <c r="C17" s="1808"/>
      <c r="D17" s="1808"/>
      <c r="E17" s="1808"/>
      <c r="F17" s="1808"/>
      <c r="G17" s="1808"/>
      <c r="H17" s="1801"/>
      <c r="I17" s="1807"/>
      <c r="J17" s="1808"/>
      <c r="K17" s="1801"/>
      <c r="L17" s="1807"/>
      <c r="M17" s="1808"/>
      <c r="N17" s="1808"/>
      <c r="O17" s="1808"/>
      <c r="P17" s="1801"/>
      <c r="Q17" s="1806"/>
      <c r="R17" s="1807"/>
      <c r="S17" s="1801"/>
      <c r="T17" s="1078" t="s">
        <v>1582</v>
      </c>
      <c r="U17" s="1782" t="s">
        <v>1583</v>
      </c>
      <c r="V17" s="1757"/>
      <c r="W17" s="1757"/>
      <c r="X17" s="1757"/>
      <c r="Y17" s="1755"/>
      <c r="Z17" s="1075"/>
      <c r="AA17" s="1075" t="str">
        <f t="shared" si="0"/>
        <v xml:space="preserve"> </v>
      </c>
    </row>
    <row r="18" spans="1:27" ht="24.75" customHeight="1">
      <c r="A18" s="1799"/>
      <c r="B18" s="1804"/>
      <c r="C18" s="1809"/>
      <c r="D18" s="1809"/>
      <c r="E18" s="1809"/>
      <c r="F18" s="1809"/>
      <c r="G18" s="1809"/>
      <c r="H18" s="1805"/>
      <c r="I18" s="1804"/>
      <c r="J18" s="1809"/>
      <c r="K18" s="1805"/>
      <c r="L18" s="1804"/>
      <c r="M18" s="1809"/>
      <c r="N18" s="1809"/>
      <c r="O18" s="1809"/>
      <c r="P18" s="1805"/>
      <c r="Q18" s="1799"/>
      <c r="R18" s="1804"/>
      <c r="S18" s="1805"/>
      <c r="T18" s="1078" t="s">
        <v>1584</v>
      </c>
      <c r="U18" s="1782" t="s">
        <v>1585</v>
      </c>
      <c r="V18" s="1757"/>
      <c r="W18" s="1757"/>
      <c r="X18" s="1757"/>
      <c r="Y18" s="1755"/>
      <c r="Z18" s="1075"/>
      <c r="AA18" s="1075" t="str">
        <f t="shared" si="0"/>
        <v xml:space="preserve"> </v>
      </c>
    </row>
    <row r="19" spans="1:27" ht="24" customHeight="1">
      <c r="A19" s="1837">
        <v>2</v>
      </c>
      <c r="B19" s="1800" t="s">
        <v>1586</v>
      </c>
      <c r="C19" s="1808"/>
      <c r="D19" s="1808"/>
      <c r="E19" s="1808"/>
      <c r="F19" s="1808"/>
      <c r="G19" s="1808"/>
      <c r="H19" s="1801"/>
      <c r="I19" s="1834" t="s">
        <v>1587</v>
      </c>
      <c r="J19" s="1808"/>
      <c r="K19" s="1801"/>
      <c r="L19" s="1800" t="s">
        <v>1588</v>
      </c>
      <c r="M19" s="1808"/>
      <c r="N19" s="1808"/>
      <c r="O19" s="1808"/>
      <c r="P19" s="1801"/>
      <c r="Q19" s="1835" t="s">
        <v>1589</v>
      </c>
      <c r="R19" s="1800" t="s">
        <v>1590</v>
      </c>
      <c r="S19" s="1801"/>
      <c r="T19" s="1078" t="s">
        <v>1591</v>
      </c>
      <c r="U19" s="1782" t="s">
        <v>1592</v>
      </c>
      <c r="V19" s="1757"/>
      <c r="W19" s="1757"/>
      <c r="X19" s="1757"/>
      <c r="Y19" s="1755"/>
      <c r="Z19" s="1075"/>
      <c r="AA19" s="1075" t="str">
        <f t="shared" si="0"/>
        <v>2.4.7 Peristiwa Risiko terkait struktur korporasi</v>
      </c>
    </row>
    <row r="20" spans="1:27" ht="24.75" customHeight="1">
      <c r="A20" s="1798"/>
      <c r="B20" s="1802"/>
      <c r="C20" s="1762"/>
      <c r="D20" s="1762"/>
      <c r="E20" s="1762"/>
      <c r="F20" s="1762"/>
      <c r="G20" s="1762"/>
      <c r="H20" s="1803"/>
      <c r="I20" s="1804"/>
      <c r="J20" s="1809"/>
      <c r="K20" s="1805"/>
      <c r="L20" s="1804"/>
      <c r="M20" s="1809"/>
      <c r="N20" s="1809"/>
      <c r="O20" s="1809"/>
      <c r="P20" s="1805"/>
      <c r="Q20" s="1799"/>
      <c r="R20" s="1804"/>
      <c r="S20" s="1805"/>
      <c r="T20" s="1078" t="s">
        <v>1593</v>
      </c>
      <c r="U20" s="1782" t="s">
        <v>1594</v>
      </c>
      <c r="V20" s="1757"/>
      <c r="W20" s="1757"/>
      <c r="X20" s="1757"/>
      <c r="Y20" s="1755"/>
      <c r="Z20" s="1075"/>
      <c r="AA20" s="1075" t="str">
        <f t="shared" si="0"/>
        <v xml:space="preserve"> </v>
      </c>
    </row>
    <row r="21" spans="1:27" ht="36.75" customHeight="1">
      <c r="A21" s="1798"/>
      <c r="B21" s="1802"/>
      <c r="C21" s="1762"/>
      <c r="D21" s="1762"/>
      <c r="E21" s="1762"/>
      <c r="F21" s="1762"/>
      <c r="G21" s="1762"/>
      <c r="H21" s="1803"/>
      <c r="I21" s="1834" t="s">
        <v>1595</v>
      </c>
      <c r="J21" s="1808"/>
      <c r="K21" s="1801"/>
      <c r="L21" s="1800" t="s">
        <v>1596</v>
      </c>
      <c r="M21" s="1808"/>
      <c r="N21" s="1808"/>
      <c r="O21" s="1808"/>
      <c r="P21" s="1801"/>
      <c r="Q21" s="1835" t="s">
        <v>1597</v>
      </c>
      <c r="R21" s="1836" t="s">
        <v>1598</v>
      </c>
      <c r="S21" s="1801"/>
      <c r="T21" s="1078" t="s">
        <v>1599</v>
      </c>
      <c r="U21" s="1782" t="s">
        <v>1600</v>
      </c>
      <c r="V21" s="1757"/>
      <c r="W21" s="1757"/>
      <c r="X21" s="1757"/>
      <c r="Y21" s="1755"/>
      <c r="Z21" s="1075"/>
      <c r="AA21" s="1075" t="str">
        <f t="shared" si="0"/>
        <v>2.5.8 Peristiwa Risiko terkait penggabungan, pengambilalihan , peleburan, pemisahan, pembubaran, likuidasi,
dan restrukturisasi</v>
      </c>
    </row>
    <row r="22" spans="1:27" ht="36.75" customHeight="1">
      <c r="A22" s="1799"/>
      <c r="B22" s="1804"/>
      <c r="C22" s="1809"/>
      <c r="D22" s="1809"/>
      <c r="E22" s="1809"/>
      <c r="F22" s="1809"/>
      <c r="G22" s="1809"/>
      <c r="H22" s="1805"/>
      <c r="I22" s="1804"/>
      <c r="J22" s="1809"/>
      <c r="K22" s="1805"/>
      <c r="L22" s="1804"/>
      <c r="M22" s="1809"/>
      <c r="N22" s="1809"/>
      <c r="O22" s="1809"/>
      <c r="P22" s="1805"/>
      <c r="Q22" s="1799"/>
      <c r="R22" s="1804"/>
      <c r="S22" s="1805"/>
      <c r="T22" s="1078" t="s">
        <v>1601</v>
      </c>
      <c r="U22" s="1781" t="s">
        <v>1602</v>
      </c>
      <c r="V22" s="1757"/>
      <c r="W22" s="1757"/>
      <c r="X22" s="1757"/>
      <c r="Y22" s="1755"/>
      <c r="Z22" s="1075"/>
      <c r="AA22" s="1075" t="str">
        <f t="shared" si="0"/>
        <v xml:space="preserve"> </v>
      </c>
    </row>
    <row r="23" spans="1:27" ht="15" customHeight="1">
      <c r="A23" s="1833">
        <v>3</v>
      </c>
      <c r="B23" s="1800" t="s">
        <v>1603</v>
      </c>
      <c r="C23" s="1808"/>
      <c r="D23" s="1808"/>
      <c r="E23" s="1808"/>
      <c r="F23" s="1808"/>
      <c r="G23" s="1808"/>
      <c r="H23" s="1801"/>
      <c r="I23" s="1834" t="s">
        <v>1604</v>
      </c>
      <c r="J23" s="1808"/>
      <c r="K23" s="1801"/>
      <c r="L23" s="1800" t="s">
        <v>1605</v>
      </c>
      <c r="M23" s="1808"/>
      <c r="N23" s="1808"/>
      <c r="O23" s="1808"/>
      <c r="P23" s="1801"/>
      <c r="Q23" s="1835" t="s">
        <v>1606</v>
      </c>
      <c r="R23" s="1800" t="s">
        <v>1607</v>
      </c>
      <c r="S23" s="1801"/>
      <c r="T23" s="1078" t="s">
        <v>1608</v>
      </c>
      <c r="U23" s="1781" t="s">
        <v>1609</v>
      </c>
      <c r="V23" s="1757"/>
      <c r="W23" s="1757"/>
      <c r="X23" s="1757"/>
      <c r="Y23" s="1755"/>
      <c r="Z23" s="1075"/>
      <c r="AA23" s="1075" t="str">
        <f t="shared" si="0"/>
        <v>3.6.9 Peristiwa Risiko terkait formulasi strategis</v>
      </c>
    </row>
    <row r="24" spans="1:27" ht="24.75" customHeight="1">
      <c r="A24" s="1798"/>
      <c r="B24" s="1802"/>
      <c r="C24" s="1762"/>
      <c r="D24" s="1762"/>
      <c r="E24" s="1762"/>
      <c r="F24" s="1762"/>
      <c r="G24" s="1762"/>
      <c r="H24" s="1803"/>
      <c r="I24" s="1802"/>
      <c r="J24" s="1762"/>
      <c r="K24" s="1803"/>
      <c r="L24" s="1802"/>
      <c r="M24" s="1762"/>
      <c r="N24" s="1762"/>
      <c r="O24" s="1762"/>
      <c r="P24" s="1803"/>
      <c r="Q24" s="1798"/>
      <c r="R24" s="1802"/>
      <c r="S24" s="1803"/>
      <c r="T24" s="1078" t="s">
        <v>1610</v>
      </c>
      <c r="U24" s="1782" t="s">
        <v>1611</v>
      </c>
      <c r="V24" s="1757"/>
      <c r="W24" s="1757"/>
      <c r="X24" s="1757"/>
      <c r="Y24" s="1755"/>
      <c r="Z24" s="1075"/>
      <c r="AA24" s="1075" t="str">
        <f t="shared" si="0"/>
        <v xml:space="preserve"> </v>
      </c>
    </row>
    <row r="25" spans="1:27" ht="24" customHeight="1">
      <c r="A25" s="1798"/>
      <c r="B25" s="1802"/>
      <c r="C25" s="1762"/>
      <c r="D25" s="1762"/>
      <c r="E25" s="1762"/>
      <c r="F25" s="1762"/>
      <c r="G25" s="1762"/>
      <c r="H25" s="1803"/>
      <c r="I25" s="1802"/>
      <c r="J25" s="1762"/>
      <c r="K25" s="1803"/>
      <c r="L25" s="1802"/>
      <c r="M25" s="1762"/>
      <c r="N25" s="1762"/>
      <c r="O25" s="1762"/>
      <c r="P25" s="1803"/>
      <c r="Q25" s="1798"/>
      <c r="R25" s="1802"/>
      <c r="S25" s="1803"/>
      <c r="T25" s="1078" t="s">
        <v>1612</v>
      </c>
      <c r="U25" s="1782" t="s">
        <v>1613</v>
      </c>
      <c r="V25" s="1757"/>
      <c r="W25" s="1757"/>
      <c r="X25" s="1757"/>
      <c r="Y25" s="1755"/>
      <c r="Z25" s="1075"/>
      <c r="AA25" s="1075" t="str">
        <f t="shared" si="0"/>
        <v xml:space="preserve"> </v>
      </c>
    </row>
    <row r="26" spans="1:27" ht="15" customHeight="1">
      <c r="A26" s="1798"/>
      <c r="B26" s="1802"/>
      <c r="C26" s="1762"/>
      <c r="D26" s="1762"/>
      <c r="E26" s="1762"/>
      <c r="F26" s="1762"/>
      <c r="G26" s="1762"/>
      <c r="H26" s="1803"/>
      <c r="I26" s="1802"/>
      <c r="J26" s="1762"/>
      <c r="K26" s="1803"/>
      <c r="L26" s="1802"/>
      <c r="M26" s="1762"/>
      <c r="N26" s="1762"/>
      <c r="O26" s="1762"/>
      <c r="P26" s="1803"/>
      <c r="Q26" s="1799"/>
      <c r="R26" s="1804"/>
      <c r="S26" s="1805"/>
      <c r="T26" s="1078" t="s">
        <v>1614</v>
      </c>
      <c r="U26" s="1781" t="s">
        <v>1615</v>
      </c>
      <c r="V26" s="1757"/>
      <c r="W26" s="1757"/>
      <c r="X26" s="1757"/>
      <c r="Y26" s="1755"/>
      <c r="Z26" s="1075"/>
      <c r="AA26" s="1075" t="str">
        <f t="shared" si="0"/>
        <v xml:space="preserve"> </v>
      </c>
    </row>
    <row r="27" spans="1:27" ht="15" customHeight="1">
      <c r="A27" s="1798"/>
      <c r="B27" s="1802"/>
      <c r="C27" s="1762"/>
      <c r="D27" s="1762"/>
      <c r="E27" s="1762"/>
      <c r="F27" s="1762"/>
      <c r="G27" s="1762"/>
      <c r="H27" s="1803"/>
      <c r="I27" s="1802"/>
      <c r="J27" s="1762"/>
      <c r="K27" s="1803"/>
      <c r="L27" s="1802"/>
      <c r="M27" s="1762"/>
      <c r="N27" s="1762"/>
      <c r="O27" s="1762"/>
      <c r="P27" s="1803"/>
      <c r="Q27" s="1832" t="s">
        <v>1616</v>
      </c>
      <c r="R27" s="1800" t="s">
        <v>1617</v>
      </c>
      <c r="S27" s="1801"/>
      <c r="T27" s="1078" t="s">
        <v>1618</v>
      </c>
      <c r="U27" s="1781" t="s">
        <v>1619</v>
      </c>
      <c r="V27" s="1757"/>
      <c r="W27" s="1757"/>
      <c r="X27" s="1757"/>
      <c r="Y27" s="1755"/>
      <c r="Z27" s="1075"/>
      <c r="AA27" s="1075" t="str">
        <f>CONCATENATE(Q27," ",R27)</f>
        <v>3.6.10 Peristiwa Risiko terkait pasar dan makro ekonomi</v>
      </c>
    </row>
    <row r="28" spans="1:27" ht="24.75" customHeight="1">
      <c r="A28" s="1798"/>
      <c r="B28" s="1802"/>
      <c r="C28" s="1762"/>
      <c r="D28" s="1762"/>
      <c r="E28" s="1762"/>
      <c r="F28" s="1762"/>
      <c r="G28" s="1762"/>
      <c r="H28" s="1803"/>
      <c r="I28" s="1802"/>
      <c r="J28" s="1762"/>
      <c r="K28" s="1803"/>
      <c r="L28" s="1802"/>
      <c r="M28" s="1762"/>
      <c r="N28" s="1762"/>
      <c r="O28" s="1762"/>
      <c r="P28" s="1803"/>
      <c r="Q28" s="1798"/>
      <c r="R28" s="1802"/>
      <c r="S28" s="1803"/>
      <c r="T28" s="1078" t="s">
        <v>1620</v>
      </c>
      <c r="U28" s="1782" t="s">
        <v>1621</v>
      </c>
      <c r="V28" s="1757"/>
      <c r="W28" s="1757"/>
      <c r="X28" s="1757"/>
      <c r="Y28" s="1755"/>
      <c r="Z28" s="1075"/>
      <c r="AA28" s="1075" t="str">
        <f t="shared" si="0"/>
        <v xml:space="preserve"> </v>
      </c>
    </row>
    <row r="29" spans="1:27" ht="15" customHeight="1">
      <c r="A29" s="1798"/>
      <c r="B29" s="1802"/>
      <c r="C29" s="1762"/>
      <c r="D29" s="1762"/>
      <c r="E29" s="1762"/>
      <c r="F29" s="1762"/>
      <c r="G29" s="1762"/>
      <c r="H29" s="1803"/>
      <c r="I29" s="1802"/>
      <c r="J29" s="1762"/>
      <c r="K29" s="1803"/>
      <c r="L29" s="1802"/>
      <c r="M29" s="1762"/>
      <c r="N29" s="1762"/>
      <c r="O29" s="1762"/>
      <c r="P29" s="1803"/>
      <c r="Q29" s="1798"/>
      <c r="R29" s="1802"/>
      <c r="S29" s="1803"/>
      <c r="T29" s="1078" t="s">
        <v>1622</v>
      </c>
      <c r="U29" s="1781" t="s">
        <v>1623</v>
      </c>
      <c r="V29" s="1757"/>
      <c r="W29" s="1757"/>
      <c r="X29" s="1757"/>
      <c r="Y29" s="1755"/>
      <c r="Z29" s="1075"/>
      <c r="AA29" s="1075" t="str">
        <f t="shared" si="0"/>
        <v xml:space="preserve"> </v>
      </c>
    </row>
    <row r="30" spans="1:27" ht="15" customHeight="1">
      <c r="A30" s="1798"/>
      <c r="B30" s="1802"/>
      <c r="C30" s="1762"/>
      <c r="D30" s="1762"/>
      <c r="E30" s="1762"/>
      <c r="F30" s="1762"/>
      <c r="G30" s="1762"/>
      <c r="H30" s="1803"/>
      <c r="I30" s="1802"/>
      <c r="J30" s="1762"/>
      <c r="K30" s="1803"/>
      <c r="L30" s="1802"/>
      <c r="M30" s="1762"/>
      <c r="N30" s="1762"/>
      <c r="O30" s="1762"/>
      <c r="P30" s="1803"/>
      <c r="Q30" s="1798"/>
      <c r="R30" s="1802"/>
      <c r="S30" s="1803"/>
      <c r="T30" s="1078" t="s">
        <v>1624</v>
      </c>
      <c r="U30" s="1781" t="s">
        <v>1625</v>
      </c>
      <c r="V30" s="1757"/>
      <c r="W30" s="1757"/>
      <c r="X30" s="1757"/>
      <c r="Y30" s="1755"/>
      <c r="Z30" s="1075"/>
      <c r="AA30" s="1075" t="str">
        <f t="shared" si="0"/>
        <v xml:space="preserve"> </v>
      </c>
    </row>
    <row r="31" spans="1:27" ht="15" customHeight="1">
      <c r="A31" s="1799"/>
      <c r="B31" s="1804"/>
      <c r="C31" s="1809"/>
      <c r="D31" s="1809"/>
      <c r="E31" s="1809"/>
      <c r="F31" s="1809"/>
      <c r="G31" s="1809"/>
      <c r="H31" s="1805"/>
      <c r="I31" s="1804"/>
      <c r="J31" s="1809"/>
      <c r="K31" s="1805"/>
      <c r="L31" s="1804"/>
      <c r="M31" s="1809"/>
      <c r="N31" s="1809"/>
      <c r="O31" s="1809"/>
      <c r="P31" s="1805"/>
      <c r="Q31" s="1799"/>
      <c r="R31" s="1804"/>
      <c r="S31" s="1805"/>
      <c r="T31" s="1078" t="s">
        <v>1626</v>
      </c>
      <c r="U31" s="1782" t="s">
        <v>1627</v>
      </c>
      <c r="V31" s="1757"/>
      <c r="W31" s="1757"/>
      <c r="X31" s="1757"/>
      <c r="Y31" s="1755"/>
      <c r="Z31" s="1075"/>
      <c r="AA31" s="1075" t="str">
        <f t="shared" si="0"/>
        <v xml:space="preserve"> </v>
      </c>
    </row>
    <row r="32" spans="1:27" ht="13.5" customHeight="1">
      <c r="A32" s="1810" t="s">
        <v>1628</v>
      </c>
      <c r="B32" s="1808"/>
      <c r="C32" s="1808"/>
      <c r="D32" s="1808"/>
      <c r="E32" s="1808"/>
      <c r="F32" s="1808"/>
      <c r="G32" s="1808"/>
      <c r="H32" s="1801"/>
      <c r="I32" s="1811" t="s">
        <v>1629</v>
      </c>
      <c r="J32" s="1808"/>
      <c r="K32" s="1808"/>
      <c r="L32" s="1808"/>
      <c r="M32" s="1808"/>
      <c r="N32" s="1808"/>
      <c r="O32" s="1808"/>
      <c r="P32" s="1801"/>
      <c r="Q32" s="1810" t="s">
        <v>1630</v>
      </c>
      <c r="R32" s="1808"/>
      <c r="S32" s="1801"/>
      <c r="T32" s="1810" t="s">
        <v>1631</v>
      </c>
      <c r="U32" s="1808"/>
      <c r="V32" s="1808"/>
      <c r="W32" s="1808"/>
      <c r="X32" s="1808"/>
      <c r="Y32" s="1801"/>
      <c r="Z32" s="1075"/>
      <c r="AA32" s="1075"/>
    </row>
    <row r="33" spans="1:27" ht="13.5" customHeight="1">
      <c r="A33" s="1804"/>
      <c r="B33" s="1809"/>
      <c r="C33" s="1809"/>
      <c r="D33" s="1809"/>
      <c r="E33" s="1809"/>
      <c r="F33" s="1809"/>
      <c r="G33" s="1809"/>
      <c r="H33" s="1805"/>
      <c r="I33" s="1812"/>
      <c r="J33" s="1809"/>
      <c r="K33" s="1805"/>
      <c r="L33" s="1813" t="s">
        <v>1632</v>
      </c>
      <c r="M33" s="1809"/>
      <c r="N33" s="1809"/>
      <c r="O33" s="1809"/>
      <c r="P33" s="1805"/>
      <c r="Q33" s="1804"/>
      <c r="R33" s="1809"/>
      <c r="S33" s="1805"/>
      <c r="T33" s="1804"/>
      <c r="U33" s="1809"/>
      <c r="V33" s="1809"/>
      <c r="W33" s="1809"/>
      <c r="X33" s="1809"/>
      <c r="Y33" s="1805"/>
      <c r="Z33" s="1075"/>
      <c r="AA33" s="1075" t="str">
        <f t="shared" si="0"/>
        <v xml:space="preserve"> </v>
      </c>
    </row>
    <row r="34" spans="1:27" ht="25.5" customHeight="1">
      <c r="A34" s="1806"/>
      <c r="B34" s="1807"/>
      <c r="C34" s="1808"/>
      <c r="D34" s="1808"/>
      <c r="E34" s="1808"/>
      <c r="F34" s="1808"/>
      <c r="G34" s="1808"/>
      <c r="H34" s="1801"/>
      <c r="I34" s="1807"/>
      <c r="J34" s="1808"/>
      <c r="K34" s="1801"/>
      <c r="L34" s="1807"/>
      <c r="M34" s="1808"/>
      <c r="N34" s="1808"/>
      <c r="O34" s="1808"/>
      <c r="P34" s="1801"/>
      <c r="Q34" s="1806"/>
      <c r="R34" s="1807"/>
      <c r="S34" s="1801"/>
      <c r="T34" s="1080" t="s">
        <v>1633</v>
      </c>
      <c r="U34" s="1782" t="s">
        <v>1634</v>
      </c>
      <c r="V34" s="1757"/>
      <c r="W34" s="1757"/>
      <c r="X34" s="1757"/>
      <c r="Y34" s="1755"/>
      <c r="Z34" s="1075"/>
      <c r="AA34" s="1075" t="str">
        <f t="shared" si="0"/>
        <v xml:space="preserve"> </v>
      </c>
    </row>
    <row r="35" spans="1:27" ht="25.5" customHeight="1">
      <c r="A35" s="1798"/>
      <c r="B35" s="1802"/>
      <c r="C35" s="1762"/>
      <c r="D35" s="1762"/>
      <c r="E35" s="1762"/>
      <c r="F35" s="1762"/>
      <c r="G35" s="1762"/>
      <c r="H35" s="1803"/>
      <c r="I35" s="1802"/>
      <c r="J35" s="1762"/>
      <c r="K35" s="1803"/>
      <c r="L35" s="1802"/>
      <c r="M35" s="1762"/>
      <c r="N35" s="1762"/>
      <c r="O35" s="1762"/>
      <c r="P35" s="1803"/>
      <c r="Q35" s="1799"/>
      <c r="R35" s="1804"/>
      <c r="S35" s="1805"/>
      <c r="T35" s="1080" t="s">
        <v>1635</v>
      </c>
      <c r="U35" s="1782" t="s">
        <v>1636</v>
      </c>
      <c r="V35" s="1757"/>
      <c r="W35" s="1757"/>
      <c r="X35" s="1757"/>
      <c r="Y35" s="1755"/>
      <c r="Z35" s="1075"/>
      <c r="AA35" s="1075" t="str">
        <f t="shared" si="0"/>
        <v xml:space="preserve"> </v>
      </c>
    </row>
    <row r="36" spans="1:27" ht="15" customHeight="1">
      <c r="A36" s="1798"/>
      <c r="B36" s="1802"/>
      <c r="C36" s="1762"/>
      <c r="D36" s="1762"/>
      <c r="E36" s="1762"/>
      <c r="F36" s="1762"/>
      <c r="G36" s="1762"/>
      <c r="H36" s="1803"/>
      <c r="I36" s="1802"/>
      <c r="J36" s="1762"/>
      <c r="K36" s="1803"/>
      <c r="L36" s="1802"/>
      <c r="M36" s="1762"/>
      <c r="N36" s="1762"/>
      <c r="O36" s="1762"/>
      <c r="P36" s="1803"/>
      <c r="Q36" s="1823" t="s">
        <v>1637</v>
      </c>
      <c r="R36" s="1826" t="s">
        <v>1638</v>
      </c>
      <c r="S36" s="1827"/>
      <c r="T36" s="1081" t="s">
        <v>1639</v>
      </c>
      <c r="U36" s="1818" t="s">
        <v>1640</v>
      </c>
      <c r="V36" s="1819"/>
      <c r="W36" s="1819"/>
      <c r="X36" s="1819"/>
      <c r="Y36" s="1820"/>
      <c r="Z36" s="1075"/>
      <c r="AA36" s="1075" t="str">
        <f t="shared" si="0"/>
        <v>3.6.11 Peristiwa Risiko terkait keuangan</v>
      </c>
    </row>
    <row r="37" spans="1:27" ht="15" customHeight="1">
      <c r="A37" s="1798"/>
      <c r="B37" s="1802"/>
      <c r="C37" s="1762"/>
      <c r="D37" s="1762"/>
      <c r="E37" s="1762"/>
      <c r="F37" s="1762"/>
      <c r="G37" s="1762"/>
      <c r="H37" s="1803"/>
      <c r="I37" s="1802"/>
      <c r="J37" s="1762"/>
      <c r="K37" s="1803"/>
      <c r="L37" s="1802"/>
      <c r="M37" s="1762"/>
      <c r="N37" s="1762"/>
      <c r="O37" s="1762"/>
      <c r="P37" s="1803"/>
      <c r="Q37" s="1824"/>
      <c r="R37" s="1828"/>
      <c r="S37" s="1829"/>
      <c r="T37" s="1081" t="s">
        <v>1641</v>
      </c>
      <c r="U37" s="1818" t="s">
        <v>1642</v>
      </c>
      <c r="V37" s="1819"/>
      <c r="W37" s="1819"/>
      <c r="X37" s="1819"/>
      <c r="Y37" s="1820"/>
      <c r="Z37" s="1075"/>
      <c r="AA37" s="1075" t="str">
        <f t="shared" si="0"/>
        <v xml:space="preserve"> </v>
      </c>
    </row>
    <row r="38" spans="1:27" ht="15" customHeight="1">
      <c r="A38" s="1798"/>
      <c r="B38" s="1802"/>
      <c r="C38" s="1762"/>
      <c r="D38" s="1762"/>
      <c r="E38" s="1762"/>
      <c r="F38" s="1762"/>
      <c r="G38" s="1762"/>
      <c r="H38" s="1803"/>
      <c r="I38" s="1802"/>
      <c r="J38" s="1762"/>
      <c r="K38" s="1803"/>
      <c r="L38" s="1802"/>
      <c r="M38" s="1762"/>
      <c r="N38" s="1762"/>
      <c r="O38" s="1762"/>
      <c r="P38" s="1803"/>
      <c r="Q38" s="1824"/>
      <c r="R38" s="1828"/>
      <c r="S38" s="1829"/>
      <c r="T38" s="1081" t="s">
        <v>1643</v>
      </c>
      <c r="U38" s="1818" t="s">
        <v>1644</v>
      </c>
      <c r="V38" s="1819"/>
      <c r="W38" s="1819"/>
      <c r="X38" s="1819"/>
      <c r="Y38" s="1820"/>
      <c r="Z38" s="1075"/>
      <c r="AA38" s="1075" t="str">
        <f t="shared" si="0"/>
        <v xml:space="preserve"> </v>
      </c>
    </row>
    <row r="39" spans="1:27" ht="25.5" customHeight="1">
      <c r="A39" s="1798"/>
      <c r="B39" s="1802"/>
      <c r="C39" s="1762"/>
      <c r="D39" s="1762"/>
      <c r="E39" s="1762"/>
      <c r="F39" s="1762"/>
      <c r="G39" s="1762"/>
      <c r="H39" s="1803"/>
      <c r="I39" s="1802"/>
      <c r="J39" s="1762"/>
      <c r="K39" s="1803"/>
      <c r="L39" s="1802"/>
      <c r="M39" s="1762"/>
      <c r="N39" s="1762"/>
      <c r="O39" s="1762"/>
      <c r="P39" s="1803"/>
      <c r="Q39" s="1824"/>
      <c r="R39" s="1828"/>
      <c r="S39" s="1829"/>
      <c r="T39" s="1081" t="s">
        <v>1645</v>
      </c>
      <c r="U39" s="1821" t="s">
        <v>1646</v>
      </c>
      <c r="V39" s="1819"/>
      <c r="W39" s="1819"/>
      <c r="X39" s="1819"/>
      <c r="Y39" s="1820"/>
      <c r="Z39" s="1075"/>
      <c r="AA39" s="1075" t="str">
        <f t="shared" si="0"/>
        <v xml:space="preserve"> </v>
      </c>
    </row>
    <row r="40" spans="1:27" ht="25.5" customHeight="1">
      <c r="A40" s="1798"/>
      <c r="B40" s="1802"/>
      <c r="C40" s="1762"/>
      <c r="D40" s="1762"/>
      <c r="E40" s="1762"/>
      <c r="F40" s="1762"/>
      <c r="G40" s="1762"/>
      <c r="H40" s="1803"/>
      <c r="I40" s="1802"/>
      <c r="J40" s="1762"/>
      <c r="K40" s="1803"/>
      <c r="L40" s="1802"/>
      <c r="M40" s="1762"/>
      <c r="N40" s="1762"/>
      <c r="O40" s="1762"/>
      <c r="P40" s="1803"/>
      <c r="Q40" s="1824"/>
      <c r="R40" s="1828"/>
      <c r="S40" s="1829"/>
      <c r="T40" s="1081" t="s">
        <v>1647</v>
      </c>
      <c r="U40" s="1821" t="s">
        <v>1648</v>
      </c>
      <c r="V40" s="1819"/>
      <c r="W40" s="1819"/>
      <c r="X40" s="1819"/>
      <c r="Y40" s="1820"/>
      <c r="Z40" s="1075"/>
      <c r="AA40" s="1075" t="str">
        <f t="shared" si="0"/>
        <v xml:space="preserve"> </v>
      </c>
    </row>
    <row r="41" spans="1:27" ht="15" customHeight="1">
      <c r="A41" s="1798"/>
      <c r="B41" s="1802"/>
      <c r="C41" s="1762"/>
      <c r="D41" s="1762"/>
      <c r="E41" s="1762"/>
      <c r="F41" s="1762"/>
      <c r="G41" s="1762"/>
      <c r="H41" s="1803"/>
      <c r="I41" s="1802"/>
      <c r="J41" s="1762"/>
      <c r="K41" s="1803"/>
      <c r="L41" s="1802"/>
      <c r="M41" s="1762"/>
      <c r="N41" s="1762"/>
      <c r="O41" s="1762"/>
      <c r="P41" s="1803"/>
      <c r="Q41" s="1824"/>
      <c r="R41" s="1828"/>
      <c r="S41" s="1829"/>
      <c r="T41" s="1081" t="s">
        <v>1649</v>
      </c>
      <c r="U41" s="1818" t="s">
        <v>1650</v>
      </c>
      <c r="V41" s="1819"/>
      <c r="W41" s="1819"/>
      <c r="X41" s="1819"/>
      <c r="Y41" s="1820"/>
      <c r="Z41" s="1075"/>
      <c r="AA41" s="1075" t="str">
        <f t="shared" si="0"/>
        <v xml:space="preserve"> </v>
      </c>
    </row>
    <row r="42" spans="1:27" ht="15" customHeight="1">
      <c r="A42" s="1798"/>
      <c r="B42" s="1802"/>
      <c r="C42" s="1762"/>
      <c r="D42" s="1762"/>
      <c r="E42" s="1762"/>
      <c r="F42" s="1762"/>
      <c r="G42" s="1762"/>
      <c r="H42" s="1803"/>
      <c r="I42" s="1802"/>
      <c r="J42" s="1762"/>
      <c r="K42" s="1803"/>
      <c r="L42" s="1802"/>
      <c r="M42" s="1762"/>
      <c r="N42" s="1762"/>
      <c r="O42" s="1762"/>
      <c r="P42" s="1803"/>
      <c r="Q42" s="1824"/>
      <c r="R42" s="1828"/>
      <c r="S42" s="1829"/>
      <c r="T42" s="1081" t="s">
        <v>1651</v>
      </c>
      <c r="U42" s="1818" t="s">
        <v>1652</v>
      </c>
      <c r="V42" s="1819"/>
      <c r="W42" s="1819"/>
      <c r="X42" s="1819"/>
      <c r="Y42" s="1820"/>
      <c r="Z42" s="1075"/>
      <c r="AA42" s="1075" t="str">
        <f t="shared" si="0"/>
        <v xml:space="preserve"> </v>
      </c>
    </row>
    <row r="43" spans="1:27" ht="36.75" customHeight="1">
      <c r="A43" s="1798"/>
      <c r="B43" s="1802"/>
      <c r="C43" s="1762"/>
      <c r="D43" s="1762"/>
      <c r="E43" s="1762"/>
      <c r="F43" s="1762"/>
      <c r="G43" s="1762"/>
      <c r="H43" s="1803"/>
      <c r="I43" s="1802"/>
      <c r="J43" s="1762"/>
      <c r="K43" s="1803"/>
      <c r="L43" s="1802"/>
      <c r="M43" s="1762"/>
      <c r="N43" s="1762"/>
      <c r="O43" s="1762"/>
      <c r="P43" s="1803"/>
      <c r="Q43" s="1825"/>
      <c r="R43" s="1830"/>
      <c r="S43" s="1831"/>
      <c r="T43" s="1081" t="s">
        <v>1653</v>
      </c>
      <c r="U43" s="1821" t="s">
        <v>1654</v>
      </c>
      <c r="V43" s="1819"/>
      <c r="W43" s="1819"/>
      <c r="X43" s="1819"/>
      <c r="Y43" s="1820"/>
      <c r="Z43" s="1075"/>
      <c r="AA43" s="1075" t="str">
        <f t="shared" si="0"/>
        <v xml:space="preserve"> </v>
      </c>
    </row>
    <row r="44" spans="1:27" ht="15" customHeight="1">
      <c r="A44" s="1798"/>
      <c r="B44" s="1802"/>
      <c r="C44" s="1762"/>
      <c r="D44" s="1762"/>
      <c r="E44" s="1762"/>
      <c r="F44" s="1762"/>
      <c r="G44" s="1762"/>
      <c r="H44" s="1803"/>
      <c r="I44" s="1802"/>
      <c r="J44" s="1762"/>
      <c r="K44" s="1803"/>
      <c r="L44" s="1802"/>
      <c r="M44" s="1762"/>
      <c r="N44" s="1762"/>
      <c r="O44" s="1762"/>
      <c r="P44" s="1803"/>
      <c r="Q44" s="1814" t="s">
        <v>1655</v>
      </c>
      <c r="R44" s="1817" t="s">
        <v>1656</v>
      </c>
      <c r="S44" s="1801"/>
      <c r="T44" s="1080" t="s">
        <v>1657</v>
      </c>
      <c r="U44" s="1789" t="s">
        <v>1658</v>
      </c>
      <c r="V44" s="1757"/>
      <c r="W44" s="1757"/>
      <c r="X44" s="1757"/>
      <c r="Y44" s="1755"/>
      <c r="Z44" s="1075"/>
      <c r="AA44" s="1075" t="str">
        <f t="shared" si="0"/>
        <v>3.6.12 Peristiwa Risiko terkait hukum, reputasi, dan kepatuhan</v>
      </c>
    </row>
    <row r="45" spans="1:27" ht="25.5" customHeight="1">
      <c r="A45" s="1798"/>
      <c r="B45" s="1802"/>
      <c r="C45" s="1762"/>
      <c r="D45" s="1762"/>
      <c r="E45" s="1762"/>
      <c r="F45" s="1762"/>
      <c r="G45" s="1762"/>
      <c r="H45" s="1803"/>
      <c r="I45" s="1802"/>
      <c r="J45" s="1762"/>
      <c r="K45" s="1803"/>
      <c r="L45" s="1802"/>
      <c r="M45" s="1762"/>
      <c r="N45" s="1762"/>
      <c r="O45" s="1762"/>
      <c r="P45" s="1803"/>
      <c r="Q45" s="1815"/>
      <c r="R45" s="1802"/>
      <c r="S45" s="1803"/>
      <c r="T45" s="1080" t="s">
        <v>1659</v>
      </c>
      <c r="U45" s="1822" t="s">
        <v>1660</v>
      </c>
      <c r="V45" s="1757"/>
      <c r="W45" s="1757"/>
      <c r="X45" s="1757"/>
      <c r="Y45" s="1755"/>
      <c r="Z45" s="1075"/>
      <c r="AA45" s="1075" t="str">
        <f t="shared" si="0"/>
        <v xml:space="preserve"> </v>
      </c>
    </row>
    <row r="46" spans="1:27" ht="15" customHeight="1">
      <c r="A46" s="1798"/>
      <c r="B46" s="1802"/>
      <c r="C46" s="1762"/>
      <c r="D46" s="1762"/>
      <c r="E46" s="1762"/>
      <c r="F46" s="1762"/>
      <c r="G46" s="1762"/>
      <c r="H46" s="1803"/>
      <c r="I46" s="1802"/>
      <c r="J46" s="1762"/>
      <c r="K46" s="1803"/>
      <c r="L46" s="1802"/>
      <c r="M46" s="1762"/>
      <c r="N46" s="1762"/>
      <c r="O46" s="1762"/>
      <c r="P46" s="1803"/>
      <c r="Q46" s="1815"/>
      <c r="R46" s="1802"/>
      <c r="S46" s="1803"/>
      <c r="T46" s="1080" t="s">
        <v>1661</v>
      </c>
      <c r="U46" s="1789" t="s">
        <v>1662</v>
      </c>
      <c r="V46" s="1757"/>
      <c r="W46" s="1757"/>
      <c r="X46" s="1757"/>
      <c r="Y46" s="1755"/>
      <c r="Z46" s="1075"/>
      <c r="AA46" s="1075" t="str">
        <f t="shared" si="0"/>
        <v xml:space="preserve"> </v>
      </c>
    </row>
    <row r="47" spans="1:27" ht="15" customHeight="1">
      <c r="A47" s="1798"/>
      <c r="B47" s="1802"/>
      <c r="C47" s="1762"/>
      <c r="D47" s="1762"/>
      <c r="E47" s="1762"/>
      <c r="F47" s="1762"/>
      <c r="G47" s="1762"/>
      <c r="H47" s="1803"/>
      <c r="I47" s="1802"/>
      <c r="J47" s="1762"/>
      <c r="K47" s="1803"/>
      <c r="L47" s="1802"/>
      <c r="M47" s="1762"/>
      <c r="N47" s="1762"/>
      <c r="O47" s="1762"/>
      <c r="P47" s="1803"/>
      <c r="Q47" s="1816"/>
      <c r="R47" s="1804"/>
      <c r="S47" s="1805"/>
      <c r="T47" s="1080" t="s">
        <v>1663</v>
      </c>
      <c r="U47" s="1782" t="s">
        <v>1664</v>
      </c>
      <c r="V47" s="1757"/>
      <c r="W47" s="1757"/>
      <c r="X47" s="1757"/>
      <c r="Y47" s="1755"/>
      <c r="Z47" s="1075"/>
      <c r="AA47" s="1075" t="str">
        <f t="shared" si="0"/>
        <v xml:space="preserve"> </v>
      </c>
    </row>
    <row r="48" spans="1:27" ht="15" customHeight="1">
      <c r="A48" s="1798"/>
      <c r="B48" s="1802"/>
      <c r="C48" s="1762"/>
      <c r="D48" s="1762"/>
      <c r="E48" s="1762"/>
      <c r="F48" s="1762"/>
      <c r="G48" s="1762"/>
      <c r="H48" s="1803"/>
      <c r="I48" s="1802"/>
      <c r="J48" s="1762"/>
      <c r="K48" s="1803"/>
      <c r="L48" s="1802"/>
      <c r="M48" s="1762"/>
      <c r="N48" s="1762"/>
      <c r="O48" s="1762"/>
      <c r="P48" s="1803"/>
      <c r="Q48" s="1814" t="s">
        <v>1665</v>
      </c>
      <c r="R48" s="1817" t="s">
        <v>1666</v>
      </c>
      <c r="S48" s="1801"/>
      <c r="T48" s="1080" t="s">
        <v>1667</v>
      </c>
      <c r="U48" s="1789" t="s">
        <v>1668</v>
      </c>
      <c r="V48" s="1757"/>
      <c r="W48" s="1757"/>
      <c r="X48" s="1757"/>
      <c r="Y48" s="1755"/>
      <c r="Z48" s="1075"/>
      <c r="AA48" s="1075" t="str">
        <f t="shared" si="0"/>
        <v>3.6.13 Peristiwa Risiko terkait proyek</v>
      </c>
    </row>
    <row r="49" spans="1:27" ht="36" customHeight="1">
      <c r="A49" s="1798"/>
      <c r="B49" s="1802"/>
      <c r="C49" s="1762"/>
      <c r="D49" s="1762"/>
      <c r="E49" s="1762"/>
      <c r="F49" s="1762"/>
      <c r="G49" s="1762"/>
      <c r="H49" s="1803"/>
      <c r="I49" s="1802"/>
      <c r="J49" s="1762"/>
      <c r="K49" s="1803"/>
      <c r="L49" s="1802"/>
      <c r="M49" s="1762"/>
      <c r="N49" s="1762"/>
      <c r="O49" s="1762"/>
      <c r="P49" s="1803"/>
      <c r="Q49" s="1815"/>
      <c r="R49" s="1802"/>
      <c r="S49" s="1803"/>
      <c r="T49" s="1080" t="s">
        <v>1669</v>
      </c>
      <c r="U49" s="1782" t="s">
        <v>1670</v>
      </c>
      <c r="V49" s="1757"/>
      <c r="W49" s="1757"/>
      <c r="X49" s="1757"/>
      <c r="Y49" s="1755"/>
      <c r="Z49" s="1075"/>
      <c r="AA49" s="1075" t="str">
        <f t="shared" si="0"/>
        <v xml:space="preserve"> </v>
      </c>
    </row>
    <row r="50" spans="1:27" ht="15" customHeight="1">
      <c r="A50" s="1798"/>
      <c r="B50" s="1802"/>
      <c r="C50" s="1762"/>
      <c r="D50" s="1762"/>
      <c r="E50" s="1762"/>
      <c r="F50" s="1762"/>
      <c r="G50" s="1762"/>
      <c r="H50" s="1803"/>
      <c r="I50" s="1802"/>
      <c r="J50" s="1762"/>
      <c r="K50" s="1803"/>
      <c r="L50" s="1802"/>
      <c r="M50" s="1762"/>
      <c r="N50" s="1762"/>
      <c r="O50" s="1762"/>
      <c r="P50" s="1803"/>
      <c r="Q50" s="1815"/>
      <c r="R50" s="1802"/>
      <c r="S50" s="1803"/>
      <c r="T50" s="1080" t="s">
        <v>1671</v>
      </c>
      <c r="U50" s="1789" t="s">
        <v>1672</v>
      </c>
      <c r="V50" s="1757"/>
      <c r="W50" s="1757"/>
      <c r="X50" s="1757"/>
      <c r="Y50" s="1755"/>
      <c r="Z50" s="1075"/>
      <c r="AA50" s="1075" t="str">
        <f t="shared" si="0"/>
        <v xml:space="preserve"> </v>
      </c>
    </row>
    <row r="51" spans="1:27" ht="15" customHeight="1">
      <c r="A51" s="1799"/>
      <c r="B51" s="1804"/>
      <c r="C51" s="1809"/>
      <c r="D51" s="1809"/>
      <c r="E51" s="1809"/>
      <c r="F51" s="1809"/>
      <c r="G51" s="1809"/>
      <c r="H51" s="1805"/>
      <c r="I51" s="1804"/>
      <c r="J51" s="1809"/>
      <c r="K51" s="1805"/>
      <c r="L51" s="1804"/>
      <c r="M51" s="1809"/>
      <c r="N51" s="1809"/>
      <c r="O51" s="1809"/>
      <c r="P51" s="1805"/>
      <c r="Q51" s="1816"/>
      <c r="R51" s="1804"/>
      <c r="S51" s="1805"/>
      <c r="T51" s="1080" t="s">
        <v>1673</v>
      </c>
      <c r="U51" s="1789" t="s">
        <v>1674</v>
      </c>
      <c r="V51" s="1757"/>
      <c r="W51" s="1757"/>
      <c r="X51" s="1757"/>
      <c r="Y51" s="1755"/>
      <c r="Z51" s="1075"/>
      <c r="AA51" s="1075" t="str">
        <f t="shared" si="0"/>
        <v xml:space="preserve"> </v>
      </c>
    </row>
    <row r="52" spans="1:27" ht="13.5" customHeight="1">
      <c r="A52" s="1810" t="s">
        <v>1675</v>
      </c>
      <c r="B52" s="1808"/>
      <c r="C52" s="1808"/>
      <c r="D52" s="1808"/>
      <c r="E52" s="1808"/>
      <c r="F52" s="1808"/>
      <c r="G52" s="1808"/>
      <c r="H52" s="1801"/>
      <c r="I52" s="1811" t="s">
        <v>1676</v>
      </c>
      <c r="J52" s="1808"/>
      <c r="K52" s="1808"/>
      <c r="L52" s="1808"/>
      <c r="M52" s="1808"/>
      <c r="N52" s="1808"/>
      <c r="O52" s="1808"/>
      <c r="P52" s="1801"/>
      <c r="Q52" s="1810" t="s">
        <v>1677</v>
      </c>
      <c r="R52" s="1808"/>
      <c r="S52" s="1801"/>
      <c r="T52" s="1810" t="s">
        <v>1678</v>
      </c>
      <c r="U52" s="1808"/>
      <c r="V52" s="1808"/>
      <c r="W52" s="1808"/>
      <c r="X52" s="1808"/>
      <c r="Y52" s="1801"/>
      <c r="Z52" s="1075"/>
      <c r="AA52" s="1075"/>
    </row>
    <row r="53" spans="1:27" ht="13.5" customHeight="1">
      <c r="A53" s="1804"/>
      <c r="B53" s="1809"/>
      <c r="C53" s="1809"/>
      <c r="D53" s="1809"/>
      <c r="E53" s="1809"/>
      <c r="F53" s="1809"/>
      <c r="G53" s="1809"/>
      <c r="H53" s="1805"/>
      <c r="I53" s="1812"/>
      <c r="J53" s="1809"/>
      <c r="K53" s="1805"/>
      <c r="L53" s="1813" t="s">
        <v>1679</v>
      </c>
      <c r="M53" s="1809"/>
      <c r="N53" s="1809"/>
      <c r="O53" s="1809"/>
      <c r="P53" s="1805"/>
      <c r="Q53" s="1804"/>
      <c r="R53" s="1809"/>
      <c r="S53" s="1805"/>
      <c r="T53" s="1804"/>
      <c r="U53" s="1809"/>
      <c r="V53" s="1809"/>
      <c r="W53" s="1809"/>
      <c r="X53" s="1809"/>
      <c r="Y53" s="1805"/>
      <c r="Z53" s="1075"/>
      <c r="AA53" s="1075" t="str">
        <f t="shared" si="0"/>
        <v xml:space="preserve"> </v>
      </c>
    </row>
    <row r="54" spans="1:27" ht="15" customHeight="1">
      <c r="A54" s="1806"/>
      <c r="B54" s="1807"/>
      <c r="C54" s="1808"/>
      <c r="D54" s="1808"/>
      <c r="E54" s="1808"/>
      <c r="F54" s="1808"/>
      <c r="G54" s="1808"/>
      <c r="H54" s="1801"/>
      <c r="I54" s="1807"/>
      <c r="J54" s="1808"/>
      <c r="K54" s="1801"/>
      <c r="L54" s="1807"/>
      <c r="M54" s="1808"/>
      <c r="N54" s="1808"/>
      <c r="O54" s="1808"/>
      <c r="P54" s="1801"/>
      <c r="Q54" s="1797" t="s">
        <v>1680</v>
      </c>
      <c r="R54" s="1807" t="s">
        <v>1681</v>
      </c>
      <c r="S54" s="1801"/>
      <c r="T54" s="1078" t="s">
        <v>1682</v>
      </c>
      <c r="U54" s="1781" t="s">
        <v>1683</v>
      </c>
      <c r="V54" s="1757"/>
      <c r="W54" s="1757"/>
      <c r="X54" s="1757"/>
      <c r="Y54" s="1755"/>
      <c r="Z54" s="1075"/>
      <c r="AA54" s="1075" t="str">
        <f t="shared" si="0"/>
        <v>3.6.14 Peristiwa Risiko terkait
teknologi informasi dan keamanan siber</v>
      </c>
    </row>
    <row r="55" spans="1:27" ht="22.5" customHeight="1">
      <c r="A55" s="1798"/>
      <c r="B55" s="1802"/>
      <c r="C55" s="1762"/>
      <c r="D55" s="1762"/>
      <c r="E55" s="1762"/>
      <c r="F55" s="1762"/>
      <c r="G55" s="1762"/>
      <c r="H55" s="1803"/>
      <c r="I55" s="1802"/>
      <c r="J55" s="1762"/>
      <c r="K55" s="1803"/>
      <c r="L55" s="1802"/>
      <c r="M55" s="1762"/>
      <c r="N55" s="1762"/>
      <c r="O55" s="1762"/>
      <c r="P55" s="1803"/>
      <c r="Q55" s="1799"/>
      <c r="R55" s="1804"/>
      <c r="S55" s="1805"/>
      <c r="T55" s="1078" t="s">
        <v>1684</v>
      </c>
      <c r="U55" s="1781" t="s">
        <v>1685</v>
      </c>
      <c r="V55" s="1757"/>
      <c r="W55" s="1757"/>
      <c r="X55" s="1757"/>
      <c r="Y55" s="1755"/>
      <c r="Z55" s="1075"/>
      <c r="AA55" s="1075" t="str">
        <f t="shared" si="0"/>
        <v xml:space="preserve"> </v>
      </c>
    </row>
    <row r="56" spans="1:27" ht="15" customHeight="1">
      <c r="A56" s="1798"/>
      <c r="B56" s="1802"/>
      <c r="C56" s="1762"/>
      <c r="D56" s="1762"/>
      <c r="E56" s="1762"/>
      <c r="F56" s="1762"/>
      <c r="G56" s="1762"/>
      <c r="H56" s="1803"/>
      <c r="I56" s="1802"/>
      <c r="J56" s="1762"/>
      <c r="K56" s="1803"/>
      <c r="L56" s="1802"/>
      <c r="M56" s="1762"/>
      <c r="N56" s="1762"/>
      <c r="O56" s="1762"/>
      <c r="P56" s="1803"/>
      <c r="Q56" s="1797" t="s">
        <v>1686</v>
      </c>
      <c r="R56" s="1800" t="s">
        <v>1687</v>
      </c>
      <c r="S56" s="1801"/>
      <c r="T56" s="1078" t="s">
        <v>1688</v>
      </c>
      <c r="U56" s="1781" t="s">
        <v>1689</v>
      </c>
      <c r="V56" s="1757"/>
      <c r="W56" s="1757"/>
      <c r="X56" s="1757"/>
      <c r="Y56" s="1755"/>
      <c r="Z56" s="1075"/>
      <c r="AA56" s="1075" t="str">
        <f t="shared" si="0"/>
        <v>3.6.15 Peristiwa Risiko terkait sosial dan lingkungan</v>
      </c>
    </row>
    <row r="57" spans="1:27" ht="15" customHeight="1">
      <c r="A57" s="1798"/>
      <c r="B57" s="1802"/>
      <c r="C57" s="1762"/>
      <c r="D57" s="1762"/>
      <c r="E57" s="1762"/>
      <c r="F57" s="1762"/>
      <c r="G57" s="1762"/>
      <c r="H57" s="1803"/>
      <c r="I57" s="1802"/>
      <c r="J57" s="1762"/>
      <c r="K57" s="1803"/>
      <c r="L57" s="1802"/>
      <c r="M57" s="1762"/>
      <c r="N57" s="1762"/>
      <c r="O57" s="1762"/>
      <c r="P57" s="1803"/>
      <c r="Q57" s="1798"/>
      <c r="R57" s="1802"/>
      <c r="S57" s="1803"/>
      <c r="T57" s="1078" t="s">
        <v>1690</v>
      </c>
      <c r="U57" s="1781" t="s">
        <v>1691</v>
      </c>
      <c r="V57" s="1757"/>
      <c r="W57" s="1757"/>
      <c r="X57" s="1757"/>
      <c r="Y57" s="1755"/>
      <c r="Z57" s="1075"/>
      <c r="AA57" s="1075" t="str">
        <f t="shared" si="0"/>
        <v xml:space="preserve"> </v>
      </c>
    </row>
    <row r="58" spans="1:27" ht="15" customHeight="1">
      <c r="A58" s="1798"/>
      <c r="B58" s="1802"/>
      <c r="C58" s="1762"/>
      <c r="D58" s="1762"/>
      <c r="E58" s="1762"/>
      <c r="F58" s="1762"/>
      <c r="G58" s="1762"/>
      <c r="H58" s="1803"/>
      <c r="I58" s="1802"/>
      <c r="J58" s="1762"/>
      <c r="K58" s="1803"/>
      <c r="L58" s="1802"/>
      <c r="M58" s="1762"/>
      <c r="N58" s="1762"/>
      <c r="O58" s="1762"/>
      <c r="P58" s="1803"/>
      <c r="Q58" s="1799"/>
      <c r="R58" s="1804"/>
      <c r="S58" s="1805"/>
      <c r="T58" s="1078" t="s">
        <v>1692</v>
      </c>
      <c r="U58" s="1781" t="s">
        <v>1693</v>
      </c>
      <c r="V58" s="1757"/>
      <c r="W58" s="1757"/>
      <c r="X58" s="1757"/>
      <c r="Y58" s="1755"/>
      <c r="Z58" s="1075"/>
      <c r="AA58" s="1075" t="str">
        <f t="shared" si="0"/>
        <v xml:space="preserve"> </v>
      </c>
    </row>
    <row r="59" spans="1:27" ht="15" customHeight="1">
      <c r="A59" s="1798"/>
      <c r="B59" s="1802"/>
      <c r="C59" s="1762"/>
      <c r="D59" s="1762"/>
      <c r="E59" s="1762"/>
      <c r="F59" s="1762"/>
      <c r="G59" s="1762"/>
      <c r="H59" s="1803"/>
      <c r="I59" s="1802"/>
      <c r="J59" s="1762"/>
      <c r="K59" s="1803"/>
      <c r="L59" s="1802"/>
      <c r="M59" s="1762"/>
      <c r="N59" s="1762"/>
      <c r="O59" s="1762"/>
      <c r="P59" s="1803"/>
      <c r="Q59" s="1797" t="s">
        <v>1694</v>
      </c>
      <c r="R59" s="1800" t="s">
        <v>1695</v>
      </c>
      <c r="S59" s="1801"/>
      <c r="T59" s="1078" t="s">
        <v>1696</v>
      </c>
      <c r="U59" s="1781" t="s">
        <v>1697</v>
      </c>
      <c r="V59" s="1757"/>
      <c r="W59" s="1757"/>
      <c r="X59" s="1757"/>
      <c r="Y59" s="1755"/>
      <c r="Z59" s="1075"/>
      <c r="AA59" s="1075" t="str">
        <f t="shared" si="0"/>
        <v>3.6.16 Peristiwa Risiko terkait operasional</v>
      </c>
    </row>
    <row r="60" spans="1:27" ht="24.75" customHeight="1">
      <c r="A60" s="1798"/>
      <c r="B60" s="1802"/>
      <c r="C60" s="1762"/>
      <c r="D60" s="1762"/>
      <c r="E60" s="1762"/>
      <c r="F60" s="1762"/>
      <c r="G60" s="1762"/>
      <c r="H60" s="1803"/>
      <c r="I60" s="1802"/>
      <c r="J60" s="1762"/>
      <c r="K60" s="1803"/>
      <c r="L60" s="1802"/>
      <c r="M60" s="1762"/>
      <c r="N60" s="1762"/>
      <c r="O60" s="1762"/>
      <c r="P60" s="1803"/>
      <c r="Q60" s="1798"/>
      <c r="R60" s="1802"/>
      <c r="S60" s="1803"/>
      <c r="T60" s="1078" t="s">
        <v>1698</v>
      </c>
      <c r="U60" s="1782" t="s">
        <v>1699</v>
      </c>
      <c r="V60" s="1757"/>
      <c r="W60" s="1757"/>
      <c r="X60" s="1757"/>
      <c r="Y60" s="1755"/>
      <c r="Z60" s="1075"/>
      <c r="AA60" s="1075" t="str">
        <f t="shared" si="0"/>
        <v xml:space="preserve"> </v>
      </c>
    </row>
    <row r="61" spans="1:27" ht="15" customHeight="1">
      <c r="A61" s="1798"/>
      <c r="B61" s="1802"/>
      <c r="C61" s="1762"/>
      <c r="D61" s="1762"/>
      <c r="E61" s="1762"/>
      <c r="F61" s="1762"/>
      <c r="G61" s="1762"/>
      <c r="H61" s="1803"/>
      <c r="I61" s="1802"/>
      <c r="J61" s="1762"/>
      <c r="K61" s="1803"/>
      <c r="L61" s="1802"/>
      <c r="M61" s="1762"/>
      <c r="N61" s="1762"/>
      <c r="O61" s="1762"/>
      <c r="P61" s="1803"/>
      <c r="Q61" s="1798"/>
      <c r="R61" s="1802"/>
      <c r="S61" s="1803"/>
      <c r="T61" s="1078" t="s">
        <v>1700</v>
      </c>
      <c r="U61" s="1781" t="s">
        <v>1701</v>
      </c>
      <c r="V61" s="1757"/>
      <c r="W61" s="1757"/>
      <c r="X61" s="1757"/>
      <c r="Y61" s="1755"/>
      <c r="Z61" s="1075"/>
      <c r="AA61" s="1075" t="str">
        <f t="shared" si="0"/>
        <v xml:space="preserve"> </v>
      </c>
    </row>
    <row r="62" spans="1:27" ht="15" customHeight="1">
      <c r="A62" s="1798"/>
      <c r="B62" s="1802"/>
      <c r="C62" s="1762"/>
      <c r="D62" s="1762"/>
      <c r="E62" s="1762"/>
      <c r="F62" s="1762"/>
      <c r="G62" s="1762"/>
      <c r="H62" s="1803"/>
      <c r="I62" s="1802"/>
      <c r="J62" s="1762"/>
      <c r="K62" s="1803"/>
      <c r="L62" s="1802"/>
      <c r="M62" s="1762"/>
      <c r="N62" s="1762"/>
      <c r="O62" s="1762"/>
      <c r="P62" s="1803"/>
      <c r="Q62" s="1798"/>
      <c r="R62" s="1802"/>
      <c r="S62" s="1803"/>
      <c r="T62" s="1078" t="s">
        <v>1702</v>
      </c>
      <c r="U62" s="1781" t="s">
        <v>1703</v>
      </c>
      <c r="V62" s="1757"/>
      <c r="W62" s="1757"/>
      <c r="X62" s="1757"/>
      <c r="Y62" s="1755"/>
      <c r="Z62" s="1075"/>
      <c r="AA62" s="1075" t="str">
        <f t="shared" si="0"/>
        <v xml:space="preserve"> </v>
      </c>
    </row>
    <row r="63" spans="1:27" ht="15" customHeight="1">
      <c r="A63" s="1798"/>
      <c r="B63" s="1802"/>
      <c r="C63" s="1762"/>
      <c r="D63" s="1762"/>
      <c r="E63" s="1762"/>
      <c r="F63" s="1762"/>
      <c r="G63" s="1762"/>
      <c r="H63" s="1803"/>
      <c r="I63" s="1802"/>
      <c r="J63" s="1762"/>
      <c r="K63" s="1803"/>
      <c r="L63" s="1802"/>
      <c r="M63" s="1762"/>
      <c r="N63" s="1762"/>
      <c r="O63" s="1762"/>
      <c r="P63" s="1803"/>
      <c r="Q63" s="1798"/>
      <c r="R63" s="1802"/>
      <c r="S63" s="1803"/>
      <c r="T63" s="1078" t="s">
        <v>1704</v>
      </c>
      <c r="U63" s="1781" t="s">
        <v>1705</v>
      </c>
      <c r="V63" s="1757"/>
      <c r="W63" s="1757"/>
      <c r="X63" s="1757"/>
      <c r="Y63" s="1755"/>
      <c r="Z63" s="1075"/>
      <c r="AA63" s="1075" t="str">
        <f t="shared" si="0"/>
        <v xml:space="preserve"> </v>
      </c>
    </row>
    <row r="64" spans="1:27" ht="15" customHeight="1">
      <c r="A64" s="1798"/>
      <c r="B64" s="1802"/>
      <c r="C64" s="1762"/>
      <c r="D64" s="1762"/>
      <c r="E64" s="1762"/>
      <c r="F64" s="1762"/>
      <c r="G64" s="1762"/>
      <c r="H64" s="1803"/>
      <c r="I64" s="1802"/>
      <c r="J64" s="1762"/>
      <c r="K64" s="1803"/>
      <c r="L64" s="1802"/>
      <c r="M64" s="1762"/>
      <c r="N64" s="1762"/>
      <c r="O64" s="1762"/>
      <c r="P64" s="1803"/>
      <c r="Q64" s="1798"/>
      <c r="R64" s="1802"/>
      <c r="S64" s="1803"/>
      <c r="T64" s="1078" t="s">
        <v>1706</v>
      </c>
      <c r="U64" s="1781" t="s">
        <v>1707</v>
      </c>
      <c r="V64" s="1757"/>
      <c r="W64" s="1757"/>
      <c r="X64" s="1757"/>
      <c r="Y64" s="1755"/>
      <c r="Z64" s="1075"/>
      <c r="AA64" s="1075" t="str">
        <f t="shared" si="0"/>
        <v xml:space="preserve"> </v>
      </c>
    </row>
    <row r="65" spans="1:27" ht="15" customHeight="1">
      <c r="A65" s="1798"/>
      <c r="B65" s="1802"/>
      <c r="C65" s="1762"/>
      <c r="D65" s="1762"/>
      <c r="E65" s="1762"/>
      <c r="F65" s="1762"/>
      <c r="G65" s="1762"/>
      <c r="H65" s="1803"/>
      <c r="I65" s="1802"/>
      <c r="J65" s="1762"/>
      <c r="K65" s="1803"/>
      <c r="L65" s="1802"/>
      <c r="M65" s="1762"/>
      <c r="N65" s="1762"/>
      <c r="O65" s="1762"/>
      <c r="P65" s="1803"/>
      <c r="Q65" s="1798"/>
      <c r="R65" s="1802"/>
      <c r="S65" s="1803"/>
      <c r="T65" s="1078" t="s">
        <v>1708</v>
      </c>
      <c r="U65" s="1781" t="s">
        <v>1709</v>
      </c>
      <c r="V65" s="1757"/>
      <c r="W65" s="1757"/>
      <c r="X65" s="1757"/>
      <c r="Y65" s="1755"/>
      <c r="Z65" s="1075"/>
      <c r="AA65" s="1075" t="str">
        <f t="shared" si="0"/>
        <v xml:space="preserve"> </v>
      </c>
    </row>
    <row r="66" spans="1:27" ht="15" customHeight="1">
      <c r="A66" s="1798"/>
      <c r="B66" s="1802"/>
      <c r="C66" s="1762"/>
      <c r="D66" s="1762"/>
      <c r="E66" s="1762"/>
      <c r="F66" s="1762"/>
      <c r="G66" s="1762"/>
      <c r="H66" s="1803"/>
      <c r="I66" s="1802"/>
      <c r="J66" s="1762"/>
      <c r="K66" s="1803"/>
      <c r="L66" s="1802"/>
      <c r="M66" s="1762"/>
      <c r="N66" s="1762"/>
      <c r="O66" s="1762"/>
      <c r="P66" s="1803"/>
      <c r="Q66" s="1798"/>
      <c r="R66" s="1802"/>
      <c r="S66" s="1803"/>
      <c r="T66" s="1078" t="s">
        <v>1710</v>
      </c>
      <c r="U66" s="1781" t="s">
        <v>1711</v>
      </c>
      <c r="V66" s="1757"/>
      <c r="W66" s="1757"/>
      <c r="X66" s="1757"/>
      <c r="Y66" s="1755"/>
      <c r="Z66" s="1075"/>
      <c r="AA66" s="1075" t="str">
        <f t="shared" si="0"/>
        <v xml:space="preserve"> </v>
      </c>
    </row>
    <row r="67" spans="1:27" ht="15" customHeight="1">
      <c r="A67" s="1799"/>
      <c r="B67" s="1804"/>
      <c r="C67" s="1809"/>
      <c r="D67" s="1809"/>
      <c r="E67" s="1809"/>
      <c r="F67" s="1809"/>
      <c r="G67" s="1809"/>
      <c r="H67" s="1805"/>
      <c r="I67" s="1804"/>
      <c r="J67" s="1809"/>
      <c r="K67" s="1805"/>
      <c r="L67" s="1804"/>
      <c r="M67" s="1809"/>
      <c r="N67" s="1809"/>
      <c r="O67" s="1809"/>
      <c r="P67" s="1805"/>
      <c r="Q67" s="1799"/>
      <c r="R67" s="1804"/>
      <c r="S67" s="1805"/>
      <c r="T67" s="1078" t="s">
        <v>1712</v>
      </c>
      <c r="U67" s="1781" t="s">
        <v>1713</v>
      </c>
      <c r="V67" s="1757"/>
      <c r="W67" s="1757"/>
      <c r="X67" s="1757"/>
      <c r="Y67" s="1755"/>
      <c r="Z67" s="1075"/>
      <c r="AA67" s="1075" t="str">
        <f t="shared" si="0"/>
        <v xml:space="preserve"> </v>
      </c>
    </row>
    <row r="68" spans="1:27" ht="99" customHeight="1">
      <c r="A68" s="1796" t="s">
        <v>1714</v>
      </c>
      <c r="B68" s="1762"/>
      <c r="C68" s="1762"/>
      <c r="D68" s="1762"/>
      <c r="E68" s="1762"/>
      <c r="F68" s="1762"/>
      <c r="G68" s="1762"/>
      <c r="H68" s="1762"/>
      <c r="I68" s="1762"/>
      <c r="J68" s="1762"/>
      <c r="K68" s="1762"/>
      <c r="L68" s="1762"/>
      <c r="M68" s="1762"/>
      <c r="N68" s="1762"/>
      <c r="O68" s="1762"/>
      <c r="P68" s="1762"/>
      <c r="Q68" s="1762"/>
      <c r="R68" s="1762"/>
      <c r="S68" s="1762"/>
      <c r="T68" s="1762"/>
      <c r="U68" s="1762"/>
      <c r="V68" s="1762"/>
      <c r="W68" s="1762"/>
      <c r="X68" s="1762"/>
      <c r="Y68" s="1762"/>
      <c r="Z68" s="1762"/>
      <c r="AA68" s="1075"/>
    </row>
    <row r="69" spans="1:27" ht="16.5" customHeight="1">
      <c r="A69" s="1786" t="s">
        <v>1715</v>
      </c>
      <c r="B69" s="1755"/>
      <c r="C69" s="1787" t="s">
        <v>1716</v>
      </c>
      <c r="D69" s="1757"/>
      <c r="E69" s="1757"/>
      <c r="F69" s="1757"/>
      <c r="G69" s="1757"/>
      <c r="H69" s="1757"/>
      <c r="I69" s="1757"/>
      <c r="J69" s="1757"/>
      <c r="K69" s="1757"/>
      <c r="L69" s="1757"/>
      <c r="M69" s="1757"/>
      <c r="N69" s="1755"/>
      <c r="O69" s="1786" t="s">
        <v>1717</v>
      </c>
      <c r="P69" s="1757"/>
      <c r="Q69" s="1757"/>
      <c r="R69" s="1757"/>
      <c r="S69" s="1757"/>
      <c r="T69" s="1757"/>
      <c r="U69" s="1757"/>
      <c r="V69" s="1757"/>
      <c r="W69" s="1757"/>
      <c r="X69" s="1757"/>
      <c r="Y69" s="1755"/>
      <c r="Z69" s="1073"/>
      <c r="AA69" s="1075"/>
    </row>
    <row r="70" spans="1:27" ht="25.5" customHeight="1">
      <c r="A70" s="1794">
        <v>1</v>
      </c>
      <c r="B70" s="1755"/>
      <c r="C70" s="1789" t="s">
        <v>1718</v>
      </c>
      <c r="D70" s="1757"/>
      <c r="E70" s="1757"/>
      <c r="F70" s="1757"/>
      <c r="G70" s="1757"/>
      <c r="H70" s="1757"/>
      <c r="I70" s="1757"/>
      <c r="J70" s="1757"/>
      <c r="K70" s="1757"/>
      <c r="L70" s="1757"/>
      <c r="M70" s="1757"/>
      <c r="N70" s="1755"/>
      <c r="O70" s="1782" t="s">
        <v>1719</v>
      </c>
      <c r="P70" s="1757"/>
      <c r="Q70" s="1757"/>
      <c r="R70" s="1757"/>
      <c r="S70" s="1757"/>
      <c r="T70" s="1757"/>
      <c r="U70" s="1757"/>
      <c r="V70" s="1757"/>
      <c r="W70" s="1757"/>
      <c r="X70" s="1757"/>
      <c r="Y70" s="1755"/>
      <c r="Z70" s="1077"/>
      <c r="AA70" s="1075"/>
    </row>
    <row r="71" spans="1:27" ht="25.5" customHeight="1">
      <c r="A71" s="1795">
        <v>2</v>
      </c>
      <c r="B71" s="1755"/>
      <c r="C71" s="1782" t="s">
        <v>1720</v>
      </c>
      <c r="D71" s="1757"/>
      <c r="E71" s="1757"/>
      <c r="F71" s="1757"/>
      <c r="G71" s="1757"/>
      <c r="H71" s="1757"/>
      <c r="I71" s="1757"/>
      <c r="J71" s="1757"/>
      <c r="K71" s="1757"/>
      <c r="L71" s="1757"/>
      <c r="M71" s="1757"/>
      <c r="N71" s="1755"/>
      <c r="O71" s="1789" t="s">
        <v>1721</v>
      </c>
      <c r="P71" s="1757"/>
      <c r="Q71" s="1757"/>
      <c r="R71" s="1757"/>
      <c r="S71" s="1757"/>
      <c r="T71" s="1757"/>
      <c r="U71" s="1757"/>
      <c r="V71" s="1757"/>
      <c r="W71" s="1757"/>
      <c r="X71" s="1757"/>
      <c r="Y71" s="1755"/>
      <c r="Z71" s="1077"/>
      <c r="AA71" s="1075"/>
    </row>
    <row r="72" spans="1:27" ht="25.5" customHeight="1">
      <c r="A72" s="1793">
        <v>3</v>
      </c>
      <c r="B72" s="1755"/>
      <c r="C72" s="1789" t="s">
        <v>1722</v>
      </c>
      <c r="D72" s="1757"/>
      <c r="E72" s="1757"/>
      <c r="F72" s="1757"/>
      <c r="G72" s="1757"/>
      <c r="H72" s="1757"/>
      <c r="I72" s="1757"/>
      <c r="J72" s="1757"/>
      <c r="K72" s="1757"/>
      <c r="L72" s="1757"/>
      <c r="M72" s="1757"/>
      <c r="N72" s="1755"/>
      <c r="O72" s="1782" t="s">
        <v>1723</v>
      </c>
      <c r="P72" s="1757"/>
      <c r="Q72" s="1757"/>
      <c r="R72" s="1757"/>
      <c r="S72" s="1757"/>
      <c r="T72" s="1757"/>
      <c r="U72" s="1757"/>
      <c r="V72" s="1757"/>
      <c r="W72" s="1757"/>
      <c r="X72" s="1757"/>
      <c r="Y72" s="1755"/>
      <c r="Z72" s="1077"/>
      <c r="AA72" s="1075"/>
    </row>
    <row r="73" spans="1:27" ht="37.5" customHeight="1">
      <c r="A73" s="1793">
        <v>4</v>
      </c>
      <c r="B73" s="1755"/>
      <c r="C73" s="1789" t="s">
        <v>1724</v>
      </c>
      <c r="D73" s="1757"/>
      <c r="E73" s="1757"/>
      <c r="F73" s="1757"/>
      <c r="G73" s="1757"/>
      <c r="H73" s="1757"/>
      <c r="I73" s="1757"/>
      <c r="J73" s="1757"/>
      <c r="K73" s="1757"/>
      <c r="L73" s="1757"/>
      <c r="M73" s="1757"/>
      <c r="N73" s="1755"/>
      <c r="O73" s="1782" t="s">
        <v>1725</v>
      </c>
      <c r="P73" s="1757"/>
      <c r="Q73" s="1757"/>
      <c r="R73" s="1757"/>
      <c r="S73" s="1757"/>
      <c r="T73" s="1757"/>
      <c r="U73" s="1757"/>
      <c r="V73" s="1757"/>
      <c r="W73" s="1757"/>
      <c r="X73" s="1757"/>
      <c r="Y73" s="1755"/>
      <c r="Z73" s="1077"/>
      <c r="AA73" s="1075"/>
    </row>
    <row r="74" spans="1:27" ht="36.75" customHeight="1">
      <c r="A74" s="1793">
        <v>5</v>
      </c>
      <c r="B74" s="1755"/>
      <c r="C74" s="1789" t="s">
        <v>1726</v>
      </c>
      <c r="D74" s="1757"/>
      <c r="E74" s="1757"/>
      <c r="F74" s="1757"/>
      <c r="G74" s="1757"/>
      <c r="H74" s="1757"/>
      <c r="I74" s="1757"/>
      <c r="J74" s="1757"/>
      <c r="K74" s="1757"/>
      <c r="L74" s="1757"/>
      <c r="M74" s="1757"/>
      <c r="N74" s="1755"/>
      <c r="O74" s="1782" t="s">
        <v>1727</v>
      </c>
      <c r="P74" s="1757"/>
      <c r="Q74" s="1757"/>
      <c r="R74" s="1757"/>
      <c r="S74" s="1757"/>
      <c r="T74" s="1757"/>
      <c r="U74" s="1757"/>
      <c r="V74" s="1757"/>
      <c r="W74" s="1757"/>
      <c r="X74" s="1757"/>
      <c r="Y74" s="1755"/>
      <c r="Z74" s="1077"/>
      <c r="AA74" s="1075"/>
    </row>
    <row r="75" spans="1:27" ht="25.5" customHeight="1">
      <c r="A75" s="1793">
        <v>6</v>
      </c>
      <c r="B75" s="1755"/>
      <c r="C75" s="1789" t="s">
        <v>1728</v>
      </c>
      <c r="D75" s="1757"/>
      <c r="E75" s="1757"/>
      <c r="F75" s="1757"/>
      <c r="G75" s="1757"/>
      <c r="H75" s="1757"/>
      <c r="I75" s="1757"/>
      <c r="J75" s="1757"/>
      <c r="K75" s="1757"/>
      <c r="L75" s="1757"/>
      <c r="M75" s="1757"/>
      <c r="N75" s="1755"/>
      <c r="O75" s="1782" t="s">
        <v>1729</v>
      </c>
      <c r="P75" s="1757"/>
      <c r="Q75" s="1757"/>
      <c r="R75" s="1757"/>
      <c r="S75" s="1757"/>
      <c r="T75" s="1757"/>
      <c r="U75" s="1757"/>
      <c r="V75" s="1757"/>
      <c r="W75" s="1757"/>
      <c r="X75" s="1757"/>
      <c r="Y75" s="1755"/>
      <c r="Z75" s="1077"/>
      <c r="AA75" s="1075"/>
    </row>
    <row r="76" spans="1:27" ht="48" customHeight="1">
      <c r="A76" s="1792">
        <v>7</v>
      </c>
      <c r="B76" s="1755"/>
      <c r="C76" s="1789" t="s">
        <v>1730</v>
      </c>
      <c r="D76" s="1757"/>
      <c r="E76" s="1757"/>
      <c r="F76" s="1757"/>
      <c r="G76" s="1757"/>
      <c r="H76" s="1757"/>
      <c r="I76" s="1757"/>
      <c r="J76" s="1757"/>
      <c r="K76" s="1757"/>
      <c r="L76" s="1757"/>
      <c r="M76" s="1757"/>
      <c r="N76" s="1755"/>
      <c r="O76" s="1782" t="s">
        <v>1731</v>
      </c>
      <c r="P76" s="1757"/>
      <c r="Q76" s="1757"/>
      <c r="R76" s="1757"/>
      <c r="S76" s="1757"/>
      <c r="T76" s="1757"/>
      <c r="U76" s="1757"/>
      <c r="V76" s="1757"/>
      <c r="W76" s="1757"/>
      <c r="X76" s="1757"/>
      <c r="Y76" s="1755"/>
      <c r="Z76" s="1079"/>
      <c r="AA76" s="1075"/>
    </row>
    <row r="77" spans="1:27" ht="50.25" customHeight="1">
      <c r="A77" s="1793">
        <v>8</v>
      </c>
      <c r="B77" s="1755"/>
      <c r="C77" s="1782" t="s">
        <v>1732</v>
      </c>
      <c r="D77" s="1757"/>
      <c r="E77" s="1757"/>
      <c r="F77" s="1757"/>
      <c r="G77" s="1757"/>
      <c r="H77" s="1757"/>
      <c r="I77" s="1757"/>
      <c r="J77" s="1757"/>
      <c r="K77" s="1757"/>
      <c r="L77" s="1757"/>
      <c r="M77" s="1757"/>
      <c r="N77" s="1755"/>
      <c r="O77" s="1782" t="s">
        <v>1733</v>
      </c>
      <c r="P77" s="1757"/>
      <c r="Q77" s="1757"/>
      <c r="R77" s="1757"/>
      <c r="S77" s="1757"/>
      <c r="T77" s="1757"/>
      <c r="U77" s="1757"/>
      <c r="V77" s="1757"/>
      <c r="W77" s="1757"/>
      <c r="X77" s="1757"/>
      <c r="Y77" s="1755"/>
      <c r="Z77" s="1079"/>
      <c r="AA77" s="1075"/>
    </row>
    <row r="78" spans="1:27" ht="15.75" customHeight="1">
      <c r="A78" s="1786" t="s">
        <v>1734</v>
      </c>
      <c r="B78" s="1755"/>
      <c r="C78" s="1787" t="s">
        <v>1735</v>
      </c>
      <c r="D78" s="1757"/>
      <c r="E78" s="1757"/>
      <c r="F78" s="1757"/>
      <c r="G78" s="1757"/>
      <c r="H78" s="1757"/>
      <c r="I78" s="1757"/>
      <c r="J78" s="1757"/>
      <c r="K78" s="1757"/>
      <c r="L78" s="1757"/>
      <c r="M78" s="1757"/>
      <c r="N78" s="1755"/>
      <c r="O78" s="1786" t="s">
        <v>1736</v>
      </c>
      <c r="P78" s="1757"/>
      <c r="Q78" s="1757"/>
      <c r="R78" s="1757"/>
      <c r="S78" s="1757"/>
      <c r="T78" s="1757"/>
      <c r="U78" s="1757"/>
      <c r="V78" s="1757"/>
      <c r="W78" s="1757"/>
      <c r="X78" s="1757"/>
      <c r="Y78" s="1755"/>
      <c r="Z78" s="1075"/>
      <c r="AA78" s="1075"/>
    </row>
    <row r="79" spans="1:27" ht="49.5" customHeight="1">
      <c r="A79" s="1782"/>
      <c r="B79" s="1755"/>
      <c r="C79" s="1782"/>
      <c r="D79" s="1757"/>
      <c r="E79" s="1757"/>
      <c r="F79" s="1757"/>
      <c r="G79" s="1757"/>
      <c r="H79" s="1757"/>
      <c r="I79" s="1757"/>
      <c r="J79" s="1757"/>
      <c r="K79" s="1757"/>
      <c r="L79" s="1757"/>
      <c r="M79" s="1757"/>
      <c r="N79" s="1755"/>
      <c r="O79" s="1782" t="s">
        <v>1737</v>
      </c>
      <c r="P79" s="1757"/>
      <c r="Q79" s="1757"/>
      <c r="R79" s="1757"/>
      <c r="S79" s="1757"/>
      <c r="T79" s="1757"/>
      <c r="U79" s="1757"/>
      <c r="V79" s="1757"/>
      <c r="W79" s="1757"/>
      <c r="X79" s="1757"/>
      <c r="Y79" s="1755"/>
      <c r="Z79" s="1075"/>
      <c r="AA79" s="1075"/>
    </row>
    <row r="80" spans="1:27" ht="48.75" customHeight="1">
      <c r="A80" s="1791">
        <v>9</v>
      </c>
      <c r="B80" s="1755"/>
      <c r="C80" s="1789" t="s">
        <v>1738</v>
      </c>
      <c r="D80" s="1757"/>
      <c r="E80" s="1757"/>
      <c r="F80" s="1757"/>
      <c r="G80" s="1757"/>
      <c r="H80" s="1757"/>
      <c r="I80" s="1757"/>
      <c r="J80" s="1757"/>
      <c r="K80" s="1757"/>
      <c r="L80" s="1757"/>
      <c r="M80" s="1757"/>
      <c r="N80" s="1755"/>
      <c r="O80" s="1782" t="s">
        <v>1739</v>
      </c>
      <c r="P80" s="1757"/>
      <c r="Q80" s="1757"/>
      <c r="R80" s="1757"/>
      <c r="S80" s="1757"/>
      <c r="T80" s="1757"/>
      <c r="U80" s="1757"/>
      <c r="V80" s="1757"/>
      <c r="W80" s="1757"/>
      <c r="X80" s="1757"/>
      <c r="Y80" s="1755"/>
      <c r="Z80" s="1075"/>
      <c r="AA80" s="1075"/>
    </row>
    <row r="81" spans="1:27" ht="36.75" customHeight="1">
      <c r="A81" s="1788">
        <v>10</v>
      </c>
      <c r="B81" s="1755"/>
      <c r="C81" s="1789" t="s">
        <v>1740</v>
      </c>
      <c r="D81" s="1757"/>
      <c r="E81" s="1757"/>
      <c r="F81" s="1757"/>
      <c r="G81" s="1757"/>
      <c r="H81" s="1757"/>
      <c r="I81" s="1757"/>
      <c r="J81" s="1757"/>
      <c r="K81" s="1757"/>
      <c r="L81" s="1757"/>
      <c r="M81" s="1757"/>
      <c r="N81" s="1755"/>
      <c r="O81" s="1782" t="s">
        <v>1741</v>
      </c>
      <c r="P81" s="1757"/>
      <c r="Q81" s="1757"/>
      <c r="R81" s="1757"/>
      <c r="S81" s="1757"/>
      <c r="T81" s="1757"/>
      <c r="U81" s="1757"/>
      <c r="V81" s="1757"/>
      <c r="W81" s="1757"/>
      <c r="X81" s="1757"/>
      <c r="Y81" s="1755"/>
      <c r="Z81" s="1075"/>
      <c r="AA81" s="1075"/>
    </row>
    <row r="82" spans="1:27" ht="36.75" customHeight="1">
      <c r="A82" s="1790">
        <v>11</v>
      </c>
      <c r="B82" s="1755"/>
      <c r="C82" s="1789" t="s">
        <v>1742</v>
      </c>
      <c r="D82" s="1757"/>
      <c r="E82" s="1757"/>
      <c r="F82" s="1757"/>
      <c r="G82" s="1757"/>
      <c r="H82" s="1757"/>
      <c r="I82" s="1757"/>
      <c r="J82" s="1757"/>
      <c r="K82" s="1757"/>
      <c r="L82" s="1757"/>
      <c r="M82" s="1757"/>
      <c r="N82" s="1755"/>
      <c r="O82" s="1782" t="s">
        <v>1743</v>
      </c>
      <c r="P82" s="1757"/>
      <c r="Q82" s="1757"/>
      <c r="R82" s="1757"/>
      <c r="S82" s="1757"/>
      <c r="T82" s="1757"/>
      <c r="U82" s="1757"/>
      <c r="V82" s="1757"/>
      <c r="W82" s="1757"/>
      <c r="X82" s="1757"/>
      <c r="Y82" s="1755"/>
      <c r="Z82" s="1075"/>
      <c r="AA82" s="1075"/>
    </row>
    <row r="83" spans="1:27" ht="48.75" customHeight="1">
      <c r="A83" s="1790">
        <v>12</v>
      </c>
      <c r="B83" s="1755"/>
      <c r="C83" s="1789" t="s">
        <v>1744</v>
      </c>
      <c r="D83" s="1757"/>
      <c r="E83" s="1757"/>
      <c r="F83" s="1757"/>
      <c r="G83" s="1757"/>
      <c r="H83" s="1757"/>
      <c r="I83" s="1757"/>
      <c r="J83" s="1757"/>
      <c r="K83" s="1757"/>
      <c r="L83" s="1757"/>
      <c r="M83" s="1757"/>
      <c r="N83" s="1755"/>
      <c r="O83" s="1782" t="s">
        <v>1745</v>
      </c>
      <c r="P83" s="1757"/>
      <c r="Q83" s="1757"/>
      <c r="R83" s="1757"/>
      <c r="S83" s="1757"/>
      <c r="T83" s="1757"/>
      <c r="U83" s="1757"/>
      <c r="V83" s="1757"/>
      <c r="W83" s="1757"/>
      <c r="X83" s="1757"/>
      <c r="Y83" s="1755"/>
      <c r="Z83" s="1075"/>
      <c r="AA83" s="1075"/>
    </row>
    <row r="84" spans="1:27" ht="61.5" customHeight="1">
      <c r="A84" s="1788">
        <v>13</v>
      </c>
      <c r="B84" s="1755"/>
      <c r="C84" s="1789" t="s">
        <v>1746</v>
      </c>
      <c r="D84" s="1757"/>
      <c r="E84" s="1757"/>
      <c r="F84" s="1757"/>
      <c r="G84" s="1757"/>
      <c r="H84" s="1757"/>
      <c r="I84" s="1757"/>
      <c r="J84" s="1757"/>
      <c r="K84" s="1757"/>
      <c r="L84" s="1757"/>
      <c r="M84" s="1757"/>
      <c r="N84" s="1755"/>
      <c r="O84" s="1782" t="s">
        <v>1747</v>
      </c>
      <c r="P84" s="1757"/>
      <c r="Q84" s="1757"/>
      <c r="R84" s="1757"/>
      <c r="S84" s="1757"/>
      <c r="T84" s="1757"/>
      <c r="U84" s="1757"/>
      <c r="V84" s="1757"/>
      <c r="W84" s="1757"/>
      <c r="X84" s="1757"/>
      <c r="Y84" s="1755"/>
      <c r="Z84" s="1075"/>
      <c r="AA84" s="1075"/>
    </row>
    <row r="85" spans="1:27" ht="48.75" customHeight="1">
      <c r="A85" s="1788">
        <v>14</v>
      </c>
      <c r="B85" s="1755"/>
      <c r="C85" s="1789" t="s">
        <v>1748</v>
      </c>
      <c r="D85" s="1757"/>
      <c r="E85" s="1757"/>
      <c r="F85" s="1757"/>
      <c r="G85" s="1757"/>
      <c r="H85" s="1757"/>
      <c r="I85" s="1757"/>
      <c r="J85" s="1757"/>
      <c r="K85" s="1757"/>
      <c r="L85" s="1757"/>
      <c r="M85" s="1757"/>
      <c r="N85" s="1755"/>
      <c r="O85" s="1782" t="s">
        <v>1749</v>
      </c>
      <c r="P85" s="1757"/>
      <c r="Q85" s="1757"/>
      <c r="R85" s="1757"/>
      <c r="S85" s="1757"/>
      <c r="T85" s="1757"/>
      <c r="U85" s="1757"/>
      <c r="V85" s="1757"/>
      <c r="W85" s="1757"/>
      <c r="X85" s="1757"/>
      <c r="Y85" s="1755"/>
      <c r="Z85" s="1075"/>
      <c r="AA85" s="1075"/>
    </row>
    <row r="86" spans="1:27" ht="15.75" customHeight="1">
      <c r="A86" s="1786" t="s">
        <v>1750</v>
      </c>
      <c r="B86" s="1755"/>
      <c r="C86" s="1787" t="s">
        <v>1751</v>
      </c>
      <c r="D86" s="1757"/>
      <c r="E86" s="1757"/>
      <c r="F86" s="1757"/>
      <c r="G86" s="1757"/>
      <c r="H86" s="1757"/>
      <c r="I86" s="1757"/>
      <c r="J86" s="1757"/>
      <c r="K86" s="1757"/>
      <c r="L86" s="1757"/>
      <c r="M86" s="1757"/>
      <c r="N86" s="1755"/>
      <c r="O86" s="1786" t="s">
        <v>1752</v>
      </c>
      <c r="P86" s="1757"/>
      <c r="Q86" s="1757"/>
      <c r="R86" s="1757"/>
      <c r="S86" s="1757"/>
      <c r="T86" s="1757"/>
      <c r="U86" s="1757"/>
      <c r="V86" s="1757"/>
      <c r="W86" s="1757"/>
      <c r="X86" s="1757"/>
      <c r="Y86" s="1755"/>
      <c r="Z86" s="1075"/>
      <c r="AA86" s="1075"/>
    </row>
    <row r="87" spans="1:27" ht="36.75" customHeight="1">
      <c r="A87" s="1780">
        <v>15</v>
      </c>
      <c r="B87" s="1755"/>
      <c r="C87" s="1781" t="s">
        <v>1753</v>
      </c>
      <c r="D87" s="1757"/>
      <c r="E87" s="1757"/>
      <c r="F87" s="1757"/>
      <c r="G87" s="1757"/>
      <c r="H87" s="1757"/>
      <c r="I87" s="1757"/>
      <c r="J87" s="1757"/>
      <c r="K87" s="1757"/>
      <c r="L87" s="1757"/>
      <c r="M87" s="1757"/>
      <c r="N87" s="1755"/>
      <c r="O87" s="1782" t="s">
        <v>1754</v>
      </c>
      <c r="P87" s="1757"/>
      <c r="Q87" s="1757"/>
      <c r="R87" s="1757"/>
      <c r="S87" s="1757"/>
      <c r="T87" s="1757"/>
      <c r="U87" s="1757"/>
      <c r="V87" s="1757"/>
      <c r="W87" s="1757"/>
      <c r="X87" s="1757"/>
      <c r="Y87" s="1755"/>
      <c r="Z87" s="1075"/>
      <c r="AA87" s="1075"/>
    </row>
    <row r="88" spans="1:27" ht="37.5" customHeight="1">
      <c r="A88" s="1780">
        <v>16</v>
      </c>
      <c r="B88" s="1755"/>
      <c r="C88" s="1781" t="s">
        <v>1755</v>
      </c>
      <c r="D88" s="1757"/>
      <c r="E88" s="1757"/>
      <c r="F88" s="1757"/>
      <c r="G88" s="1757"/>
      <c r="H88" s="1757"/>
      <c r="I88" s="1757"/>
      <c r="J88" s="1757"/>
      <c r="K88" s="1757"/>
      <c r="L88" s="1757"/>
      <c r="M88" s="1757"/>
      <c r="N88" s="1755"/>
      <c r="O88" s="1782" t="s">
        <v>1756</v>
      </c>
      <c r="P88" s="1757"/>
      <c r="Q88" s="1757"/>
      <c r="R88" s="1757"/>
      <c r="S88" s="1757"/>
      <c r="T88" s="1757"/>
      <c r="U88" s="1757"/>
      <c r="V88" s="1757"/>
      <c r="W88" s="1757"/>
      <c r="X88" s="1757"/>
      <c r="Y88" s="1755"/>
      <c r="Z88" s="1075"/>
      <c r="AA88" s="1075"/>
    </row>
    <row r="89" spans="1:27" ht="37.5" customHeight="1">
      <c r="A89" s="1082"/>
      <c r="B89" s="1082"/>
      <c r="C89" s="1083"/>
      <c r="D89" s="1083"/>
      <c r="E89" s="1083"/>
      <c r="F89" s="1083"/>
      <c r="G89" s="1083"/>
      <c r="H89" s="1083"/>
      <c r="I89" s="1083"/>
      <c r="J89" s="1083"/>
      <c r="K89" s="1083"/>
      <c r="L89" s="1083"/>
      <c r="M89" s="1083"/>
      <c r="N89" s="1083"/>
      <c r="O89" s="1079"/>
      <c r="P89" s="1079"/>
      <c r="Q89" s="1079"/>
      <c r="R89" s="1079"/>
      <c r="S89" s="1079"/>
      <c r="T89" s="1079"/>
      <c r="U89" s="1079"/>
      <c r="V89" s="1079"/>
      <c r="W89" s="1079"/>
      <c r="X89" s="1079"/>
      <c r="Y89" s="1079"/>
      <c r="Z89" s="1075"/>
      <c r="AA89" s="1075"/>
    </row>
    <row r="90" spans="1:27" ht="33" customHeight="1">
      <c r="A90" s="1783" t="s">
        <v>1757</v>
      </c>
      <c r="B90" s="1762"/>
      <c r="C90" s="1762"/>
      <c r="D90" s="1762"/>
      <c r="E90" s="1762"/>
      <c r="F90" s="1762"/>
      <c r="G90" s="1762"/>
      <c r="H90" s="1762"/>
      <c r="I90" s="1762"/>
      <c r="J90" s="1762"/>
      <c r="K90" s="1762"/>
      <c r="L90" s="1762"/>
      <c r="M90" s="1762"/>
      <c r="N90" s="1762"/>
      <c r="O90" s="1762"/>
      <c r="P90" s="1762"/>
      <c r="Q90" s="1762"/>
      <c r="R90" s="1762"/>
      <c r="S90" s="1762"/>
      <c r="T90" s="1762"/>
      <c r="U90" s="1762"/>
      <c r="V90" s="1762"/>
      <c r="W90" s="1762"/>
      <c r="X90" s="1762"/>
      <c r="Y90" s="1762"/>
      <c r="Z90" s="1762"/>
      <c r="AA90" s="1084"/>
    </row>
    <row r="91" spans="1:27" ht="27" customHeight="1">
      <c r="A91" s="1784" t="s">
        <v>1758</v>
      </c>
      <c r="B91" s="1755"/>
      <c r="C91" s="1785" t="s">
        <v>1759</v>
      </c>
      <c r="D91" s="1757"/>
      <c r="E91" s="1757"/>
      <c r="F91" s="1757"/>
      <c r="G91" s="1757"/>
      <c r="H91" s="1757"/>
      <c r="I91" s="1755"/>
      <c r="J91" s="1784" t="s">
        <v>1760</v>
      </c>
      <c r="K91" s="1757"/>
      <c r="L91" s="1757"/>
      <c r="M91" s="1757"/>
      <c r="N91" s="1757"/>
      <c r="O91" s="1757"/>
      <c r="P91" s="1757"/>
      <c r="Q91" s="1757"/>
      <c r="R91" s="1755"/>
      <c r="S91" s="1785" t="s">
        <v>1761</v>
      </c>
      <c r="T91" s="1757"/>
      <c r="U91" s="1757"/>
      <c r="V91" s="1757"/>
      <c r="W91" s="1757"/>
      <c r="X91" s="1757"/>
      <c r="Y91" s="1755"/>
      <c r="Z91" s="1085"/>
      <c r="AA91" s="1084"/>
    </row>
    <row r="92" spans="1:27" ht="63.75" customHeight="1">
      <c r="A92" s="1766">
        <v>1</v>
      </c>
      <c r="B92" s="1755"/>
      <c r="C92" s="1756" t="s">
        <v>1762</v>
      </c>
      <c r="D92" s="1757"/>
      <c r="E92" s="1757"/>
      <c r="F92" s="1757"/>
      <c r="G92" s="1757"/>
      <c r="H92" s="1757"/>
      <c r="I92" s="1755"/>
      <c r="J92" s="1756" t="s">
        <v>1763</v>
      </c>
      <c r="K92" s="1757"/>
      <c r="L92" s="1757"/>
      <c r="M92" s="1757"/>
      <c r="N92" s="1757"/>
      <c r="O92" s="1757"/>
      <c r="P92" s="1757"/>
      <c r="Q92" s="1757"/>
      <c r="R92" s="1755"/>
      <c r="S92" s="1758" t="s">
        <v>1764</v>
      </c>
      <c r="T92" s="1757"/>
      <c r="U92" s="1757"/>
      <c r="V92" s="1757"/>
      <c r="W92" s="1757"/>
      <c r="X92" s="1757"/>
      <c r="Y92" s="1755"/>
      <c r="Z92" s="1086"/>
      <c r="AA92" s="1084"/>
    </row>
    <row r="93" spans="1:27" ht="78" customHeight="1">
      <c r="A93" s="1766">
        <v>2</v>
      </c>
      <c r="B93" s="1755"/>
      <c r="C93" s="1756" t="s">
        <v>1765</v>
      </c>
      <c r="D93" s="1757"/>
      <c r="E93" s="1757"/>
      <c r="F93" s="1757"/>
      <c r="G93" s="1757"/>
      <c r="H93" s="1757"/>
      <c r="I93" s="1755"/>
      <c r="J93" s="1758" t="s">
        <v>1766</v>
      </c>
      <c r="K93" s="1757"/>
      <c r="L93" s="1757"/>
      <c r="M93" s="1757"/>
      <c r="N93" s="1757"/>
      <c r="O93" s="1757"/>
      <c r="P93" s="1757"/>
      <c r="Q93" s="1757"/>
      <c r="R93" s="1755"/>
      <c r="S93" s="1758" t="s">
        <v>1767</v>
      </c>
      <c r="T93" s="1757"/>
      <c r="U93" s="1757"/>
      <c r="V93" s="1757"/>
      <c r="W93" s="1757"/>
      <c r="X93" s="1757"/>
      <c r="Y93" s="1755"/>
      <c r="Z93" s="1086"/>
      <c r="AA93" s="1084"/>
    </row>
    <row r="94" spans="1:27" ht="63.75" customHeight="1">
      <c r="A94" s="1766">
        <v>3</v>
      </c>
      <c r="B94" s="1755"/>
      <c r="C94" s="1756" t="s">
        <v>1768</v>
      </c>
      <c r="D94" s="1757"/>
      <c r="E94" s="1757"/>
      <c r="F94" s="1757"/>
      <c r="G94" s="1757"/>
      <c r="H94" s="1757"/>
      <c r="I94" s="1755"/>
      <c r="J94" s="1756" t="s">
        <v>1769</v>
      </c>
      <c r="K94" s="1757"/>
      <c r="L94" s="1757"/>
      <c r="M94" s="1757"/>
      <c r="N94" s="1757"/>
      <c r="O94" s="1757"/>
      <c r="P94" s="1757"/>
      <c r="Q94" s="1757"/>
      <c r="R94" s="1755"/>
      <c r="S94" s="1758" t="s">
        <v>1770</v>
      </c>
      <c r="T94" s="1757"/>
      <c r="U94" s="1757"/>
      <c r="V94" s="1757"/>
      <c r="W94" s="1757"/>
      <c r="X94" s="1757"/>
      <c r="Y94" s="1755"/>
      <c r="Z94" s="1086"/>
      <c r="AA94" s="1084"/>
    </row>
    <row r="95" spans="1:27" ht="60.75" customHeight="1">
      <c r="A95" s="1779">
        <v>4</v>
      </c>
      <c r="B95" s="1755"/>
      <c r="C95" s="1756" t="s">
        <v>1771</v>
      </c>
      <c r="D95" s="1757"/>
      <c r="E95" s="1757"/>
      <c r="F95" s="1757"/>
      <c r="G95" s="1757"/>
      <c r="H95" s="1757"/>
      <c r="I95" s="1755"/>
      <c r="J95" s="1758" t="s">
        <v>1772</v>
      </c>
      <c r="K95" s="1757"/>
      <c r="L95" s="1757"/>
      <c r="M95" s="1757"/>
      <c r="N95" s="1757"/>
      <c r="O95" s="1757"/>
      <c r="P95" s="1757"/>
      <c r="Q95" s="1757"/>
      <c r="R95" s="1755"/>
      <c r="S95" s="1758" t="s">
        <v>1773</v>
      </c>
      <c r="T95" s="1757"/>
      <c r="U95" s="1757"/>
      <c r="V95" s="1757"/>
      <c r="W95" s="1757"/>
      <c r="X95" s="1757"/>
      <c r="Y95" s="1755"/>
      <c r="Z95" s="1086"/>
      <c r="AA95" s="1084"/>
    </row>
    <row r="96" spans="1:27" ht="25.5" customHeight="1">
      <c r="A96" s="1766">
        <v>5</v>
      </c>
      <c r="B96" s="1755"/>
      <c r="C96" s="1756" t="s">
        <v>1774</v>
      </c>
      <c r="D96" s="1757"/>
      <c r="E96" s="1757"/>
      <c r="F96" s="1757"/>
      <c r="G96" s="1757"/>
      <c r="H96" s="1757"/>
      <c r="I96" s="1755"/>
      <c r="J96" s="1758" t="s">
        <v>1775</v>
      </c>
      <c r="K96" s="1757"/>
      <c r="L96" s="1757"/>
      <c r="M96" s="1757"/>
      <c r="N96" s="1757"/>
      <c r="O96" s="1757"/>
      <c r="P96" s="1757"/>
      <c r="Q96" s="1757"/>
      <c r="R96" s="1755"/>
      <c r="S96" s="1758" t="s">
        <v>1776</v>
      </c>
      <c r="T96" s="1757"/>
      <c r="U96" s="1757"/>
      <c r="V96" s="1757"/>
      <c r="W96" s="1757"/>
      <c r="X96" s="1757"/>
      <c r="Y96" s="1755"/>
      <c r="Z96" s="1085"/>
      <c r="AA96" s="1084"/>
    </row>
    <row r="97" spans="1:27" ht="24.75" customHeight="1">
      <c r="A97" s="1775"/>
      <c r="B97" s="1755"/>
      <c r="C97" s="1775"/>
      <c r="D97" s="1757"/>
      <c r="E97" s="1757"/>
      <c r="F97" s="1757"/>
      <c r="G97" s="1757"/>
      <c r="H97" s="1757"/>
      <c r="I97" s="1755"/>
      <c r="J97" s="1758" t="s">
        <v>1777</v>
      </c>
      <c r="K97" s="1757"/>
      <c r="L97" s="1757"/>
      <c r="M97" s="1757"/>
      <c r="N97" s="1757"/>
      <c r="O97" s="1757"/>
      <c r="P97" s="1757"/>
      <c r="Q97" s="1757"/>
      <c r="R97" s="1755"/>
      <c r="S97" s="1758" t="s">
        <v>1778</v>
      </c>
      <c r="T97" s="1757"/>
      <c r="U97" s="1757"/>
      <c r="V97" s="1757"/>
      <c r="W97" s="1757"/>
      <c r="X97" s="1757"/>
      <c r="Y97" s="1755"/>
      <c r="Z97" s="1084"/>
      <c r="AA97" s="1084"/>
    </row>
    <row r="98" spans="1:27" ht="54" customHeight="1">
      <c r="A98" s="1778">
        <v>6</v>
      </c>
      <c r="B98" s="1755"/>
      <c r="C98" s="1756" t="s">
        <v>1779</v>
      </c>
      <c r="D98" s="1757"/>
      <c r="E98" s="1757"/>
      <c r="F98" s="1757"/>
      <c r="G98" s="1757"/>
      <c r="H98" s="1757"/>
      <c r="I98" s="1755"/>
      <c r="J98" s="1756" t="s">
        <v>1780</v>
      </c>
      <c r="K98" s="1757"/>
      <c r="L98" s="1757"/>
      <c r="M98" s="1757"/>
      <c r="N98" s="1757"/>
      <c r="O98" s="1757"/>
      <c r="P98" s="1757"/>
      <c r="Q98" s="1757"/>
      <c r="R98" s="1755"/>
      <c r="S98" s="1758" t="s">
        <v>1781</v>
      </c>
      <c r="T98" s="1757"/>
      <c r="U98" s="1757"/>
      <c r="V98" s="1757"/>
      <c r="W98" s="1757"/>
      <c r="X98" s="1757"/>
      <c r="Y98" s="1755"/>
      <c r="Z98" s="1084"/>
      <c r="AA98" s="1084"/>
    </row>
    <row r="99" spans="1:27" ht="66" customHeight="1">
      <c r="A99" s="1767">
        <v>7</v>
      </c>
      <c r="B99" s="1755"/>
      <c r="C99" s="1756" t="s">
        <v>1782</v>
      </c>
      <c r="D99" s="1757"/>
      <c r="E99" s="1757"/>
      <c r="F99" s="1757"/>
      <c r="G99" s="1757"/>
      <c r="H99" s="1757"/>
      <c r="I99" s="1755"/>
      <c r="J99" s="1758" t="s">
        <v>1783</v>
      </c>
      <c r="K99" s="1757"/>
      <c r="L99" s="1757"/>
      <c r="M99" s="1757"/>
      <c r="N99" s="1757"/>
      <c r="O99" s="1757"/>
      <c r="P99" s="1757"/>
      <c r="Q99" s="1757"/>
      <c r="R99" s="1755"/>
      <c r="S99" s="1758" t="s">
        <v>1784</v>
      </c>
      <c r="T99" s="1757"/>
      <c r="U99" s="1757"/>
      <c r="V99" s="1757"/>
      <c r="W99" s="1757"/>
      <c r="X99" s="1757"/>
      <c r="Y99" s="1755"/>
      <c r="Z99" s="1084"/>
      <c r="AA99" s="1084"/>
    </row>
    <row r="100" spans="1:27" ht="72.75" customHeight="1">
      <c r="A100" s="1778">
        <v>8</v>
      </c>
      <c r="B100" s="1755"/>
      <c r="C100" s="1756" t="s">
        <v>1785</v>
      </c>
      <c r="D100" s="1757"/>
      <c r="E100" s="1757"/>
      <c r="F100" s="1757"/>
      <c r="G100" s="1757"/>
      <c r="H100" s="1757"/>
      <c r="I100" s="1755"/>
      <c r="J100" s="1758" t="s">
        <v>1786</v>
      </c>
      <c r="K100" s="1757"/>
      <c r="L100" s="1757"/>
      <c r="M100" s="1757"/>
      <c r="N100" s="1757"/>
      <c r="O100" s="1757"/>
      <c r="P100" s="1757"/>
      <c r="Q100" s="1757"/>
      <c r="R100" s="1755"/>
      <c r="S100" s="1758" t="s">
        <v>1787</v>
      </c>
      <c r="T100" s="1757"/>
      <c r="U100" s="1757"/>
      <c r="V100" s="1757"/>
      <c r="W100" s="1757"/>
      <c r="X100" s="1757"/>
      <c r="Y100" s="1755"/>
      <c r="Z100" s="1084"/>
      <c r="AA100" s="1084"/>
    </row>
    <row r="101" spans="1:27" ht="45" customHeight="1">
      <c r="A101" s="1778">
        <v>9</v>
      </c>
      <c r="B101" s="1755"/>
      <c r="C101" s="1756" t="s">
        <v>1788</v>
      </c>
      <c r="D101" s="1757"/>
      <c r="E101" s="1757"/>
      <c r="F101" s="1757"/>
      <c r="G101" s="1757"/>
      <c r="H101" s="1757"/>
      <c r="I101" s="1755"/>
      <c r="J101" s="1756" t="s">
        <v>1789</v>
      </c>
      <c r="K101" s="1757"/>
      <c r="L101" s="1757"/>
      <c r="M101" s="1757"/>
      <c r="N101" s="1757"/>
      <c r="O101" s="1757"/>
      <c r="P101" s="1757"/>
      <c r="Q101" s="1757"/>
      <c r="R101" s="1755"/>
      <c r="S101" s="1758" t="s">
        <v>1790</v>
      </c>
      <c r="T101" s="1757"/>
      <c r="U101" s="1757"/>
      <c r="V101" s="1757"/>
      <c r="W101" s="1757"/>
      <c r="X101" s="1757"/>
      <c r="Y101" s="1755"/>
      <c r="Z101" s="1084"/>
      <c r="AA101" s="1084"/>
    </row>
    <row r="102" spans="1:27" ht="54.75" customHeight="1">
      <c r="A102" s="1767">
        <v>10</v>
      </c>
      <c r="B102" s="1755"/>
      <c r="C102" s="1756" t="s">
        <v>1791</v>
      </c>
      <c r="D102" s="1757"/>
      <c r="E102" s="1757"/>
      <c r="F102" s="1757"/>
      <c r="G102" s="1757"/>
      <c r="H102" s="1757"/>
      <c r="I102" s="1755"/>
      <c r="J102" s="1758" t="s">
        <v>1792</v>
      </c>
      <c r="K102" s="1757"/>
      <c r="L102" s="1757"/>
      <c r="M102" s="1757"/>
      <c r="N102" s="1757"/>
      <c r="O102" s="1757"/>
      <c r="P102" s="1757"/>
      <c r="Q102" s="1757"/>
      <c r="R102" s="1755"/>
      <c r="S102" s="1758" t="s">
        <v>1793</v>
      </c>
      <c r="T102" s="1757"/>
      <c r="U102" s="1757"/>
      <c r="V102" s="1757"/>
      <c r="W102" s="1757"/>
      <c r="X102" s="1757"/>
      <c r="Y102" s="1755"/>
      <c r="Z102" s="1084"/>
      <c r="AA102" s="1084"/>
    </row>
    <row r="103" spans="1:27" ht="41.25" customHeight="1">
      <c r="A103" s="1778">
        <v>11</v>
      </c>
      <c r="B103" s="1755"/>
      <c r="C103" s="1756" t="s">
        <v>1794</v>
      </c>
      <c r="D103" s="1757"/>
      <c r="E103" s="1757"/>
      <c r="F103" s="1757"/>
      <c r="G103" s="1757"/>
      <c r="H103" s="1757"/>
      <c r="I103" s="1755"/>
      <c r="J103" s="1758" t="s">
        <v>1795</v>
      </c>
      <c r="K103" s="1757"/>
      <c r="L103" s="1757"/>
      <c r="M103" s="1757"/>
      <c r="N103" s="1757"/>
      <c r="O103" s="1757"/>
      <c r="P103" s="1757"/>
      <c r="Q103" s="1757"/>
      <c r="R103" s="1755"/>
      <c r="S103" s="1758" t="s">
        <v>1796</v>
      </c>
      <c r="T103" s="1757"/>
      <c r="U103" s="1757"/>
      <c r="V103" s="1757"/>
      <c r="W103" s="1757"/>
      <c r="X103" s="1757"/>
      <c r="Y103" s="1755"/>
      <c r="Z103" s="1084"/>
      <c r="AA103" s="1084"/>
    </row>
    <row r="104" spans="1:27" ht="25.5" customHeight="1">
      <c r="A104" s="1775"/>
      <c r="B104" s="1755"/>
      <c r="C104" s="1775"/>
      <c r="D104" s="1757"/>
      <c r="E104" s="1757"/>
      <c r="F104" s="1757"/>
      <c r="G104" s="1757"/>
      <c r="H104" s="1757"/>
      <c r="I104" s="1755"/>
      <c r="J104" s="1758" t="s">
        <v>1797</v>
      </c>
      <c r="K104" s="1757"/>
      <c r="L104" s="1757"/>
      <c r="M104" s="1757"/>
      <c r="N104" s="1757"/>
      <c r="O104" s="1757"/>
      <c r="P104" s="1757"/>
      <c r="Q104" s="1757"/>
      <c r="R104" s="1755"/>
      <c r="S104" s="1758" t="s">
        <v>1798</v>
      </c>
      <c r="T104" s="1757"/>
      <c r="U104" s="1757"/>
      <c r="V104" s="1757"/>
      <c r="W104" s="1757"/>
      <c r="X104" s="1757"/>
      <c r="Y104" s="1755"/>
      <c r="Z104" s="1084"/>
      <c r="AA104" s="1084"/>
    </row>
    <row r="105" spans="1:27" ht="63.75" customHeight="1">
      <c r="A105" s="1777">
        <v>12</v>
      </c>
      <c r="B105" s="1755"/>
      <c r="C105" s="1756" t="s">
        <v>1799</v>
      </c>
      <c r="D105" s="1757"/>
      <c r="E105" s="1757"/>
      <c r="F105" s="1757"/>
      <c r="G105" s="1757"/>
      <c r="H105" s="1757"/>
      <c r="I105" s="1755"/>
      <c r="J105" s="1756" t="s">
        <v>1800</v>
      </c>
      <c r="K105" s="1757"/>
      <c r="L105" s="1757"/>
      <c r="M105" s="1757"/>
      <c r="N105" s="1757"/>
      <c r="O105" s="1757"/>
      <c r="P105" s="1757"/>
      <c r="Q105" s="1757"/>
      <c r="R105" s="1755"/>
      <c r="S105" s="1758" t="s">
        <v>1801</v>
      </c>
      <c r="T105" s="1757"/>
      <c r="U105" s="1757"/>
      <c r="V105" s="1757"/>
      <c r="W105" s="1757"/>
      <c r="X105" s="1757"/>
      <c r="Y105" s="1755"/>
      <c r="Z105" s="1084"/>
      <c r="AA105" s="1084"/>
    </row>
    <row r="106" spans="1:27" ht="63.75" customHeight="1">
      <c r="A106" s="1774">
        <v>13</v>
      </c>
      <c r="B106" s="1755"/>
      <c r="C106" s="1756" t="s">
        <v>1802</v>
      </c>
      <c r="D106" s="1757"/>
      <c r="E106" s="1757"/>
      <c r="F106" s="1757"/>
      <c r="G106" s="1757"/>
      <c r="H106" s="1757"/>
      <c r="I106" s="1755"/>
      <c r="J106" s="1756" t="s">
        <v>1803</v>
      </c>
      <c r="K106" s="1757"/>
      <c r="L106" s="1757"/>
      <c r="M106" s="1757"/>
      <c r="N106" s="1757"/>
      <c r="O106" s="1757"/>
      <c r="P106" s="1757"/>
      <c r="Q106" s="1757"/>
      <c r="R106" s="1755"/>
      <c r="S106" s="1758" t="s">
        <v>1804</v>
      </c>
      <c r="T106" s="1757"/>
      <c r="U106" s="1757"/>
      <c r="V106" s="1757"/>
      <c r="W106" s="1757"/>
      <c r="X106" s="1757"/>
      <c r="Y106" s="1755"/>
      <c r="Z106" s="1084"/>
      <c r="AA106" s="1084"/>
    </row>
    <row r="107" spans="1:27" ht="42.75" customHeight="1">
      <c r="A107" s="1774">
        <v>14</v>
      </c>
      <c r="B107" s="1755"/>
      <c r="C107" s="1756" t="s">
        <v>1805</v>
      </c>
      <c r="D107" s="1757"/>
      <c r="E107" s="1757"/>
      <c r="F107" s="1757"/>
      <c r="G107" s="1757"/>
      <c r="H107" s="1757"/>
      <c r="I107" s="1755"/>
      <c r="J107" s="1756" t="s">
        <v>1806</v>
      </c>
      <c r="K107" s="1757"/>
      <c r="L107" s="1757"/>
      <c r="M107" s="1757"/>
      <c r="N107" s="1757"/>
      <c r="O107" s="1757"/>
      <c r="P107" s="1757"/>
      <c r="Q107" s="1757"/>
      <c r="R107" s="1755"/>
      <c r="S107" s="1758" t="s">
        <v>1807</v>
      </c>
      <c r="T107" s="1757"/>
      <c r="U107" s="1757"/>
      <c r="V107" s="1757"/>
      <c r="W107" s="1757"/>
      <c r="X107" s="1757"/>
      <c r="Y107" s="1755"/>
      <c r="Z107" s="1084"/>
      <c r="AA107" s="1084"/>
    </row>
    <row r="108" spans="1:27" ht="64.5" customHeight="1">
      <c r="A108" s="1776">
        <v>15</v>
      </c>
      <c r="B108" s="1755"/>
      <c r="C108" s="1756" t="s">
        <v>1808</v>
      </c>
      <c r="D108" s="1757"/>
      <c r="E108" s="1757"/>
      <c r="F108" s="1757"/>
      <c r="G108" s="1757"/>
      <c r="H108" s="1757"/>
      <c r="I108" s="1755"/>
      <c r="J108" s="1756" t="s">
        <v>1809</v>
      </c>
      <c r="K108" s="1757"/>
      <c r="L108" s="1757"/>
      <c r="M108" s="1757"/>
      <c r="N108" s="1757"/>
      <c r="O108" s="1757"/>
      <c r="P108" s="1757"/>
      <c r="Q108" s="1757"/>
      <c r="R108" s="1755"/>
      <c r="S108" s="1758" t="s">
        <v>1810</v>
      </c>
      <c r="T108" s="1757"/>
      <c r="U108" s="1757"/>
      <c r="V108" s="1757"/>
      <c r="W108" s="1757"/>
      <c r="X108" s="1757"/>
      <c r="Y108" s="1755"/>
      <c r="Z108" s="1084"/>
      <c r="AA108" s="1084"/>
    </row>
    <row r="109" spans="1:27" ht="52.5" customHeight="1">
      <c r="A109" s="1777">
        <v>16</v>
      </c>
      <c r="B109" s="1755"/>
      <c r="C109" s="1758" t="s">
        <v>1811</v>
      </c>
      <c r="D109" s="1757"/>
      <c r="E109" s="1757"/>
      <c r="F109" s="1757"/>
      <c r="G109" s="1757"/>
      <c r="H109" s="1757"/>
      <c r="I109" s="1755"/>
      <c r="J109" s="1758" t="s">
        <v>1812</v>
      </c>
      <c r="K109" s="1757"/>
      <c r="L109" s="1757"/>
      <c r="M109" s="1757"/>
      <c r="N109" s="1757"/>
      <c r="O109" s="1757"/>
      <c r="P109" s="1757"/>
      <c r="Q109" s="1757"/>
      <c r="R109" s="1755"/>
      <c r="S109" s="1758" t="s">
        <v>1813</v>
      </c>
      <c r="T109" s="1757"/>
      <c r="U109" s="1757"/>
      <c r="V109" s="1757"/>
      <c r="W109" s="1757"/>
      <c r="X109" s="1757"/>
      <c r="Y109" s="1755"/>
      <c r="Z109" s="1084"/>
      <c r="AA109" s="1084"/>
    </row>
    <row r="110" spans="1:27" ht="32.25" customHeight="1">
      <c r="A110" s="1774">
        <v>17</v>
      </c>
      <c r="B110" s="1755"/>
      <c r="C110" s="1756" t="s">
        <v>1814</v>
      </c>
      <c r="D110" s="1757"/>
      <c r="E110" s="1757"/>
      <c r="F110" s="1757"/>
      <c r="G110" s="1757"/>
      <c r="H110" s="1757"/>
      <c r="I110" s="1755"/>
      <c r="J110" s="1756" t="s">
        <v>1815</v>
      </c>
      <c r="K110" s="1757"/>
      <c r="L110" s="1757"/>
      <c r="M110" s="1757"/>
      <c r="N110" s="1757"/>
      <c r="O110" s="1757"/>
      <c r="P110" s="1757"/>
      <c r="Q110" s="1757"/>
      <c r="R110" s="1755"/>
      <c r="S110" s="1758" t="s">
        <v>1816</v>
      </c>
      <c r="T110" s="1757"/>
      <c r="U110" s="1757"/>
      <c r="V110" s="1757"/>
      <c r="W110" s="1757"/>
      <c r="X110" s="1757"/>
      <c r="Y110" s="1755"/>
      <c r="Z110" s="1084"/>
      <c r="AA110" s="1084"/>
    </row>
    <row r="111" spans="1:27" ht="33.75" customHeight="1">
      <c r="A111" s="1775"/>
      <c r="B111" s="1755"/>
      <c r="C111" s="1775"/>
      <c r="D111" s="1757"/>
      <c r="E111" s="1757"/>
      <c r="F111" s="1757"/>
      <c r="G111" s="1757"/>
      <c r="H111" s="1757"/>
      <c r="I111" s="1755"/>
      <c r="J111" s="1775"/>
      <c r="K111" s="1757"/>
      <c r="L111" s="1757"/>
      <c r="M111" s="1757"/>
      <c r="N111" s="1757"/>
      <c r="O111" s="1757"/>
      <c r="P111" s="1757"/>
      <c r="Q111" s="1757"/>
      <c r="R111" s="1755"/>
      <c r="S111" s="1756" t="s">
        <v>1817</v>
      </c>
      <c r="T111" s="1757"/>
      <c r="U111" s="1757"/>
      <c r="V111" s="1757"/>
      <c r="W111" s="1757"/>
      <c r="X111" s="1757"/>
      <c r="Y111" s="1755"/>
      <c r="Z111" s="1085"/>
      <c r="AA111" s="1084"/>
    </row>
    <row r="112" spans="1:27" ht="52.5" customHeight="1">
      <c r="A112" s="1772">
        <v>18</v>
      </c>
      <c r="B112" s="1755"/>
      <c r="C112" s="1756" t="s">
        <v>1818</v>
      </c>
      <c r="D112" s="1757"/>
      <c r="E112" s="1757"/>
      <c r="F112" s="1757"/>
      <c r="G112" s="1757"/>
      <c r="H112" s="1757"/>
      <c r="I112" s="1755"/>
      <c r="J112" s="1756" t="s">
        <v>1819</v>
      </c>
      <c r="K112" s="1757"/>
      <c r="L112" s="1757"/>
      <c r="M112" s="1757"/>
      <c r="N112" s="1757"/>
      <c r="O112" s="1757"/>
      <c r="P112" s="1757"/>
      <c r="Q112" s="1757"/>
      <c r="R112" s="1755"/>
      <c r="S112" s="1758" t="s">
        <v>1820</v>
      </c>
      <c r="T112" s="1757"/>
      <c r="U112" s="1757"/>
      <c r="V112" s="1757"/>
      <c r="W112" s="1757"/>
      <c r="X112" s="1757"/>
      <c r="Y112" s="1755"/>
      <c r="Z112" s="1086"/>
      <c r="AA112" s="1084"/>
    </row>
    <row r="113" spans="1:27" ht="64.5" customHeight="1">
      <c r="A113" s="1773" t="s">
        <v>1821</v>
      </c>
      <c r="B113" s="1755"/>
      <c r="C113" s="1756" t="s">
        <v>1822</v>
      </c>
      <c r="D113" s="1757"/>
      <c r="E113" s="1757"/>
      <c r="F113" s="1757"/>
      <c r="G113" s="1757"/>
      <c r="H113" s="1757"/>
      <c r="I113" s="1755"/>
      <c r="J113" s="1756" t="s">
        <v>1823</v>
      </c>
      <c r="K113" s="1757"/>
      <c r="L113" s="1757"/>
      <c r="M113" s="1757"/>
      <c r="N113" s="1757"/>
      <c r="O113" s="1757"/>
      <c r="P113" s="1757"/>
      <c r="Q113" s="1757"/>
      <c r="R113" s="1755"/>
      <c r="S113" s="1758" t="s">
        <v>1824</v>
      </c>
      <c r="T113" s="1757"/>
      <c r="U113" s="1757"/>
      <c r="V113" s="1757"/>
      <c r="W113" s="1757"/>
      <c r="X113" s="1757"/>
      <c r="Y113" s="1755"/>
      <c r="Z113" s="1086"/>
      <c r="AA113" s="1084"/>
    </row>
    <row r="114" spans="1:27" ht="63.75" customHeight="1">
      <c r="A114" s="1770">
        <v>20</v>
      </c>
      <c r="B114" s="1755"/>
      <c r="C114" s="1756" t="s">
        <v>1825</v>
      </c>
      <c r="D114" s="1757"/>
      <c r="E114" s="1757"/>
      <c r="F114" s="1757"/>
      <c r="G114" s="1757"/>
      <c r="H114" s="1757"/>
      <c r="I114" s="1755"/>
      <c r="J114" s="1756" t="s">
        <v>1826</v>
      </c>
      <c r="K114" s="1757"/>
      <c r="L114" s="1757"/>
      <c r="M114" s="1757"/>
      <c r="N114" s="1757"/>
      <c r="O114" s="1757"/>
      <c r="P114" s="1757"/>
      <c r="Q114" s="1757"/>
      <c r="R114" s="1755"/>
      <c r="S114" s="1758" t="s">
        <v>1827</v>
      </c>
      <c r="T114" s="1757"/>
      <c r="U114" s="1757"/>
      <c r="V114" s="1757"/>
      <c r="W114" s="1757"/>
      <c r="X114" s="1757"/>
      <c r="Y114" s="1755"/>
      <c r="Z114" s="1086"/>
      <c r="AA114" s="1084"/>
    </row>
    <row r="115" spans="1:27" ht="63.75" customHeight="1">
      <c r="A115" s="1771">
        <v>21</v>
      </c>
      <c r="B115" s="1755"/>
      <c r="C115" s="1756" t="s">
        <v>1828</v>
      </c>
      <c r="D115" s="1757"/>
      <c r="E115" s="1757"/>
      <c r="F115" s="1757"/>
      <c r="G115" s="1757"/>
      <c r="H115" s="1757"/>
      <c r="I115" s="1755"/>
      <c r="J115" s="1756" t="s">
        <v>1829</v>
      </c>
      <c r="K115" s="1757"/>
      <c r="L115" s="1757"/>
      <c r="M115" s="1757"/>
      <c r="N115" s="1757"/>
      <c r="O115" s="1757"/>
      <c r="P115" s="1757"/>
      <c r="Q115" s="1757"/>
      <c r="R115" s="1755"/>
      <c r="S115" s="1758" t="s">
        <v>1830</v>
      </c>
      <c r="T115" s="1757"/>
      <c r="U115" s="1757"/>
      <c r="V115" s="1757"/>
      <c r="W115" s="1757"/>
      <c r="X115" s="1757"/>
      <c r="Y115" s="1755"/>
      <c r="Z115" s="1086"/>
      <c r="AA115" s="1084"/>
    </row>
    <row r="116" spans="1:27" ht="42.75" customHeight="1">
      <c r="A116" s="1770">
        <v>22</v>
      </c>
      <c r="B116" s="1755"/>
      <c r="C116" s="1756" t="s">
        <v>1831</v>
      </c>
      <c r="D116" s="1757"/>
      <c r="E116" s="1757"/>
      <c r="F116" s="1757"/>
      <c r="G116" s="1757"/>
      <c r="H116" s="1757"/>
      <c r="I116" s="1755"/>
      <c r="J116" s="1756" t="s">
        <v>1832</v>
      </c>
      <c r="K116" s="1757"/>
      <c r="L116" s="1757"/>
      <c r="M116" s="1757"/>
      <c r="N116" s="1757"/>
      <c r="O116" s="1757"/>
      <c r="P116" s="1757"/>
      <c r="Q116" s="1757"/>
      <c r="R116" s="1755"/>
      <c r="S116" s="1758" t="s">
        <v>1833</v>
      </c>
      <c r="T116" s="1757"/>
      <c r="U116" s="1757"/>
      <c r="V116" s="1757"/>
      <c r="W116" s="1757"/>
      <c r="X116" s="1757"/>
      <c r="Y116" s="1755"/>
      <c r="Z116" s="1086"/>
      <c r="AA116" s="1084"/>
    </row>
    <row r="117" spans="1:27" ht="25.5" customHeight="1">
      <c r="A117" s="1770">
        <v>23</v>
      </c>
      <c r="B117" s="1755"/>
      <c r="C117" s="1758" t="s">
        <v>1834</v>
      </c>
      <c r="D117" s="1757"/>
      <c r="E117" s="1757"/>
      <c r="F117" s="1757"/>
      <c r="G117" s="1757"/>
      <c r="H117" s="1757"/>
      <c r="I117" s="1755"/>
      <c r="J117" s="1758" t="s">
        <v>1835</v>
      </c>
      <c r="K117" s="1757"/>
      <c r="L117" s="1757"/>
      <c r="M117" s="1757"/>
      <c r="N117" s="1757"/>
      <c r="O117" s="1757"/>
      <c r="P117" s="1757"/>
      <c r="Q117" s="1757"/>
      <c r="R117" s="1755"/>
      <c r="S117" s="1758" t="s">
        <v>1836</v>
      </c>
      <c r="T117" s="1757"/>
      <c r="U117" s="1757"/>
      <c r="V117" s="1757"/>
      <c r="W117" s="1757"/>
      <c r="X117" s="1757"/>
      <c r="Y117" s="1755"/>
      <c r="Z117" s="1085"/>
      <c r="AA117" s="1084"/>
    </row>
    <row r="118" spans="1:27" ht="42.75" customHeight="1">
      <c r="A118" s="1768">
        <v>24</v>
      </c>
      <c r="B118" s="1755"/>
      <c r="C118" s="1756" t="s">
        <v>1837</v>
      </c>
      <c r="D118" s="1757"/>
      <c r="E118" s="1757"/>
      <c r="F118" s="1757"/>
      <c r="G118" s="1757"/>
      <c r="H118" s="1757"/>
      <c r="I118" s="1755"/>
      <c r="J118" s="1756" t="s">
        <v>1838</v>
      </c>
      <c r="K118" s="1757"/>
      <c r="L118" s="1757"/>
      <c r="M118" s="1757"/>
      <c r="N118" s="1757"/>
      <c r="O118" s="1757"/>
      <c r="P118" s="1757"/>
      <c r="Q118" s="1757"/>
      <c r="R118" s="1755"/>
      <c r="S118" s="1758" t="s">
        <v>1839</v>
      </c>
      <c r="T118" s="1757"/>
      <c r="U118" s="1757"/>
      <c r="V118" s="1757"/>
      <c r="W118" s="1757"/>
      <c r="X118" s="1757"/>
      <c r="Y118" s="1755"/>
      <c r="Z118" s="1084"/>
      <c r="AA118" s="1084"/>
    </row>
    <row r="119" spans="1:27" ht="43.5" customHeight="1">
      <c r="A119" s="1768">
        <v>25</v>
      </c>
      <c r="B119" s="1755"/>
      <c r="C119" s="1756" t="s">
        <v>1840</v>
      </c>
      <c r="D119" s="1757"/>
      <c r="E119" s="1757"/>
      <c r="F119" s="1757"/>
      <c r="G119" s="1757"/>
      <c r="H119" s="1757"/>
      <c r="I119" s="1755"/>
      <c r="J119" s="1756" t="s">
        <v>1841</v>
      </c>
      <c r="K119" s="1757"/>
      <c r="L119" s="1757"/>
      <c r="M119" s="1757"/>
      <c r="N119" s="1757"/>
      <c r="O119" s="1757"/>
      <c r="P119" s="1757"/>
      <c r="Q119" s="1757"/>
      <c r="R119" s="1755"/>
      <c r="S119" s="1758" t="s">
        <v>1842</v>
      </c>
      <c r="T119" s="1757"/>
      <c r="U119" s="1757"/>
      <c r="V119" s="1757"/>
      <c r="W119" s="1757"/>
      <c r="X119" s="1757"/>
      <c r="Y119" s="1755"/>
      <c r="Z119" s="1084"/>
      <c r="AA119" s="1084"/>
    </row>
    <row r="120" spans="1:27" ht="54" customHeight="1">
      <c r="A120" s="1768">
        <v>26</v>
      </c>
      <c r="B120" s="1755"/>
      <c r="C120" s="1758" t="s">
        <v>1843</v>
      </c>
      <c r="D120" s="1757"/>
      <c r="E120" s="1757"/>
      <c r="F120" s="1757"/>
      <c r="G120" s="1757"/>
      <c r="H120" s="1757"/>
      <c r="I120" s="1755"/>
      <c r="J120" s="1758" t="s">
        <v>1844</v>
      </c>
      <c r="K120" s="1757"/>
      <c r="L120" s="1757"/>
      <c r="M120" s="1757"/>
      <c r="N120" s="1757"/>
      <c r="O120" s="1757"/>
      <c r="P120" s="1757"/>
      <c r="Q120" s="1757"/>
      <c r="R120" s="1755"/>
      <c r="S120" s="1758" t="s">
        <v>1845</v>
      </c>
      <c r="T120" s="1757"/>
      <c r="U120" s="1757"/>
      <c r="V120" s="1757"/>
      <c r="W120" s="1757"/>
      <c r="X120" s="1757"/>
      <c r="Y120" s="1755"/>
      <c r="Z120" s="1084"/>
      <c r="AA120" s="1084"/>
    </row>
    <row r="121" spans="1:27" ht="52.5" customHeight="1">
      <c r="A121" s="1768">
        <v>27</v>
      </c>
      <c r="B121" s="1755"/>
      <c r="C121" s="1758" t="s">
        <v>1846</v>
      </c>
      <c r="D121" s="1757"/>
      <c r="E121" s="1757"/>
      <c r="F121" s="1757"/>
      <c r="G121" s="1757"/>
      <c r="H121" s="1757"/>
      <c r="I121" s="1755"/>
      <c r="J121" s="1758" t="s">
        <v>1847</v>
      </c>
      <c r="K121" s="1757"/>
      <c r="L121" s="1757"/>
      <c r="M121" s="1757"/>
      <c r="N121" s="1757"/>
      <c r="O121" s="1757"/>
      <c r="P121" s="1757"/>
      <c r="Q121" s="1757"/>
      <c r="R121" s="1755"/>
      <c r="S121" s="1758" t="s">
        <v>1848</v>
      </c>
      <c r="T121" s="1757"/>
      <c r="U121" s="1757"/>
      <c r="V121" s="1757"/>
      <c r="W121" s="1757"/>
      <c r="X121" s="1757"/>
      <c r="Y121" s="1755"/>
      <c r="Z121" s="1084"/>
      <c r="AA121" s="1084"/>
    </row>
    <row r="122" spans="1:27" ht="43.5" customHeight="1">
      <c r="A122" s="1769">
        <v>28</v>
      </c>
      <c r="B122" s="1755"/>
      <c r="C122" s="1758" t="s">
        <v>1849</v>
      </c>
      <c r="D122" s="1757"/>
      <c r="E122" s="1757"/>
      <c r="F122" s="1757"/>
      <c r="G122" s="1757"/>
      <c r="H122" s="1757"/>
      <c r="I122" s="1755"/>
      <c r="J122" s="1756" t="s">
        <v>1850</v>
      </c>
      <c r="K122" s="1757"/>
      <c r="L122" s="1757"/>
      <c r="M122" s="1757"/>
      <c r="N122" s="1757"/>
      <c r="O122" s="1757"/>
      <c r="P122" s="1757"/>
      <c r="Q122" s="1757"/>
      <c r="R122" s="1755"/>
      <c r="S122" s="1758" t="s">
        <v>1851</v>
      </c>
      <c r="T122" s="1757"/>
      <c r="U122" s="1757"/>
      <c r="V122" s="1757"/>
      <c r="W122" s="1757"/>
      <c r="X122" s="1757"/>
      <c r="Y122" s="1755"/>
      <c r="Z122" s="1084"/>
      <c r="AA122" s="1084"/>
    </row>
    <row r="123" spans="1:27" ht="40.5" customHeight="1">
      <c r="A123" s="1768">
        <v>29</v>
      </c>
      <c r="B123" s="1755"/>
      <c r="C123" s="1756" t="s">
        <v>1852</v>
      </c>
      <c r="D123" s="1757"/>
      <c r="E123" s="1757"/>
      <c r="F123" s="1757"/>
      <c r="G123" s="1757"/>
      <c r="H123" s="1757"/>
      <c r="I123" s="1755"/>
      <c r="J123" s="1758" t="s">
        <v>1853</v>
      </c>
      <c r="K123" s="1757"/>
      <c r="L123" s="1757"/>
      <c r="M123" s="1757"/>
      <c r="N123" s="1757"/>
      <c r="O123" s="1757"/>
      <c r="P123" s="1757"/>
      <c r="Q123" s="1757"/>
      <c r="R123" s="1755"/>
      <c r="S123" s="1758" t="s">
        <v>1854</v>
      </c>
      <c r="T123" s="1757"/>
      <c r="U123" s="1757"/>
      <c r="V123" s="1757"/>
      <c r="W123" s="1757"/>
      <c r="X123" s="1757"/>
      <c r="Y123" s="1755"/>
      <c r="Z123" s="1084"/>
      <c r="AA123" s="1084"/>
    </row>
    <row r="124" spans="1:27" ht="63.75" customHeight="1">
      <c r="A124" s="1768">
        <v>30</v>
      </c>
      <c r="B124" s="1755"/>
      <c r="C124" s="1756" t="s">
        <v>1855</v>
      </c>
      <c r="D124" s="1757"/>
      <c r="E124" s="1757"/>
      <c r="F124" s="1757"/>
      <c r="G124" s="1757"/>
      <c r="H124" s="1757"/>
      <c r="I124" s="1755"/>
      <c r="J124" s="1756" t="s">
        <v>1856</v>
      </c>
      <c r="K124" s="1757"/>
      <c r="L124" s="1757"/>
      <c r="M124" s="1757"/>
      <c r="N124" s="1757"/>
      <c r="O124" s="1757"/>
      <c r="P124" s="1757"/>
      <c r="Q124" s="1757"/>
      <c r="R124" s="1755"/>
      <c r="S124" s="1758" t="s">
        <v>1857</v>
      </c>
      <c r="T124" s="1757"/>
      <c r="U124" s="1757"/>
      <c r="V124" s="1757"/>
      <c r="W124" s="1757"/>
      <c r="X124" s="1757"/>
      <c r="Y124" s="1755"/>
      <c r="Z124" s="1084"/>
      <c r="AA124" s="1084"/>
    </row>
    <row r="125" spans="1:27" ht="54" customHeight="1">
      <c r="A125" s="1767">
        <v>31</v>
      </c>
      <c r="B125" s="1755"/>
      <c r="C125" s="1756" t="s">
        <v>1858</v>
      </c>
      <c r="D125" s="1757"/>
      <c r="E125" s="1757"/>
      <c r="F125" s="1757"/>
      <c r="G125" s="1757"/>
      <c r="H125" s="1757"/>
      <c r="I125" s="1755"/>
      <c r="J125" s="1756" t="s">
        <v>1859</v>
      </c>
      <c r="K125" s="1757"/>
      <c r="L125" s="1757"/>
      <c r="M125" s="1757"/>
      <c r="N125" s="1757"/>
      <c r="O125" s="1757"/>
      <c r="P125" s="1757"/>
      <c r="Q125" s="1757"/>
      <c r="R125" s="1755"/>
      <c r="S125" s="1758" t="s">
        <v>1860</v>
      </c>
      <c r="T125" s="1757"/>
      <c r="U125" s="1757"/>
      <c r="V125" s="1757"/>
      <c r="W125" s="1757"/>
      <c r="X125" s="1757"/>
      <c r="Y125" s="1755"/>
      <c r="Z125" s="1084"/>
      <c r="AA125" s="1084"/>
    </row>
    <row r="126" spans="1:27" ht="63.75" customHeight="1">
      <c r="A126" s="1767">
        <v>32</v>
      </c>
      <c r="B126" s="1755"/>
      <c r="C126" s="1756" t="s">
        <v>1861</v>
      </c>
      <c r="D126" s="1757"/>
      <c r="E126" s="1757"/>
      <c r="F126" s="1757"/>
      <c r="G126" s="1757"/>
      <c r="H126" s="1757"/>
      <c r="I126" s="1755"/>
      <c r="J126" s="1756" t="s">
        <v>1862</v>
      </c>
      <c r="K126" s="1757"/>
      <c r="L126" s="1757"/>
      <c r="M126" s="1757"/>
      <c r="N126" s="1757"/>
      <c r="O126" s="1757"/>
      <c r="P126" s="1757"/>
      <c r="Q126" s="1757"/>
      <c r="R126" s="1755"/>
      <c r="S126" s="1758" t="s">
        <v>1863</v>
      </c>
      <c r="T126" s="1757"/>
      <c r="U126" s="1757"/>
      <c r="V126" s="1757"/>
      <c r="W126" s="1757"/>
      <c r="X126" s="1757"/>
      <c r="Y126" s="1755"/>
      <c r="Z126" s="1084"/>
      <c r="AA126" s="1084"/>
    </row>
    <row r="127" spans="1:27" ht="63.75" customHeight="1">
      <c r="A127" s="1767">
        <v>33</v>
      </c>
      <c r="B127" s="1755"/>
      <c r="C127" s="1756" t="s">
        <v>1864</v>
      </c>
      <c r="D127" s="1757"/>
      <c r="E127" s="1757"/>
      <c r="F127" s="1757"/>
      <c r="G127" s="1757"/>
      <c r="H127" s="1757"/>
      <c r="I127" s="1755"/>
      <c r="J127" s="1756" t="s">
        <v>1865</v>
      </c>
      <c r="K127" s="1757"/>
      <c r="L127" s="1757"/>
      <c r="M127" s="1757"/>
      <c r="N127" s="1757"/>
      <c r="O127" s="1757"/>
      <c r="P127" s="1757"/>
      <c r="Q127" s="1757"/>
      <c r="R127" s="1755"/>
      <c r="S127" s="1758" t="s">
        <v>1866</v>
      </c>
      <c r="T127" s="1757"/>
      <c r="U127" s="1757"/>
      <c r="V127" s="1757"/>
      <c r="W127" s="1757"/>
      <c r="X127" s="1757"/>
      <c r="Y127" s="1755"/>
      <c r="Z127" s="1084"/>
      <c r="AA127" s="1084"/>
    </row>
    <row r="128" spans="1:27" ht="48.75" customHeight="1">
      <c r="A128" s="1766">
        <v>34</v>
      </c>
      <c r="B128" s="1755"/>
      <c r="C128" s="1756" t="s">
        <v>1867</v>
      </c>
      <c r="D128" s="1757"/>
      <c r="E128" s="1757"/>
      <c r="F128" s="1757"/>
      <c r="G128" s="1757"/>
      <c r="H128" s="1757"/>
      <c r="I128" s="1755"/>
      <c r="J128" s="1758" t="s">
        <v>1868</v>
      </c>
      <c r="K128" s="1757"/>
      <c r="L128" s="1757"/>
      <c r="M128" s="1757"/>
      <c r="N128" s="1757"/>
      <c r="O128" s="1757"/>
      <c r="P128" s="1757"/>
      <c r="Q128" s="1757"/>
      <c r="R128" s="1755"/>
      <c r="S128" s="1758" t="s">
        <v>1869</v>
      </c>
      <c r="T128" s="1757"/>
      <c r="U128" s="1757"/>
      <c r="V128" s="1757"/>
      <c r="W128" s="1757"/>
      <c r="X128" s="1757"/>
      <c r="Y128" s="1755"/>
      <c r="Z128" s="1084"/>
      <c r="AA128" s="1084"/>
    </row>
    <row r="129" spans="1:27" ht="42.75" customHeight="1">
      <c r="A129" s="1766">
        <v>35</v>
      </c>
      <c r="B129" s="1755"/>
      <c r="C129" s="1756" t="s">
        <v>1870</v>
      </c>
      <c r="D129" s="1757"/>
      <c r="E129" s="1757"/>
      <c r="F129" s="1757"/>
      <c r="G129" s="1757"/>
      <c r="H129" s="1757"/>
      <c r="I129" s="1755"/>
      <c r="J129" s="1756" t="s">
        <v>1871</v>
      </c>
      <c r="K129" s="1757"/>
      <c r="L129" s="1757"/>
      <c r="M129" s="1757"/>
      <c r="N129" s="1757"/>
      <c r="O129" s="1757"/>
      <c r="P129" s="1757"/>
      <c r="Q129" s="1757"/>
      <c r="R129" s="1755"/>
      <c r="S129" s="1758" t="s">
        <v>1872</v>
      </c>
      <c r="T129" s="1757"/>
      <c r="U129" s="1757"/>
      <c r="V129" s="1757"/>
      <c r="W129" s="1757"/>
      <c r="X129" s="1757"/>
      <c r="Y129" s="1755"/>
      <c r="Z129" s="1084"/>
      <c r="AA129" s="1084"/>
    </row>
    <row r="130" spans="1:27" ht="61.5" customHeight="1">
      <c r="A130" s="1765">
        <v>36</v>
      </c>
      <c r="B130" s="1755"/>
      <c r="C130" s="1756" t="s">
        <v>1873</v>
      </c>
      <c r="D130" s="1757"/>
      <c r="E130" s="1757"/>
      <c r="F130" s="1757"/>
      <c r="G130" s="1757"/>
      <c r="H130" s="1757"/>
      <c r="I130" s="1755"/>
      <c r="J130" s="1756" t="s">
        <v>1874</v>
      </c>
      <c r="K130" s="1757"/>
      <c r="L130" s="1757"/>
      <c r="M130" s="1757"/>
      <c r="N130" s="1757"/>
      <c r="O130" s="1757"/>
      <c r="P130" s="1757"/>
      <c r="Q130" s="1757"/>
      <c r="R130" s="1755"/>
      <c r="S130" s="1758" t="s">
        <v>1875</v>
      </c>
      <c r="T130" s="1757"/>
      <c r="U130" s="1757"/>
      <c r="V130" s="1757"/>
      <c r="W130" s="1757"/>
      <c r="X130" s="1757"/>
      <c r="Y130" s="1755"/>
      <c r="Z130" s="1084"/>
      <c r="AA130" s="1084"/>
    </row>
    <row r="131" spans="1:27" ht="60.75" customHeight="1">
      <c r="A131" s="1765">
        <v>37</v>
      </c>
      <c r="B131" s="1755"/>
      <c r="C131" s="1756" t="s">
        <v>1876</v>
      </c>
      <c r="D131" s="1757"/>
      <c r="E131" s="1757"/>
      <c r="F131" s="1757"/>
      <c r="G131" s="1757"/>
      <c r="H131" s="1757"/>
      <c r="I131" s="1755"/>
      <c r="J131" s="1758" t="s">
        <v>1877</v>
      </c>
      <c r="K131" s="1757"/>
      <c r="L131" s="1757"/>
      <c r="M131" s="1757"/>
      <c r="N131" s="1757"/>
      <c r="O131" s="1757"/>
      <c r="P131" s="1757"/>
      <c r="Q131" s="1757"/>
      <c r="R131" s="1755"/>
      <c r="S131" s="1758" t="s">
        <v>1878</v>
      </c>
      <c r="T131" s="1757"/>
      <c r="U131" s="1757"/>
      <c r="V131" s="1757"/>
      <c r="W131" s="1757"/>
      <c r="X131" s="1757"/>
      <c r="Y131" s="1755"/>
      <c r="Z131" s="1084"/>
      <c r="AA131" s="1084"/>
    </row>
    <row r="132" spans="1:27" ht="75" customHeight="1">
      <c r="A132" s="1765">
        <v>38</v>
      </c>
      <c r="B132" s="1755"/>
      <c r="C132" s="1756" t="s">
        <v>1879</v>
      </c>
      <c r="D132" s="1757"/>
      <c r="E132" s="1757"/>
      <c r="F132" s="1757"/>
      <c r="G132" s="1757"/>
      <c r="H132" s="1757"/>
      <c r="I132" s="1755"/>
      <c r="J132" s="1758" t="s">
        <v>1880</v>
      </c>
      <c r="K132" s="1757"/>
      <c r="L132" s="1757"/>
      <c r="M132" s="1757"/>
      <c r="N132" s="1757"/>
      <c r="O132" s="1757"/>
      <c r="P132" s="1757"/>
      <c r="Q132" s="1757"/>
      <c r="R132" s="1755"/>
      <c r="S132" s="1758" t="s">
        <v>1881</v>
      </c>
      <c r="T132" s="1757"/>
      <c r="U132" s="1757"/>
      <c r="V132" s="1757"/>
      <c r="W132" s="1757"/>
      <c r="X132" s="1757"/>
      <c r="Y132" s="1755"/>
      <c r="Z132" s="1084"/>
      <c r="AA132" s="1084"/>
    </row>
    <row r="133" spans="1:27" ht="48.75" customHeight="1">
      <c r="A133" s="1764">
        <v>39</v>
      </c>
      <c r="B133" s="1755"/>
      <c r="C133" s="1756" t="s">
        <v>1882</v>
      </c>
      <c r="D133" s="1757"/>
      <c r="E133" s="1757"/>
      <c r="F133" s="1757"/>
      <c r="G133" s="1757"/>
      <c r="H133" s="1757"/>
      <c r="I133" s="1755"/>
      <c r="J133" s="1758" t="s">
        <v>1883</v>
      </c>
      <c r="K133" s="1757"/>
      <c r="L133" s="1757"/>
      <c r="M133" s="1757"/>
      <c r="N133" s="1757"/>
      <c r="O133" s="1757"/>
      <c r="P133" s="1757"/>
      <c r="Q133" s="1757"/>
      <c r="R133" s="1755"/>
      <c r="S133" s="1758" t="s">
        <v>1884</v>
      </c>
      <c r="T133" s="1757"/>
      <c r="U133" s="1757"/>
      <c r="V133" s="1757"/>
      <c r="W133" s="1757"/>
      <c r="X133" s="1757"/>
      <c r="Y133" s="1755"/>
      <c r="Z133" s="1084"/>
      <c r="AA133" s="1084"/>
    </row>
    <row r="134" spans="1:27" ht="61.5" customHeight="1">
      <c r="A134" s="1764">
        <v>40</v>
      </c>
      <c r="B134" s="1755"/>
      <c r="C134" s="1758" t="s">
        <v>1885</v>
      </c>
      <c r="D134" s="1757"/>
      <c r="E134" s="1757"/>
      <c r="F134" s="1757"/>
      <c r="G134" s="1757"/>
      <c r="H134" s="1757"/>
      <c r="I134" s="1755"/>
      <c r="J134" s="1758" t="s">
        <v>1886</v>
      </c>
      <c r="K134" s="1757"/>
      <c r="L134" s="1757"/>
      <c r="M134" s="1757"/>
      <c r="N134" s="1757"/>
      <c r="O134" s="1757"/>
      <c r="P134" s="1757"/>
      <c r="Q134" s="1757"/>
      <c r="R134" s="1755"/>
      <c r="S134" s="1758" t="s">
        <v>1887</v>
      </c>
      <c r="T134" s="1757"/>
      <c r="U134" s="1757"/>
      <c r="V134" s="1757"/>
      <c r="W134" s="1757"/>
      <c r="X134" s="1757"/>
      <c r="Y134" s="1755"/>
      <c r="Z134" s="1084"/>
      <c r="AA134" s="1084"/>
    </row>
    <row r="135" spans="1:27" ht="78" customHeight="1">
      <c r="A135" s="1765">
        <v>41</v>
      </c>
      <c r="B135" s="1755"/>
      <c r="C135" s="1758" t="s">
        <v>1888</v>
      </c>
      <c r="D135" s="1757"/>
      <c r="E135" s="1757"/>
      <c r="F135" s="1757"/>
      <c r="G135" s="1757"/>
      <c r="H135" s="1757"/>
      <c r="I135" s="1755"/>
      <c r="J135" s="1758" t="s">
        <v>1889</v>
      </c>
      <c r="K135" s="1757"/>
      <c r="L135" s="1757"/>
      <c r="M135" s="1757"/>
      <c r="N135" s="1757"/>
      <c r="O135" s="1757"/>
      <c r="P135" s="1757"/>
      <c r="Q135" s="1757"/>
      <c r="R135" s="1755"/>
      <c r="S135" s="1758" t="s">
        <v>1890</v>
      </c>
      <c r="T135" s="1757"/>
      <c r="U135" s="1757"/>
      <c r="V135" s="1757"/>
      <c r="W135" s="1757"/>
      <c r="X135" s="1757"/>
      <c r="Y135" s="1755"/>
      <c r="Z135" s="1084"/>
      <c r="AA135" s="1084"/>
    </row>
    <row r="136" spans="1:27" ht="58.5" customHeight="1">
      <c r="A136" s="1763">
        <v>42</v>
      </c>
      <c r="B136" s="1757"/>
      <c r="C136" s="1755"/>
      <c r="D136" s="1756" t="s">
        <v>1891</v>
      </c>
      <c r="E136" s="1757"/>
      <c r="F136" s="1757"/>
      <c r="G136" s="1757"/>
      <c r="H136" s="1757"/>
      <c r="I136" s="1757"/>
      <c r="J136" s="1755"/>
      <c r="K136" s="1756" t="s">
        <v>1892</v>
      </c>
      <c r="L136" s="1757"/>
      <c r="M136" s="1757"/>
      <c r="N136" s="1757"/>
      <c r="O136" s="1757"/>
      <c r="P136" s="1757"/>
      <c r="Q136" s="1757"/>
      <c r="R136" s="1757"/>
      <c r="S136" s="1757"/>
      <c r="T136" s="1758" t="s">
        <v>1893</v>
      </c>
      <c r="U136" s="1757"/>
      <c r="V136" s="1757"/>
      <c r="W136" s="1757"/>
      <c r="X136" s="1757"/>
      <c r="Y136" s="1755"/>
      <c r="Z136" s="1761"/>
      <c r="AA136" s="1762"/>
    </row>
    <row r="137" spans="1:27" ht="60.75" customHeight="1">
      <c r="A137" s="1763">
        <v>43</v>
      </c>
      <c r="B137" s="1757"/>
      <c r="C137" s="1755"/>
      <c r="D137" s="1756" t="s">
        <v>1894</v>
      </c>
      <c r="E137" s="1757"/>
      <c r="F137" s="1757"/>
      <c r="G137" s="1757"/>
      <c r="H137" s="1757"/>
      <c r="I137" s="1757"/>
      <c r="J137" s="1755"/>
      <c r="K137" s="1756" t="s">
        <v>1895</v>
      </c>
      <c r="L137" s="1757"/>
      <c r="M137" s="1757"/>
      <c r="N137" s="1757"/>
      <c r="O137" s="1757"/>
      <c r="P137" s="1757"/>
      <c r="Q137" s="1757"/>
      <c r="R137" s="1757"/>
      <c r="S137" s="1757"/>
      <c r="T137" s="1758" t="s">
        <v>1896</v>
      </c>
      <c r="U137" s="1757"/>
      <c r="V137" s="1757"/>
      <c r="W137" s="1757"/>
      <c r="X137" s="1757"/>
      <c r="Y137" s="1755"/>
      <c r="Z137" s="1761"/>
      <c r="AA137" s="1762"/>
    </row>
    <row r="138" spans="1:27" ht="45.75" customHeight="1">
      <c r="A138" s="1760">
        <v>44</v>
      </c>
      <c r="B138" s="1757"/>
      <c r="C138" s="1755"/>
      <c r="D138" s="1758" t="s">
        <v>1897</v>
      </c>
      <c r="E138" s="1757"/>
      <c r="F138" s="1757"/>
      <c r="G138" s="1757"/>
      <c r="H138" s="1757"/>
      <c r="I138" s="1757"/>
      <c r="J138" s="1755"/>
      <c r="K138" s="1758" t="s">
        <v>1898</v>
      </c>
      <c r="L138" s="1757"/>
      <c r="M138" s="1757"/>
      <c r="N138" s="1757"/>
      <c r="O138" s="1757"/>
      <c r="P138" s="1757"/>
      <c r="Q138" s="1757"/>
      <c r="R138" s="1757"/>
      <c r="S138" s="1757"/>
      <c r="T138" s="1758" t="s">
        <v>1899</v>
      </c>
      <c r="U138" s="1757"/>
      <c r="V138" s="1757"/>
      <c r="W138" s="1757"/>
      <c r="X138" s="1757"/>
      <c r="Y138" s="1755"/>
      <c r="Z138" s="1761"/>
      <c r="AA138" s="1762"/>
    </row>
    <row r="139" spans="1:27" ht="46.5" customHeight="1">
      <c r="A139" s="1760">
        <v>45</v>
      </c>
      <c r="B139" s="1757"/>
      <c r="C139" s="1755"/>
      <c r="D139" s="1756" t="s">
        <v>1900</v>
      </c>
      <c r="E139" s="1757"/>
      <c r="F139" s="1757"/>
      <c r="G139" s="1757"/>
      <c r="H139" s="1757"/>
      <c r="I139" s="1757"/>
      <c r="J139" s="1755"/>
      <c r="K139" s="1756" t="s">
        <v>1901</v>
      </c>
      <c r="L139" s="1757"/>
      <c r="M139" s="1757"/>
      <c r="N139" s="1757"/>
      <c r="O139" s="1757"/>
      <c r="P139" s="1757"/>
      <c r="Q139" s="1757"/>
      <c r="R139" s="1757"/>
      <c r="S139" s="1757"/>
      <c r="T139" s="1758" t="s">
        <v>1902</v>
      </c>
      <c r="U139" s="1757"/>
      <c r="V139" s="1757"/>
      <c r="W139" s="1757"/>
      <c r="X139" s="1757"/>
      <c r="Y139" s="1755"/>
      <c r="Z139" s="1761"/>
      <c r="AA139" s="1762"/>
    </row>
    <row r="140" spans="1:27" ht="46.5" customHeight="1">
      <c r="A140" s="1760">
        <v>46</v>
      </c>
      <c r="B140" s="1757"/>
      <c r="C140" s="1755"/>
      <c r="D140" s="1756" t="s">
        <v>1903</v>
      </c>
      <c r="E140" s="1757"/>
      <c r="F140" s="1757"/>
      <c r="G140" s="1757"/>
      <c r="H140" s="1757"/>
      <c r="I140" s="1757"/>
      <c r="J140" s="1755"/>
      <c r="K140" s="1756" t="s">
        <v>1904</v>
      </c>
      <c r="L140" s="1757"/>
      <c r="M140" s="1757"/>
      <c r="N140" s="1757"/>
      <c r="O140" s="1757"/>
      <c r="P140" s="1757"/>
      <c r="Q140" s="1757"/>
      <c r="R140" s="1757"/>
      <c r="S140" s="1757"/>
      <c r="T140" s="1758" t="s">
        <v>1905</v>
      </c>
      <c r="U140" s="1757"/>
      <c r="V140" s="1757"/>
      <c r="W140" s="1757"/>
      <c r="X140" s="1757"/>
      <c r="Y140" s="1755"/>
      <c r="Z140" s="1761"/>
      <c r="AA140" s="1762"/>
    </row>
    <row r="141" spans="1:27" ht="60.75" customHeight="1">
      <c r="A141" s="1760">
        <v>47</v>
      </c>
      <c r="B141" s="1757"/>
      <c r="C141" s="1755"/>
      <c r="D141" s="1756" t="s">
        <v>1906</v>
      </c>
      <c r="E141" s="1757"/>
      <c r="F141" s="1757"/>
      <c r="G141" s="1757"/>
      <c r="H141" s="1757"/>
      <c r="I141" s="1757"/>
      <c r="J141" s="1755"/>
      <c r="K141" s="1756" t="s">
        <v>1907</v>
      </c>
      <c r="L141" s="1757"/>
      <c r="M141" s="1757"/>
      <c r="N141" s="1757"/>
      <c r="O141" s="1757"/>
      <c r="P141" s="1757"/>
      <c r="Q141" s="1757"/>
      <c r="R141" s="1757"/>
      <c r="S141" s="1757"/>
      <c r="T141" s="1758" t="s">
        <v>1908</v>
      </c>
      <c r="U141" s="1757"/>
      <c r="V141" s="1757"/>
      <c r="W141" s="1757"/>
      <c r="X141" s="1757"/>
      <c r="Y141" s="1755"/>
      <c r="Z141" s="1761"/>
      <c r="AA141" s="1762"/>
    </row>
    <row r="142" spans="1:27" ht="54.75" customHeight="1">
      <c r="A142" s="1759">
        <v>48</v>
      </c>
      <c r="B142" s="1755"/>
      <c r="C142" s="1756" t="s">
        <v>1909</v>
      </c>
      <c r="D142" s="1757"/>
      <c r="E142" s="1757"/>
      <c r="F142" s="1757"/>
      <c r="G142" s="1757"/>
      <c r="H142" s="1757"/>
      <c r="I142" s="1755"/>
      <c r="J142" s="1756" t="s">
        <v>1910</v>
      </c>
      <c r="K142" s="1757"/>
      <c r="L142" s="1757"/>
      <c r="M142" s="1757"/>
      <c r="N142" s="1757"/>
      <c r="O142" s="1757"/>
      <c r="P142" s="1757"/>
      <c r="Q142" s="1757"/>
      <c r="R142" s="1755"/>
      <c r="S142" s="1758" t="s">
        <v>1911</v>
      </c>
      <c r="T142" s="1757"/>
      <c r="U142" s="1757"/>
      <c r="V142" s="1757"/>
      <c r="W142" s="1757"/>
      <c r="X142" s="1757"/>
      <c r="Y142" s="1755"/>
      <c r="Z142" s="1084"/>
      <c r="AA142" s="1084"/>
    </row>
    <row r="143" spans="1:27" ht="63" customHeight="1">
      <c r="A143" s="1759">
        <v>49</v>
      </c>
      <c r="B143" s="1755"/>
      <c r="C143" s="1756" t="s">
        <v>1912</v>
      </c>
      <c r="D143" s="1757"/>
      <c r="E143" s="1757"/>
      <c r="F143" s="1757"/>
      <c r="G143" s="1757"/>
      <c r="H143" s="1757"/>
      <c r="I143" s="1755"/>
      <c r="J143" s="1758" t="s">
        <v>1913</v>
      </c>
      <c r="K143" s="1757"/>
      <c r="L143" s="1757"/>
      <c r="M143" s="1757"/>
      <c r="N143" s="1757"/>
      <c r="O143" s="1757"/>
      <c r="P143" s="1757"/>
      <c r="Q143" s="1757"/>
      <c r="R143" s="1755"/>
      <c r="S143" s="1758" t="s">
        <v>1914</v>
      </c>
      <c r="T143" s="1757"/>
      <c r="U143" s="1757"/>
      <c r="V143" s="1757"/>
      <c r="W143" s="1757"/>
      <c r="X143" s="1757"/>
      <c r="Y143" s="1755"/>
      <c r="Z143" s="1084"/>
      <c r="AA143" s="1084"/>
    </row>
    <row r="144" spans="1:27" ht="66" customHeight="1">
      <c r="A144" s="1759">
        <v>50</v>
      </c>
      <c r="B144" s="1755"/>
      <c r="C144" s="1756" t="s">
        <v>1915</v>
      </c>
      <c r="D144" s="1757"/>
      <c r="E144" s="1757"/>
      <c r="F144" s="1757"/>
      <c r="G144" s="1757"/>
      <c r="H144" s="1757"/>
      <c r="I144" s="1755"/>
      <c r="J144" s="1756" t="s">
        <v>1916</v>
      </c>
      <c r="K144" s="1757"/>
      <c r="L144" s="1757"/>
      <c r="M144" s="1757"/>
      <c r="N144" s="1757"/>
      <c r="O144" s="1757"/>
      <c r="P144" s="1757"/>
      <c r="Q144" s="1757"/>
      <c r="R144" s="1755"/>
      <c r="S144" s="1758" t="s">
        <v>1917</v>
      </c>
      <c r="T144" s="1757"/>
      <c r="U144" s="1757"/>
      <c r="V144" s="1757"/>
      <c r="W144" s="1757"/>
      <c r="X144" s="1757"/>
      <c r="Y144" s="1755"/>
      <c r="Z144" s="1084"/>
      <c r="AA144" s="1084"/>
    </row>
    <row r="145" spans="1:27" ht="48" customHeight="1">
      <c r="A145" s="1759">
        <v>51</v>
      </c>
      <c r="B145" s="1755"/>
      <c r="C145" s="1758" t="s">
        <v>1918</v>
      </c>
      <c r="D145" s="1757"/>
      <c r="E145" s="1757"/>
      <c r="F145" s="1757"/>
      <c r="G145" s="1757"/>
      <c r="H145" s="1757"/>
      <c r="I145" s="1755"/>
      <c r="J145" s="1758" t="s">
        <v>1919</v>
      </c>
      <c r="K145" s="1757"/>
      <c r="L145" s="1757"/>
      <c r="M145" s="1757"/>
      <c r="N145" s="1757"/>
      <c r="O145" s="1757"/>
      <c r="P145" s="1757"/>
      <c r="Q145" s="1757"/>
      <c r="R145" s="1755"/>
      <c r="S145" s="1758" t="s">
        <v>1920</v>
      </c>
      <c r="T145" s="1757"/>
      <c r="U145" s="1757"/>
      <c r="V145" s="1757"/>
      <c r="W145" s="1757"/>
      <c r="X145" s="1757"/>
      <c r="Y145" s="1755"/>
      <c r="Z145" s="1084"/>
      <c r="AA145" s="1084"/>
    </row>
    <row r="146" spans="1:27" ht="54.75" customHeight="1">
      <c r="A146" s="1759">
        <v>52</v>
      </c>
      <c r="B146" s="1755"/>
      <c r="C146" s="1756" t="s">
        <v>1921</v>
      </c>
      <c r="D146" s="1757"/>
      <c r="E146" s="1757"/>
      <c r="F146" s="1757"/>
      <c r="G146" s="1757"/>
      <c r="H146" s="1757"/>
      <c r="I146" s="1755"/>
      <c r="J146" s="1756" t="s">
        <v>1922</v>
      </c>
      <c r="K146" s="1757"/>
      <c r="L146" s="1757"/>
      <c r="M146" s="1757"/>
      <c r="N146" s="1757"/>
      <c r="O146" s="1757"/>
      <c r="P146" s="1757"/>
      <c r="Q146" s="1757"/>
      <c r="R146" s="1755"/>
      <c r="S146" s="1758" t="s">
        <v>1923</v>
      </c>
      <c r="T146" s="1757"/>
      <c r="U146" s="1757"/>
      <c r="V146" s="1757"/>
      <c r="W146" s="1757"/>
      <c r="X146" s="1757"/>
      <c r="Y146" s="1755"/>
      <c r="Z146" s="1084"/>
      <c r="AA146" s="1084"/>
    </row>
    <row r="147" spans="1:27" ht="60" customHeight="1">
      <c r="A147" s="1759">
        <v>53</v>
      </c>
      <c r="B147" s="1755"/>
      <c r="C147" s="1756" t="s">
        <v>1924</v>
      </c>
      <c r="D147" s="1757"/>
      <c r="E147" s="1757"/>
      <c r="F147" s="1757"/>
      <c r="G147" s="1757"/>
      <c r="H147" s="1757"/>
      <c r="I147" s="1755"/>
      <c r="J147" s="1758" t="s">
        <v>1925</v>
      </c>
      <c r="K147" s="1757"/>
      <c r="L147" s="1757"/>
      <c r="M147" s="1757"/>
      <c r="N147" s="1757"/>
      <c r="O147" s="1757"/>
      <c r="P147" s="1757"/>
      <c r="Q147" s="1757"/>
      <c r="R147" s="1755"/>
      <c r="S147" s="1758" t="s">
        <v>1926</v>
      </c>
      <c r="T147" s="1757"/>
      <c r="U147" s="1757"/>
      <c r="V147" s="1757"/>
      <c r="W147" s="1757"/>
      <c r="X147" s="1757"/>
      <c r="Y147" s="1755"/>
      <c r="Z147" s="1084"/>
      <c r="AA147" s="1084"/>
    </row>
    <row r="148" spans="1:27" ht="49.5" customHeight="1">
      <c r="A148" s="1754">
        <v>54</v>
      </c>
      <c r="B148" s="1755"/>
      <c r="C148" s="1756" t="s">
        <v>1927</v>
      </c>
      <c r="D148" s="1757"/>
      <c r="E148" s="1757"/>
      <c r="F148" s="1757"/>
      <c r="G148" s="1757"/>
      <c r="H148" s="1757"/>
      <c r="I148" s="1755"/>
      <c r="J148" s="1758" t="s">
        <v>1928</v>
      </c>
      <c r="K148" s="1757"/>
      <c r="L148" s="1757"/>
      <c r="M148" s="1757"/>
      <c r="N148" s="1757"/>
      <c r="O148" s="1757"/>
      <c r="P148" s="1757"/>
      <c r="Q148" s="1757"/>
      <c r="R148" s="1755"/>
      <c r="S148" s="1758" t="s">
        <v>1929</v>
      </c>
      <c r="T148" s="1757"/>
      <c r="U148" s="1757"/>
      <c r="V148" s="1757"/>
      <c r="W148" s="1757"/>
      <c r="X148" s="1757"/>
      <c r="Y148" s="1755"/>
      <c r="Z148" s="1086"/>
      <c r="AA148" s="1084"/>
    </row>
    <row r="149" spans="1:27" ht="60.75" customHeight="1">
      <c r="A149" s="1754">
        <v>55</v>
      </c>
      <c r="B149" s="1755"/>
      <c r="C149" s="1756" t="s">
        <v>1930</v>
      </c>
      <c r="D149" s="1757"/>
      <c r="E149" s="1757"/>
      <c r="F149" s="1757"/>
      <c r="G149" s="1757"/>
      <c r="H149" s="1757"/>
      <c r="I149" s="1755"/>
      <c r="J149" s="1758" t="s">
        <v>1931</v>
      </c>
      <c r="K149" s="1757"/>
      <c r="L149" s="1757"/>
      <c r="M149" s="1757"/>
      <c r="N149" s="1757"/>
      <c r="O149" s="1757"/>
      <c r="P149" s="1757"/>
      <c r="Q149" s="1757"/>
      <c r="R149" s="1755"/>
      <c r="S149" s="1758" t="s">
        <v>1932</v>
      </c>
      <c r="T149" s="1757"/>
      <c r="U149" s="1757"/>
      <c r="V149" s="1757"/>
      <c r="W149" s="1757"/>
      <c r="X149" s="1757"/>
      <c r="Y149" s="1755"/>
      <c r="Z149" s="1086"/>
      <c r="AA149" s="1084"/>
    </row>
    <row r="150" spans="1:27" ht="42.75" customHeight="1">
      <c r="A150" s="1754">
        <v>56</v>
      </c>
      <c r="B150" s="1755"/>
      <c r="C150" s="1756" t="s">
        <v>1933</v>
      </c>
      <c r="D150" s="1757"/>
      <c r="E150" s="1757"/>
      <c r="F150" s="1757"/>
      <c r="G150" s="1757"/>
      <c r="H150" s="1757"/>
      <c r="I150" s="1755"/>
      <c r="J150" s="1756" t="s">
        <v>1934</v>
      </c>
      <c r="K150" s="1757"/>
      <c r="L150" s="1757"/>
      <c r="M150" s="1757"/>
      <c r="N150" s="1757"/>
      <c r="O150" s="1757"/>
      <c r="P150" s="1757"/>
      <c r="Q150" s="1757"/>
      <c r="R150" s="1755"/>
      <c r="S150" s="1758" t="s">
        <v>1935</v>
      </c>
      <c r="T150" s="1757"/>
      <c r="U150" s="1757"/>
      <c r="V150" s="1757"/>
      <c r="W150" s="1757"/>
      <c r="X150" s="1757"/>
      <c r="Y150" s="1755"/>
      <c r="Z150" s="1086"/>
      <c r="AA150" s="1084"/>
    </row>
    <row r="151" spans="1:27" ht="54.75" customHeight="1">
      <c r="A151" s="1754">
        <v>57</v>
      </c>
      <c r="B151" s="1755"/>
      <c r="C151" s="1756" t="s">
        <v>1936</v>
      </c>
      <c r="D151" s="1757"/>
      <c r="E151" s="1757"/>
      <c r="F151" s="1757"/>
      <c r="G151" s="1757"/>
      <c r="H151" s="1757"/>
      <c r="I151" s="1755"/>
      <c r="J151" s="1756" t="s">
        <v>1937</v>
      </c>
      <c r="K151" s="1757"/>
      <c r="L151" s="1757"/>
      <c r="M151" s="1757"/>
      <c r="N151" s="1757"/>
      <c r="O151" s="1757"/>
      <c r="P151" s="1757"/>
      <c r="Q151" s="1757"/>
      <c r="R151" s="1755"/>
      <c r="S151" s="1758" t="s">
        <v>1938</v>
      </c>
      <c r="T151" s="1757"/>
      <c r="U151" s="1757"/>
      <c r="V151" s="1757"/>
      <c r="W151" s="1757"/>
      <c r="X151" s="1757"/>
      <c r="Y151" s="1755"/>
      <c r="Z151" s="1086"/>
      <c r="AA151" s="1084"/>
    </row>
    <row r="152" spans="1:27" ht="44.25" customHeight="1">
      <c r="A152" s="1754">
        <v>58</v>
      </c>
      <c r="B152" s="1755"/>
      <c r="C152" s="1756" t="s">
        <v>1939</v>
      </c>
      <c r="D152" s="1757"/>
      <c r="E152" s="1757"/>
      <c r="F152" s="1757"/>
      <c r="G152" s="1757"/>
      <c r="H152" s="1757"/>
      <c r="I152" s="1755"/>
      <c r="J152" s="1756" t="s">
        <v>1940</v>
      </c>
      <c r="K152" s="1757"/>
      <c r="L152" s="1757"/>
      <c r="M152" s="1757"/>
      <c r="N152" s="1757"/>
      <c r="O152" s="1757"/>
      <c r="P152" s="1757"/>
      <c r="Q152" s="1757"/>
      <c r="R152" s="1755"/>
      <c r="S152" s="1758" t="s">
        <v>1941</v>
      </c>
      <c r="T152" s="1757"/>
      <c r="U152" s="1757"/>
      <c r="V152" s="1757"/>
      <c r="W152" s="1757"/>
      <c r="X152" s="1757"/>
      <c r="Y152" s="1755"/>
      <c r="Z152" s="1086"/>
      <c r="AA152" s="1084"/>
    </row>
    <row r="153" spans="1:27" ht="12.75" customHeight="1">
      <c r="A153" s="1075"/>
      <c r="B153" s="1075"/>
      <c r="C153" s="1075"/>
      <c r="D153" s="1075"/>
      <c r="E153" s="1075"/>
      <c r="F153" s="1075"/>
      <c r="G153" s="1075"/>
      <c r="H153" s="1075"/>
      <c r="I153" s="1075"/>
      <c r="J153" s="1075"/>
      <c r="K153" s="1075"/>
      <c r="L153" s="1075"/>
      <c r="M153" s="1075"/>
      <c r="N153" s="1075"/>
      <c r="O153" s="1075"/>
      <c r="P153" s="1075"/>
      <c r="Q153" s="1075"/>
      <c r="R153" s="1075"/>
      <c r="S153" s="1075"/>
      <c r="T153" s="1075"/>
      <c r="U153" s="1075"/>
      <c r="V153" s="1075"/>
      <c r="W153" s="1075"/>
      <c r="X153" s="1075"/>
      <c r="Y153" s="1075"/>
      <c r="Z153" s="1075"/>
      <c r="AA153" s="1075"/>
    </row>
    <row r="154" spans="1:27" ht="12.75" customHeight="1">
      <c r="A154" s="1075"/>
      <c r="B154" s="1075"/>
      <c r="C154" s="1075"/>
      <c r="D154" s="1075"/>
      <c r="E154" s="1075"/>
      <c r="F154" s="1075"/>
      <c r="G154" s="1075"/>
      <c r="H154" s="1075"/>
      <c r="I154" s="1075"/>
      <c r="J154" s="1075"/>
      <c r="K154" s="1075"/>
      <c r="L154" s="1075"/>
      <c r="M154" s="1075"/>
      <c r="N154" s="1075"/>
      <c r="O154" s="1075"/>
      <c r="P154" s="1075"/>
      <c r="Q154" s="1075"/>
      <c r="R154" s="1075"/>
      <c r="S154" s="1075"/>
      <c r="T154" s="1075"/>
      <c r="U154" s="1075"/>
      <c r="V154" s="1075"/>
      <c r="W154" s="1075"/>
      <c r="X154" s="1075"/>
      <c r="Y154" s="1075"/>
      <c r="Z154" s="1075"/>
      <c r="AA154" s="1075"/>
    </row>
    <row r="155" spans="1:27" ht="12.75" customHeight="1">
      <c r="A155" s="1075"/>
      <c r="B155" s="1075"/>
      <c r="C155" s="1075"/>
      <c r="D155" s="1075"/>
      <c r="E155" s="1075"/>
      <c r="F155" s="1075"/>
      <c r="G155" s="1075"/>
      <c r="H155" s="1075"/>
      <c r="I155" s="1075"/>
      <c r="J155" s="1075"/>
      <c r="K155" s="1075"/>
      <c r="L155" s="1075"/>
      <c r="M155" s="1075"/>
      <c r="N155" s="1075"/>
      <c r="O155" s="1075"/>
      <c r="P155" s="1075"/>
      <c r="Q155" s="1075"/>
      <c r="R155" s="1075"/>
      <c r="S155" s="1075"/>
      <c r="T155" s="1075"/>
      <c r="U155" s="1075"/>
      <c r="V155" s="1075"/>
      <c r="W155" s="1075"/>
      <c r="X155" s="1075"/>
      <c r="Y155" s="1075"/>
      <c r="Z155" s="1075"/>
      <c r="AA155" s="1075"/>
    </row>
    <row r="156" spans="1:27" ht="12.75" customHeight="1">
      <c r="A156" s="1075"/>
      <c r="B156" s="1075"/>
      <c r="C156" s="1075"/>
      <c r="D156" s="1075"/>
      <c r="E156" s="1075"/>
      <c r="F156" s="1075"/>
      <c r="G156" s="1075"/>
      <c r="H156" s="1075"/>
      <c r="I156" s="1075"/>
      <c r="J156" s="1075"/>
      <c r="K156" s="1075"/>
      <c r="L156" s="1075"/>
      <c r="M156" s="1075"/>
      <c r="N156" s="1075"/>
      <c r="O156" s="1075"/>
      <c r="P156" s="1075"/>
      <c r="Q156" s="1075"/>
      <c r="R156" s="1075"/>
      <c r="S156" s="1075"/>
      <c r="T156" s="1075"/>
      <c r="U156" s="1075"/>
      <c r="V156" s="1075"/>
      <c r="W156" s="1075"/>
      <c r="X156" s="1075"/>
      <c r="Y156" s="1075"/>
      <c r="Z156" s="1075"/>
      <c r="AA156" s="1075"/>
    </row>
    <row r="157" spans="1:27" ht="12.75" customHeight="1">
      <c r="A157" s="1075"/>
      <c r="B157" s="1075"/>
      <c r="C157" s="1075"/>
      <c r="D157" s="1075"/>
      <c r="E157" s="1075"/>
      <c r="F157" s="1075"/>
      <c r="G157" s="1075"/>
      <c r="H157" s="1075"/>
      <c r="I157" s="1075"/>
      <c r="J157" s="1075"/>
      <c r="K157" s="1075"/>
      <c r="L157" s="1075"/>
      <c r="M157" s="1075"/>
      <c r="N157" s="1075"/>
      <c r="O157" s="1075"/>
      <c r="P157" s="1075"/>
      <c r="Q157" s="1075"/>
      <c r="R157" s="1075"/>
      <c r="S157" s="1075"/>
      <c r="T157" s="1075"/>
      <c r="U157" s="1075"/>
      <c r="V157" s="1075"/>
      <c r="W157" s="1075"/>
      <c r="X157" s="1075"/>
      <c r="Y157" s="1075"/>
      <c r="Z157" s="1075"/>
      <c r="AA157" s="1075"/>
    </row>
    <row r="158" spans="1:27" ht="12.75" customHeight="1">
      <c r="A158" s="1075"/>
      <c r="B158" s="1075"/>
      <c r="C158" s="1075"/>
      <c r="D158" s="1075"/>
      <c r="E158" s="1075"/>
      <c r="F158" s="1075"/>
      <c r="G158" s="1075"/>
      <c r="H158" s="1075"/>
      <c r="I158" s="1075"/>
      <c r="J158" s="1075"/>
      <c r="K158" s="1075"/>
      <c r="L158" s="1075"/>
      <c r="M158" s="1075"/>
      <c r="N158" s="1075"/>
      <c r="O158" s="1075"/>
      <c r="P158" s="1075"/>
      <c r="Q158" s="1075"/>
      <c r="R158" s="1075"/>
      <c r="S158" s="1075"/>
      <c r="T158" s="1075"/>
      <c r="U158" s="1075"/>
      <c r="V158" s="1075"/>
      <c r="W158" s="1075"/>
      <c r="X158" s="1075"/>
      <c r="Y158" s="1075"/>
      <c r="Z158" s="1075"/>
      <c r="AA158" s="1075"/>
    </row>
    <row r="159" spans="1:27" ht="12.75" customHeight="1">
      <c r="A159" s="1075"/>
      <c r="B159" s="1075"/>
      <c r="C159" s="1075"/>
      <c r="D159" s="1075"/>
      <c r="E159" s="1075"/>
      <c r="F159" s="1075"/>
      <c r="G159" s="1075"/>
      <c r="H159" s="1075"/>
      <c r="I159" s="1075"/>
      <c r="J159" s="1075"/>
      <c r="K159" s="1075"/>
      <c r="L159" s="1075"/>
      <c r="M159" s="1075"/>
      <c r="N159" s="1075"/>
      <c r="O159" s="1075"/>
      <c r="P159" s="1075"/>
      <c r="Q159" s="1075"/>
      <c r="R159" s="1075"/>
      <c r="S159" s="1075"/>
      <c r="T159" s="1075"/>
      <c r="U159" s="1075"/>
      <c r="V159" s="1075"/>
      <c r="W159" s="1075"/>
      <c r="X159" s="1075"/>
      <c r="Y159" s="1075"/>
      <c r="Z159" s="1075"/>
      <c r="AA159" s="1075"/>
    </row>
    <row r="160" spans="1:27" ht="12.75" customHeight="1">
      <c r="A160" s="1075"/>
      <c r="B160" s="1075"/>
      <c r="C160" s="1075"/>
      <c r="D160" s="1075"/>
      <c r="E160" s="1075"/>
      <c r="F160" s="1075"/>
      <c r="G160" s="1075"/>
      <c r="H160" s="1075"/>
      <c r="I160" s="1075"/>
      <c r="J160" s="1075"/>
      <c r="K160" s="1075"/>
      <c r="L160" s="1075"/>
      <c r="M160" s="1075"/>
      <c r="N160" s="1075"/>
      <c r="O160" s="1075"/>
      <c r="P160" s="1075"/>
      <c r="Q160" s="1075"/>
      <c r="R160" s="1075"/>
      <c r="S160" s="1075"/>
      <c r="T160" s="1075"/>
      <c r="U160" s="1075"/>
      <c r="V160" s="1075"/>
      <c r="W160" s="1075"/>
      <c r="X160" s="1075"/>
      <c r="Y160" s="1075"/>
      <c r="Z160" s="1075"/>
      <c r="AA160" s="1075"/>
    </row>
    <row r="161" spans="1:27" ht="12.75" customHeight="1">
      <c r="A161" s="1075"/>
      <c r="B161" s="1075"/>
      <c r="C161" s="1075"/>
      <c r="D161" s="1075"/>
      <c r="E161" s="1075"/>
      <c r="F161" s="1075"/>
      <c r="G161" s="1075"/>
      <c r="H161" s="1075"/>
      <c r="I161" s="1075"/>
      <c r="J161" s="1075"/>
      <c r="K161" s="1075"/>
      <c r="L161" s="1075"/>
      <c r="M161" s="1075"/>
      <c r="N161" s="1075"/>
      <c r="O161" s="1075"/>
      <c r="P161" s="1075"/>
      <c r="Q161" s="1075"/>
      <c r="R161" s="1075"/>
      <c r="S161" s="1075"/>
      <c r="T161" s="1075"/>
      <c r="U161" s="1075"/>
      <c r="V161" s="1075"/>
      <c r="W161" s="1075"/>
      <c r="X161" s="1075"/>
      <c r="Y161" s="1075"/>
      <c r="Z161" s="1075"/>
      <c r="AA161" s="1075"/>
    </row>
    <row r="162" spans="1:27" ht="12.75" customHeight="1">
      <c r="A162" s="1075"/>
      <c r="B162" s="1075"/>
      <c r="C162" s="1075"/>
      <c r="D162" s="1075"/>
      <c r="E162" s="1075"/>
      <c r="F162" s="1075"/>
      <c r="G162" s="1075"/>
      <c r="H162" s="1075"/>
      <c r="I162" s="1075"/>
      <c r="J162" s="1075"/>
      <c r="K162" s="1075"/>
      <c r="L162" s="1075"/>
      <c r="M162" s="1075"/>
      <c r="N162" s="1075"/>
      <c r="O162" s="1075"/>
      <c r="P162" s="1075"/>
      <c r="Q162" s="1075"/>
      <c r="R162" s="1075"/>
      <c r="S162" s="1075"/>
      <c r="T162" s="1075"/>
      <c r="U162" s="1075"/>
      <c r="V162" s="1075"/>
      <c r="W162" s="1075"/>
      <c r="X162" s="1075"/>
      <c r="Y162" s="1075"/>
      <c r="Z162" s="1075"/>
      <c r="AA162" s="1075"/>
    </row>
    <row r="163" spans="1:27" ht="12.75" customHeight="1">
      <c r="A163" s="1075"/>
      <c r="B163" s="1075"/>
      <c r="C163" s="1075"/>
      <c r="D163" s="1075"/>
      <c r="E163" s="1075"/>
      <c r="F163" s="1075"/>
      <c r="G163" s="1075"/>
      <c r="H163" s="1075"/>
      <c r="I163" s="1075"/>
      <c r="J163" s="1075"/>
      <c r="K163" s="1075"/>
      <c r="L163" s="1075"/>
      <c r="M163" s="1075"/>
      <c r="N163" s="1075"/>
      <c r="O163" s="1075"/>
      <c r="P163" s="1075"/>
      <c r="Q163" s="1075"/>
      <c r="R163" s="1075"/>
      <c r="S163" s="1075"/>
      <c r="T163" s="1075"/>
      <c r="U163" s="1075"/>
      <c r="V163" s="1075"/>
      <c r="W163" s="1075"/>
      <c r="X163" s="1075"/>
      <c r="Y163" s="1075"/>
      <c r="Z163" s="1075"/>
      <c r="AA163" s="1075"/>
    </row>
    <row r="164" spans="1:27" ht="12.75" customHeight="1">
      <c r="A164" s="1075"/>
      <c r="B164" s="1075"/>
      <c r="C164" s="1075"/>
      <c r="D164" s="1075"/>
      <c r="E164" s="1075"/>
      <c r="F164" s="1075"/>
      <c r="G164" s="1075"/>
      <c r="H164" s="1075"/>
      <c r="I164" s="1075"/>
      <c r="J164" s="1075"/>
      <c r="K164" s="1075"/>
      <c r="L164" s="1075"/>
      <c r="M164" s="1075"/>
      <c r="N164" s="1075"/>
      <c r="O164" s="1075"/>
      <c r="P164" s="1075"/>
      <c r="Q164" s="1075"/>
      <c r="R164" s="1075"/>
      <c r="S164" s="1075"/>
      <c r="T164" s="1075"/>
      <c r="U164" s="1075"/>
      <c r="V164" s="1075"/>
      <c r="W164" s="1075"/>
      <c r="X164" s="1075"/>
      <c r="Y164" s="1075"/>
      <c r="Z164" s="1075"/>
      <c r="AA164" s="1075"/>
    </row>
    <row r="165" spans="1:27" ht="12.75" customHeight="1">
      <c r="A165" s="1075"/>
      <c r="B165" s="1075"/>
      <c r="C165" s="1075"/>
      <c r="D165" s="1075"/>
      <c r="E165" s="1075"/>
      <c r="F165" s="1075"/>
      <c r="G165" s="1075"/>
      <c r="H165" s="1075"/>
      <c r="I165" s="1075"/>
      <c r="J165" s="1075"/>
      <c r="K165" s="1075"/>
      <c r="L165" s="1075"/>
      <c r="M165" s="1075"/>
      <c r="N165" s="1075"/>
      <c r="O165" s="1075"/>
      <c r="P165" s="1075"/>
      <c r="Q165" s="1075"/>
      <c r="R165" s="1075"/>
      <c r="S165" s="1075"/>
      <c r="T165" s="1075"/>
      <c r="U165" s="1075"/>
      <c r="V165" s="1075"/>
      <c r="W165" s="1075"/>
      <c r="X165" s="1075"/>
      <c r="Y165" s="1075"/>
      <c r="Z165" s="1075"/>
      <c r="AA165" s="1075"/>
    </row>
    <row r="166" spans="1:27" ht="12.75" customHeight="1">
      <c r="A166" s="1075"/>
      <c r="B166" s="1075"/>
      <c r="C166" s="1075"/>
      <c r="D166" s="1075"/>
      <c r="E166" s="1075"/>
      <c r="F166" s="1075"/>
      <c r="G166" s="1075"/>
      <c r="H166" s="1075"/>
      <c r="I166" s="1075"/>
      <c r="J166" s="1075"/>
      <c r="K166" s="1075"/>
      <c r="L166" s="1075"/>
      <c r="M166" s="1075"/>
      <c r="N166" s="1075"/>
      <c r="O166" s="1075"/>
      <c r="P166" s="1075"/>
      <c r="Q166" s="1075"/>
      <c r="R166" s="1075"/>
      <c r="S166" s="1075"/>
      <c r="T166" s="1075"/>
      <c r="U166" s="1075"/>
      <c r="V166" s="1075"/>
      <c r="W166" s="1075"/>
      <c r="X166" s="1075"/>
      <c r="Y166" s="1075"/>
      <c r="Z166" s="1075"/>
      <c r="AA166" s="1075"/>
    </row>
    <row r="167" spans="1:27" ht="12.75" customHeight="1">
      <c r="A167" s="1075"/>
      <c r="B167" s="1075"/>
      <c r="C167" s="1075"/>
      <c r="D167" s="1075"/>
      <c r="E167" s="1075"/>
      <c r="F167" s="1075"/>
      <c r="G167" s="1075"/>
      <c r="H167" s="1075"/>
      <c r="I167" s="1075"/>
      <c r="J167" s="1075"/>
      <c r="K167" s="1075"/>
      <c r="L167" s="1075"/>
      <c r="M167" s="1075"/>
      <c r="N167" s="1075"/>
      <c r="O167" s="1075"/>
      <c r="P167" s="1075"/>
      <c r="Q167" s="1075"/>
      <c r="R167" s="1075"/>
      <c r="S167" s="1075"/>
      <c r="T167" s="1075"/>
      <c r="U167" s="1075"/>
      <c r="V167" s="1075"/>
      <c r="W167" s="1075"/>
      <c r="X167" s="1075"/>
      <c r="Y167" s="1075"/>
      <c r="Z167" s="1075"/>
      <c r="AA167" s="1075"/>
    </row>
    <row r="168" spans="1:27" ht="12.75" customHeight="1">
      <c r="A168" s="1075"/>
      <c r="B168" s="1075"/>
      <c r="C168" s="1075"/>
      <c r="D168" s="1075"/>
      <c r="E168" s="1075"/>
      <c r="F168" s="1075"/>
      <c r="G168" s="1075"/>
      <c r="H168" s="1075"/>
      <c r="I168" s="1075"/>
      <c r="J168" s="1075"/>
      <c r="K168" s="1075"/>
      <c r="L168" s="1075"/>
      <c r="M168" s="1075"/>
      <c r="N168" s="1075"/>
      <c r="O168" s="1075"/>
      <c r="P168" s="1075"/>
      <c r="Q168" s="1075"/>
      <c r="R168" s="1075"/>
      <c r="S168" s="1075"/>
      <c r="T168" s="1075"/>
      <c r="U168" s="1075"/>
      <c r="V168" s="1075"/>
      <c r="W168" s="1075"/>
      <c r="X168" s="1075"/>
      <c r="Y168" s="1075"/>
      <c r="Z168" s="1075"/>
      <c r="AA168" s="1075"/>
    </row>
    <row r="169" spans="1:27" ht="12.75" customHeight="1">
      <c r="A169" s="1075"/>
      <c r="B169" s="1075"/>
      <c r="C169" s="1075"/>
      <c r="D169" s="1075"/>
      <c r="E169" s="1075"/>
      <c r="F169" s="1075"/>
      <c r="G169" s="1075"/>
      <c r="H169" s="1075"/>
      <c r="I169" s="1075"/>
      <c r="J169" s="1075"/>
      <c r="K169" s="1075"/>
      <c r="L169" s="1075"/>
      <c r="M169" s="1075"/>
      <c r="N169" s="1075"/>
      <c r="O169" s="1075"/>
      <c r="P169" s="1075"/>
      <c r="Q169" s="1075"/>
      <c r="R169" s="1075"/>
      <c r="S169" s="1075"/>
      <c r="T169" s="1075"/>
      <c r="U169" s="1075"/>
      <c r="V169" s="1075"/>
      <c r="W169" s="1075"/>
      <c r="X169" s="1075"/>
      <c r="Y169" s="1075"/>
      <c r="Z169" s="1075"/>
      <c r="AA169" s="1075"/>
    </row>
    <row r="170" spans="1:27" ht="12.75" customHeight="1">
      <c r="A170" s="1075"/>
      <c r="B170" s="1075"/>
      <c r="C170" s="1075"/>
      <c r="D170" s="1075"/>
      <c r="E170" s="1075"/>
      <c r="F170" s="1075"/>
      <c r="G170" s="1075"/>
      <c r="H170" s="1075"/>
      <c r="I170" s="1075"/>
      <c r="J170" s="1075"/>
      <c r="K170" s="1075"/>
      <c r="L170" s="1075"/>
      <c r="M170" s="1075"/>
      <c r="N170" s="1075"/>
      <c r="O170" s="1075"/>
      <c r="P170" s="1075"/>
      <c r="Q170" s="1075"/>
      <c r="R170" s="1075"/>
      <c r="S170" s="1075"/>
      <c r="T170" s="1075"/>
      <c r="U170" s="1075"/>
      <c r="V170" s="1075"/>
      <c r="W170" s="1075"/>
      <c r="X170" s="1075"/>
      <c r="Y170" s="1075"/>
      <c r="Z170" s="1075"/>
      <c r="AA170" s="1075"/>
    </row>
    <row r="171" spans="1:27" ht="12.75" customHeight="1">
      <c r="A171" s="1075"/>
      <c r="B171" s="1075"/>
      <c r="C171" s="1075"/>
      <c r="D171" s="1075"/>
      <c r="E171" s="1075"/>
      <c r="F171" s="1075"/>
      <c r="G171" s="1075"/>
      <c r="H171" s="1075"/>
      <c r="I171" s="1075"/>
      <c r="J171" s="1075"/>
      <c r="K171" s="1075"/>
      <c r="L171" s="1075"/>
      <c r="M171" s="1075"/>
      <c r="N171" s="1075"/>
      <c r="O171" s="1075"/>
      <c r="P171" s="1075"/>
      <c r="Q171" s="1075"/>
      <c r="R171" s="1075"/>
      <c r="S171" s="1075"/>
      <c r="T171" s="1075"/>
      <c r="U171" s="1075"/>
      <c r="V171" s="1075"/>
      <c r="W171" s="1075"/>
      <c r="X171" s="1075"/>
      <c r="Y171" s="1075"/>
      <c r="Z171" s="1075"/>
      <c r="AA171" s="1075"/>
    </row>
    <row r="172" spans="1:27" ht="12.75" customHeight="1">
      <c r="A172" s="1075"/>
      <c r="B172" s="1075"/>
      <c r="C172" s="1075"/>
      <c r="D172" s="1075"/>
      <c r="E172" s="1075"/>
      <c r="F172" s="1075"/>
      <c r="G172" s="1075"/>
      <c r="H172" s="1075"/>
      <c r="I172" s="1075"/>
      <c r="J172" s="1075"/>
      <c r="K172" s="1075"/>
      <c r="L172" s="1075"/>
      <c r="M172" s="1075"/>
      <c r="N172" s="1075"/>
      <c r="O172" s="1075"/>
      <c r="P172" s="1075"/>
      <c r="Q172" s="1075"/>
      <c r="R172" s="1075"/>
      <c r="S172" s="1075"/>
      <c r="T172" s="1075"/>
      <c r="U172" s="1075"/>
      <c r="V172" s="1075"/>
      <c r="W172" s="1075"/>
      <c r="X172" s="1075"/>
      <c r="Y172" s="1075"/>
      <c r="Z172" s="1075"/>
      <c r="AA172" s="1075"/>
    </row>
    <row r="173" spans="1:27" ht="12.75" customHeight="1">
      <c r="A173" s="1075"/>
      <c r="B173" s="1075"/>
      <c r="C173" s="1075"/>
      <c r="D173" s="1075"/>
      <c r="E173" s="1075"/>
      <c r="F173" s="1075"/>
      <c r="G173" s="1075"/>
      <c r="H173" s="1075"/>
      <c r="I173" s="1075"/>
      <c r="J173" s="1075"/>
      <c r="K173" s="1075"/>
      <c r="L173" s="1075"/>
      <c r="M173" s="1075"/>
      <c r="N173" s="1075"/>
      <c r="O173" s="1075"/>
      <c r="P173" s="1075"/>
      <c r="Q173" s="1075"/>
      <c r="R173" s="1075"/>
      <c r="S173" s="1075"/>
      <c r="T173" s="1075"/>
      <c r="U173" s="1075"/>
      <c r="V173" s="1075"/>
      <c r="W173" s="1075"/>
      <c r="X173" s="1075"/>
      <c r="Y173" s="1075"/>
      <c r="Z173" s="1075"/>
      <c r="AA173" s="1075"/>
    </row>
    <row r="174" spans="1:27" ht="12.75" customHeight="1">
      <c r="A174" s="1075"/>
      <c r="B174" s="1075"/>
      <c r="C174" s="1075"/>
      <c r="D174" s="1075"/>
      <c r="E174" s="1075"/>
      <c r="F174" s="1075"/>
      <c r="G174" s="1075"/>
      <c r="H174" s="1075"/>
      <c r="I174" s="1075"/>
      <c r="J174" s="1075"/>
      <c r="K174" s="1075"/>
      <c r="L174" s="1075"/>
      <c r="M174" s="1075"/>
      <c r="N174" s="1075"/>
      <c r="O174" s="1075"/>
      <c r="P174" s="1075"/>
      <c r="Q174" s="1075"/>
      <c r="R174" s="1075"/>
      <c r="S174" s="1075"/>
      <c r="T174" s="1075"/>
      <c r="U174" s="1075"/>
      <c r="V174" s="1075"/>
      <c r="W174" s="1075"/>
      <c r="X174" s="1075"/>
      <c r="Y174" s="1075"/>
      <c r="Z174" s="1075"/>
      <c r="AA174" s="1075"/>
    </row>
    <row r="175" spans="1:27" ht="12.75" customHeight="1">
      <c r="A175" s="1075"/>
      <c r="B175" s="1075"/>
      <c r="C175" s="1075"/>
      <c r="D175" s="1075"/>
      <c r="E175" s="1075"/>
      <c r="F175" s="1075"/>
      <c r="G175" s="1075"/>
      <c r="H175" s="1075"/>
      <c r="I175" s="1075"/>
      <c r="J175" s="1075"/>
      <c r="K175" s="1075"/>
      <c r="L175" s="1075"/>
      <c r="M175" s="1075"/>
      <c r="N175" s="1075"/>
      <c r="O175" s="1075"/>
      <c r="P175" s="1075"/>
      <c r="Q175" s="1075"/>
      <c r="R175" s="1075"/>
      <c r="S175" s="1075"/>
      <c r="T175" s="1075"/>
      <c r="U175" s="1075"/>
      <c r="V175" s="1075"/>
      <c r="W175" s="1075"/>
      <c r="X175" s="1075"/>
      <c r="Y175" s="1075"/>
      <c r="Z175" s="1075"/>
      <c r="AA175" s="1075"/>
    </row>
    <row r="176" spans="1:27" ht="12.75" customHeight="1">
      <c r="A176" s="1075"/>
      <c r="B176" s="1075"/>
      <c r="C176" s="1075"/>
      <c r="D176" s="1075"/>
      <c r="E176" s="1075"/>
      <c r="F176" s="1075"/>
      <c r="G176" s="1075"/>
      <c r="H176" s="1075"/>
      <c r="I176" s="1075"/>
      <c r="J176" s="1075"/>
      <c r="K176" s="1075"/>
      <c r="L176" s="1075"/>
      <c r="M176" s="1075"/>
      <c r="N176" s="1075"/>
      <c r="O176" s="1075"/>
      <c r="P176" s="1075"/>
      <c r="Q176" s="1075"/>
      <c r="R176" s="1075"/>
      <c r="S176" s="1075"/>
      <c r="T176" s="1075"/>
      <c r="U176" s="1075"/>
      <c r="V176" s="1075"/>
      <c r="W176" s="1075"/>
      <c r="X176" s="1075"/>
      <c r="Y176" s="1075"/>
      <c r="Z176" s="1075"/>
      <c r="AA176" s="1075"/>
    </row>
    <row r="177" spans="1:27" ht="12.75" customHeight="1">
      <c r="A177" s="1075"/>
      <c r="B177" s="1075"/>
      <c r="C177" s="1075"/>
      <c r="D177" s="1075"/>
      <c r="E177" s="1075"/>
      <c r="F177" s="1075"/>
      <c r="G177" s="1075"/>
      <c r="H177" s="1075"/>
      <c r="I177" s="1075"/>
      <c r="J177" s="1075"/>
      <c r="K177" s="1075"/>
      <c r="L177" s="1075"/>
      <c r="M177" s="1075"/>
      <c r="N177" s="1075"/>
      <c r="O177" s="1075"/>
      <c r="P177" s="1075"/>
      <c r="Q177" s="1075"/>
      <c r="R177" s="1075"/>
      <c r="S177" s="1075"/>
      <c r="T177" s="1075"/>
      <c r="U177" s="1075"/>
      <c r="V177" s="1075"/>
      <c r="W177" s="1075"/>
      <c r="X177" s="1075"/>
      <c r="Y177" s="1075"/>
      <c r="Z177" s="1075"/>
      <c r="AA177" s="1075"/>
    </row>
    <row r="178" spans="1:27" ht="12.75" customHeight="1">
      <c r="A178" s="1075"/>
      <c r="B178" s="1075"/>
      <c r="C178" s="1075"/>
      <c r="D178" s="1075"/>
      <c r="E178" s="1075"/>
      <c r="F178" s="1075"/>
      <c r="G178" s="1075"/>
      <c r="H178" s="1075"/>
      <c r="I178" s="1075"/>
      <c r="J178" s="1075"/>
      <c r="K178" s="1075"/>
      <c r="L178" s="1075"/>
      <c r="M178" s="1075"/>
      <c r="N178" s="1075"/>
      <c r="O178" s="1075"/>
      <c r="P178" s="1075"/>
      <c r="Q178" s="1075"/>
      <c r="R178" s="1075"/>
      <c r="S178" s="1075"/>
      <c r="T178" s="1075"/>
      <c r="U178" s="1075"/>
      <c r="V178" s="1075"/>
      <c r="W178" s="1075"/>
      <c r="X178" s="1075"/>
      <c r="Y178" s="1075"/>
      <c r="Z178" s="1075"/>
      <c r="AA178" s="1075"/>
    </row>
    <row r="179" spans="1:27" ht="12.75" customHeight="1">
      <c r="A179" s="1075"/>
      <c r="B179" s="1075"/>
      <c r="C179" s="1075"/>
      <c r="D179" s="1075"/>
      <c r="E179" s="1075"/>
      <c r="F179" s="1075"/>
      <c r="G179" s="1075"/>
      <c r="H179" s="1075"/>
      <c r="I179" s="1075"/>
      <c r="J179" s="1075"/>
      <c r="K179" s="1075"/>
      <c r="L179" s="1075"/>
      <c r="M179" s="1075"/>
      <c r="N179" s="1075"/>
      <c r="O179" s="1075"/>
      <c r="P179" s="1075"/>
      <c r="Q179" s="1075"/>
      <c r="R179" s="1075"/>
      <c r="S179" s="1075"/>
      <c r="T179" s="1075"/>
      <c r="U179" s="1075"/>
      <c r="V179" s="1075"/>
      <c r="W179" s="1075"/>
      <c r="X179" s="1075"/>
      <c r="Y179" s="1075"/>
      <c r="Z179" s="1075"/>
      <c r="AA179" s="1075"/>
    </row>
    <row r="180" spans="1:27" ht="12.75" customHeight="1">
      <c r="A180" s="1075"/>
      <c r="B180" s="1075"/>
      <c r="C180" s="1075"/>
      <c r="D180" s="1075"/>
      <c r="E180" s="1075"/>
      <c r="F180" s="1075"/>
      <c r="G180" s="1075"/>
      <c r="H180" s="1075"/>
      <c r="I180" s="1075"/>
      <c r="J180" s="1075"/>
      <c r="K180" s="1075"/>
      <c r="L180" s="1075"/>
      <c r="M180" s="1075"/>
      <c r="N180" s="1075"/>
      <c r="O180" s="1075"/>
      <c r="P180" s="1075"/>
      <c r="Q180" s="1075"/>
      <c r="R180" s="1075"/>
      <c r="S180" s="1075"/>
      <c r="T180" s="1075"/>
      <c r="U180" s="1075"/>
      <c r="V180" s="1075"/>
      <c r="W180" s="1075"/>
      <c r="X180" s="1075"/>
      <c r="Y180" s="1075"/>
      <c r="Z180" s="1075"/>
      <c r="AA180" s="1075"/>
    </row>
    <row r="181" spans="1:27" ht="12.75" customHeight="1">
      <c r="A181" s="1075"/>
      <c r="B181" s="1075"/>
      <c r="C181" s="1075"/>
      <c r="D181" s="1075"/>
      <c r="E181" s="1075"/>
      <c r="F181" s="1075"/>
      <c r="G181" s="1075"/>
      <c r="H181" s="1075"/>
      <c r="I181" s="1075"/>
      <c r="J181" s="1075"/>
      <c r="K181" s="1075"/>
      <c r="L181" s="1075"/>
      <c r="M181" s="1075"/>
      <c r="N181" s="1075"/>
      <c r="O181" s="1075"/>
      <c r="P181" s="1075"/>
      <c r="Q181" s="1075"/>
      <c r="R181" s="1075"/>
      <c r="S181" s="1075"/>
      <c r="T181" s="1075"/>
      <c r="U181" s="1075"/>
      <c r="V181" s="1075"/>
      <c r="W181" s="1075"/>
      <c r="X181" s="1075"/>
      <c r="Y181" s="1075"/>
      <c r="Z181" s="1075"/>
      <c r="AA181" s="1075"/>
    </row>
    <row r="182" spans="1:27" ht="12.75" customHeight="1">
      <c r="A182" s="1075"/>
      <c r="B182" s="1075"/>
      <c r="C182" s="1075"/>
      <c r="D182" s="1075"/>
      <c r="E182" s="1075"/>
      <c r="F182" s="1075"/>
      <c r="G182" s="1075"/>
      <c r="H182" s="1075"/>
      <c r="I182" s="1075"/>
      <c r="J182" s="1075"/>
      <c r="K182" s="1075"/>
      <c r="L182" s="1075"/>
      <c r="M182" s="1075"/>
      <c r="N182" s="1075"/>
      <c r="O182" s="1075"/>
      <c r="P182" s="1075"/>
      <c r="Q182" s="1075"/>
      <c r="R182" s="1075"/>
      <c r="S182" s="1075"/>
      <c r="T182" s="1075"/>
      <c r="U182" s="1075"/>
      <c r="V182" s="1075"/>
      <c r="W182" s="1075"/>
      <c r="X182" s="1075"/>
      <c r="Y182" s="1075"/>
      <c r="Z182" s="1075"/>
      <c r="AA182" s="1075"/>
    </row>
    <row r="183" spans="1:27" ht="12.75" customHeight="1">
      <c r="A183" s="1075"/>
      <c r="B183" s="1075"/>
      <c r="C183" s="1075"/>
      <c r="D183" s="1075"/>
      <c r="E183" s="1075"/>
      <c r="F183" s="1075"/>
      <c r="G183" s="1075"/>
      <c r="H183" s="1075"/>
      <c r="I183" s="1075"/>
      <c r="J183" s="1075"/>
      <c r="K183" s="1075"/>
      <c r="L183" s="1075"/>
      <c r="M183" s="1075"/>
      <c r="N183" s="1075"/>
      <c r="O183" s="1075"/>
      <c r="P183" s="1075"/>
      <c r="Q183" s="1075"/>
      <c r="R183" s="1075"/>
      <c r="S183" s="1075"/>
      <c r="T183" s="1075"/>
      <c r="U183" s="1075"/>
      <c r="V183" s="1075"/>
      <c r="W183" s="1075"/>
      <c r="X183" s="1075"/>
      <c r="Y183" s="1075"/>
      <c r="Z183" s="1075"/>
      <c r="AA183" s="1075"/>
    </row>
    <row r="184" spans="1:27" ht="12.75" customHeight="1">
      <c r="A184" s="1075"/>
      <c r="B184" s="1075"/>
      <c r="C184" s="1075"/>
      <c r="D184" s="1075"/>
      <c r="E184" s="1075"/>
      <c r="F184" s="1075"/>
      <c r="G184" s="1075"/>
      <c r="H184" s="1075"/>
      <c r="I184" s="1075"/>
      <c r="J184" s="1075"/>
      <c r="K184" s="1075"/>
      <c r="L184" s="1075"/>
      <c r="M184" s="1075"/>
      <c r="N184" s="1075"/>
      <c r="O184" s="1075"/>
      <c r="P184" s="1075"/>
      <c r="Q184" s="1075"/>
      <c r="R184" s="1075"/>
      <c r="S184" s="1075"/>
      <c r="T184" s="1075"/>
      <c r="U184" s="1075"/>
      <c r="V184" s="1075"/>
      <c r="W184" s="1075"/>
      <c r="X184" s="1075"/>
      <c r="Y184" s="1075"/>
      <c r="Z184" s="1075"/>
      <c r="AA184" s="1075"/>
    </row>
    <row r="185" spans="1:27" ht="12.75" customHeight="1">
      <c r="A185" s="1075"/>
      <c r="B185" s="1075"/>
      <c r="C185" s="1075"/>
      <c r="D185" s="1075"/>
      <c r="E185" s="1075"/>
      <c r="F185" s="1075"/>
      <c r="G185" s="1075"/>
      <c r="H185" s="1075"/>
      <c r="I185" s="1075"/>
      <c r="J185" s="1075"/>
      <c r="K185" s="1075"/>
      <c r="L185" s="1075"/>
      <c r="M185" s="1075"/>
      <c r="N185" s="1075"/>
      <c r="O185" s="1075"/>
      <c r="P185" s="1075"/>
      <c r="Q185" s="1075"/>
      <c r="R185" s="1075"/>
      <c r="S185" s="1075"/>
      <c r="T185" s="1075"/>
      <c r="U185" s="1075"/>
      <c r="V185" s="1075"/>
      <c r="W185" s="1075"/>
      <c r="X185" s="1075"/>
      <c r="Y185" s="1075"/>
      <c r="Z185" s="1075"/>
      <c r="AA185" s="1075"/>
    </row>
    <row r="186" spans="1:27" ht="12.75" customHeight="1">
      <c r="A186" s="1075"/>
      <c r="B186" s="1075"/>
      <c r="C186" s="1075"/>
      <c r="D186" s="1075"/>
      <c r="E186" s="1075"/>
      <c r="F186" s="1075"/>
      <c r="G186" s="1075"/>
      <c r="H186" s="1075"/>
      <c r="I186" s="1075"/>
      <c r="J186" s="1075"/>
      <c r="K186" s="1075"/>
      <c r="L186" s="1075"/>
      <c r="M186" s="1075"/>
      <c r="N186" s="1075"/>
      <c r="O186" s="1075"/>
      <c r="P186" s="1075"/>
      <c r="Q186" s="1075"/>
      <c r="R186" s="1075"/>
      <c r="S186" s="1075"/>
      <c r="T186" s="1075"/>
      <c r="U186" s="1075"/>
      <c r="V186" s="1075"/>
      <c r="W186" s="1075"/>
      <c r="X186" s="1075"/>
      <c r="Y186" s="1075"/>
      <c r="Z186" s="1075"/>
      <c r="AA186" s="1075"/>
    </row>
    <row r="187" spans="1:27" ht="12.75" customHeight="1">
      <c r="A187" s="1075"/>
      <c r="B187" s="1075"/>
      <c r="C187" s="1075"/>
      <c r="D187" s="1075"/>
      <c r="E187" s="1075"/>
      <c r="F187" s="1075"/>
      <c r="G187" s="1075"/>
      <c r="H187" s="1075"/>
      <c r="I187" s="1075"/>
      <c r="J187" s="1075"/>
      <c r="K187" s="1075"/>
      <c r="L187" s="1075"/>
      <c r="M187" s="1075"/>
      <c r="N187" s="1075"/>
      <c r="O187" s="1075"/>
      <c r="P187" s="1075"/>
      <c r="Q187" s="1075"/>
      <c r="R187" s="1075"/>
      <c r="S187" s="1075"/>
      <c r="T187" s="1075"/>
      <c r="U187" s="1075"/>
      <c r="V187" s="1075"/>
      <c r="W187" s="1075"/>
      <c r="X187" s="1075"/>
      <c r="Y187" s="1075"/>
      <c r="Z187" s="1075"/>
      <c r="AA187" s="1075"/>
    </row>
    <row r="188" spans="1:27" ht="12.75" customHeight="1">
      <c r="A188" s="1075"/>
      <c r="B188" s="1075"/>
      <c r="C188" s="1075"/>
      <c r="D188" s="1075"/>
      <c r="E188" s="1075"/>
      <c r="F188" s="1075"/>
      <c r="G188" s="1075"/>
      <c r="H188" s="1075"/>
      <c r="I188" s="1075"/>
      <c r="J188" s="1075"/>
      <c r="K188" s="1075"/>
      <c r="L188" s="1075"/>
      <c r="M188" s="1075"/>
      <c r="N188" s="1075"/>
      <c r="O188" s="1075"/>
      <c r="P188" s="1075"/>
      <c r="Q188" s="1075"/>
      <c r="R188" s="1075"/>
      <c r="S188" s="1075"/>
      <c r="T188" s="1075"/>
      <c r="U188" s="1075"/>
      <c r="V188" s="1075"/>
      <c r="W188" s="1075"/>
      <c r="X188" s="1075"/>
      <c r="Y188" s="1075"/>
      <c r="Z188" s="1075"/>
      <c r="AA188" s="1075"/>
    </row>
    <row r="189" spans="1:27" ht="12.75" customHeight="1">
      <c r="A189" s="1075"/>
      <c r="B189" s="1075"/>
      <c r="C189" s="1075"/>
      <c r="D189" s="1075"/>
      <c r="E189" s="1075"/>
      <c r="F189" s="1075"/>
      <c r="G189" s="1075"/>
      <c r="H189" s="1075"/>
      <c r="I189" s="1075"/>
      <c r="J189" s="1075"/>
      <c r="K189" s="1075"/>
      <c r="L189" s="1075"/>
      <c r="M189" s="1075"/>
      <c r="N189" s="1075"/>
      <c r="O189" s="1075"/>
      <c r="P189" s="1075"/>
      <c r="Q189" s="1075"/>
      <c r="R189" s="1075"/>
      <c r="S189" s="1075"/>
      <c r="T189" s="1075"/>
      <c r="U189" s="1075"/>
      <c r="V189" s="1075"/>
      <c r="W189" s="1075"/>
      <c r="X189" s="1075"/>
      <c r="Y189" s="1075"/>
      <c r="Z189" s="1075"/>
      <c r="AA189" s="1075"/>
    </row>
    <row r="190" spans="1:27" ht="12.75" customHeight="1">
      <c r="A190" s="1075"/>
      <c r="B190" s="1075"/>
      <c r="C190" s="1075"/>
      <c r="D190" s="1075"/>
      <c r="E190" s="1075"/>
      <c r="F190" s="1075"/>
      <c r="G190" s="1075"/>
      <c r="H190" s="1075"/>
      <c r="I190" s="1075"/>
      <c r="J190" s="1075"/>
      <c r="K190" s="1075"/>
      <c r="L190" s="1075"/>
      <c r="M190" s="1075"/>
      <c r="N190" s="1075"/>
      <c r="O190" s="1075"/>
      <c r="P190" s="1075"/>
      <c r="Q190" s="1075"/>
      <c r="R190" s="1075"/>
      <c r="S190" s="1075"/>
      <c r="T190" s="1075"/>
      <c r="U190" s="1075"/>
      <c r="V190" s="1075"/>
      <c r="W190" s="1075"/>
      <c r="X190" s="1075"/>
      <c r="Y190" s="1075"/>
      <c r="Z190" s="1075"/>
      <c r="AA190" s="1075"/>
    </row>
    <row r="191" spans="1:27" ht="12.75" customHeight="1">
      <c r="A191" s="1075"/>
      <c r="B191" s="1075"/>
      <c r="C191" s="1075"/>
      <c r="D191" s="1075"/>
      <c r="E191" s="1075"/>
      <c r="F191" s="1075"/>
      <c r="G191" s="1075"/>
      <c r="H191" s="1075"/>
      <c r="I191" s="1075"/>
      <c r="J191" s="1075"/>
      <c r="K191" s="1075"/>
      <c r="L191" s="1075"/>
      <c r="M191" s="1075"/>
      <c r="N191" s="1075"/>
      <c r="O191" s="1075"/>
      <c r="P191" s="1075"/>
      <c r="Q191" s="1075"/>
      <c r="R191" s="1075"/>
      <c r="S191" s="1075"/>
      <c r="T191" s="1075"/>
      <c r="U191" s="1075"/>
      <c r="V191" s="1075"/>
      <c r="W191" s="1075"/>
      <c r="X191" s="1075"/>
      <c r="Y191" s="1075"/>
      <c r="Z191" s="1075"/>
      <c r="AA191" s="1075"/>
    </row>
    <row r="192" spans="1:27" ht="12.75" customHeight="1">
      <c r="A192" s="1075"/>
      <c r="B192" s="1075"/>
      <c r="C192" s="1075"/>
      <c r="D192" s="1075"/>
      <c r="E192" s="1075"/>
      <c r="F192" s="1075"/>
      <c r="G192" s="1075"/>
      <c r="H192" s="1075"/>
      <c r="I192" s="1075"/>
      <c r="J192" s="1075"/>
      <c r="K192" s="1075"/>
      <c r="L192" s="1075"/>
      <c r="M192" s="1075"/>
      <c r="N192" s="1075"/>
      <c r="O192" s="1075"/>
      <c r="P192" s="1075"/>
      <c r="Q192" s="1075"/>
      <c r="R192" s="1075"/>
      <c r="S192" s="1075"/>
      <c r="T192" s="1075"/>
      <c r="U192" s="1075"/>
      <c r="V192" s="1075"/>
      <c r="W192" s="1075"/>
      <c r="X192" s="1075"/>
      <c r="Y192" s="1075"/>
      <c r="Z192" s="1075"/>
      <c r="AA192" s="1075"/>
    </row>
    <row r="193" spans="1:27" ht="12.75" customHeight="1">
      <c r="A193" s="1075"/>
      <c r="B193" s="1075"/>
      <c r="C193" s="1075"/>
      <c r="D193" s="1075"/>
      <c r="E193" s="1075"/>
      <c r="F193" s="1075"/>
      <c r="G193" s="1075"/>
      <c r="H193" s="1075"/>
      <c r="I193" s="1075"/>
      <c r="J193" s="1075"/>
      <c r="K193" s="1075"/>
      <c r="L193" s="1075"/>
      <c r="M193" s="1075"/>
      <c r="N193" s="1075"/>
      <c r="O193" s="1075"/>
      <c r="P193" s="1075"/>
      <c r="Q193" s="1075"/>
      <c r="R193" s="1075"/>
      <c r="S193" s="1075"/>
      <c r="T193" s="1075"/>
      <c r="U193" s="1075"/>
      <c r="V193" s="1075"/>
      <c r="W193" s="1075"/>
      <c r="X193" s="1075"/>
      <c r="Y193" s="1075"/>
      <c r="Z193" s="1075"/>
      <c r="AA193" s="1075"/>
    </row>
    <row r="194" spans="1:27" ht="12.75" customHeight="1">
      <c r="A194" s="1075"/>
      <c r="B194" s="1075"/>
      <c r="C194" s="1075"/>
      <c r="D194" s="1075"/>
      <c r="E194" s="1075"/>
      <c r="F194" s="1075"/>
      <c r="G194" s="1075"/>
      <c r="H194" s="1075"/>
      <c r="I194" s="1075"/>
      <c r="J194" s="1075"/>
      <c r="K194" s="1075"/>
      <c r="L194" s="1075"/>
      <c r="M194" s="1075"/>
      <c r="N194" s="1075"/>
      <c r="O194" s="1075"/>
      <c r="P194" s="1075"/>
      <c r="Q194" s="1075"/>
      <c r="R194" s="1075"/>
      <c r="S194" s="1075"/>
      <c r="T194" s="1075"/>
      <c r="U194" s="1075"/>
      <c r="V194" s="1075"/>
      <c r="W194" s="1075"/>
      <c r="X194" s="1075"/>
      <c r="Y194" s="1075"/>
      <c r="Z194" s="1075"/>
      <c r="AA194" s="1075"/>
    </row>
    <row r="195" spans="1:27" ht="12.75" customHeight="1">
      <c r="A195" s="1075"/>
      <c r="B195" s="1075"/>
      <c r="C195" s="1075"/>
      <c r="D195" s="1075"/>
      <c r="E195" s="1075"/>
      <c r="F195" s="1075"/>
      <c r="G195" s="1075"/>
      <c r="H195" s="1075"/>
      <c r="I195" s="1075"/>
      <c r="J195" s="1075"/>
      <c r="K195" s="1075"/>
      <c r="L195" s="1075"/>
      <c r="M195" s="1075"/>
      <c r="N195" s="1075"/>
      <c r="O195" s="1075"/>
      <c r="P195" s="1075"/>
      <c r="Q195" s="1075"/>
      <c r="R195" s="1075"/>
      <c r="S195" s="1075"/>
      <c r="T195" s="1075"/>
      <c r="U195" s="1075"/>
      <c r="V195" s="1075"/>
      <c r="W195" s="1075"/>
      <c r="X195" s="1075"/>
      <c r="Y195" s="1075"/>
      <c r="Z195" s="1075"/>
      <c r="AA195" s="1075"/>
    </row>
    <row r="196" spans="1:27" ht="12.75" customHeight="1">
      <c r="A196" s="1075"/>
      <c r="B196" s="1075"/>
      <c r="C196" s="1075"/>
      <c r="D196" s="1075"/>
      <c r="E196" s="1075"/>
      <c r="F196" s="1075"/>
      <c r="G196" s="1075"/>
      <c r="H196" s="1075"/>
      <c r="I196" s="1075"/>
      <c r="J196" s="1075"/>
      <c r="K196" s="1075"/>
      <c r="L196" s="1075"/>
      <c r="M196" s="1075"/>
      <c r="N196" s="1075"/>
      <c r="O196" s="1075"/>
      <c r="P196" s="1075"/>
      <c r="Q196" s="1075"/>
      <c r="R196" s="1075"/>
      <c r="S196" s="1075"/>
      <c r="T196" s="1075"/>
      <c r="U196" s="1075"/>
      <c r="V196" s="1075"/>
      <c r="W196" s="1075"/>
      <c r="X196" s="1075"/>
      <c r="Y196" s="1075"/>
      <c r="Z196" s="1075"/>
      <c r="AA196" s="1075"/>
    </row>
    <row r="197" spans="1:27" ht="12.75" customHeight="1">
      <c r="A197" s="1075"/>
      <c r="B197" s="1075"/>
      <c r="C197" s="1075"/>
      <c r="D197" s="1075"/>
      <c r="E197" s="1075"/>
      <c r="F197" s="1075"/>
      <c r="G197" s="1075"/>
      <c r="H197" s="1075"/>
      <c r="I197" s="1075"/>
      <c r="J197" s="1075"/>
      <c r="K197" s="1075"/>
      <c r="L197" s="1075"/>
      <c r="M197" s="1075"/>
      <c r="N197" s="1075"/>
      <c r="O197" s="1075"/>
      <c r="P197" s="1075"/>
      <c r="Q197" s="1075"/>
      <c r="R197" s="1075"/>
      <c r="S197" s="1075"/>
      <c r="T197" s="1075"/>
      <c r="U197" s="1075"/>
      <c r="V197" s="1075"/>
      <c r="W197" s="1075"/>
      <c r="X197" s="1075"/>
      <c r="Y197" s="1075"/>
      <c r="Z197" s="1075"/>
      <c r="AA197" s="1075"/>
    </row>
    <row r="198" spans="1:27" ht="12.75" customHeight="1">
      <c r="A198" s="1075"/>
      <c r="B198" s="1075"/>
      <c r="C198" s="1075"/>
      <c r="D198" s="1075"/>
      <c r="E198" s="1075"/>
      <c r="F198" s="1075"/>
      <c r="G198" s="1075"/>
      <c r="H198" s="1075"/>
      <c r="I198" s="1075"/>
      <c r="J198" s="1075"/>
      <c r="K198" s="1075"/>
      <c r="L198" s="1075"/>
      <c r="M198" s="1075"/>
      <c r="N198" s="1075"/>
      <c r="O198" s="1075"/>
      <c r="P198" s="1075"/>
      <c r="Q198" s="1075"/>
      <c r="R198" s="1075"/>
      <c r="S198" s="1075"/>
      <c r="T198" s="1075"/>
      <c r="U198" s="1075"/>
      <c r="V198" s="1075"/>
      <c r="W198" s="1075"/>
      <c r="X198" s="1075"/>
      <c r="Y198" s="1075"/>
      <c r="Z198" s="1075"/>
      <c r="AA198" s="1075"/>
    </row>
    <row r="199" spans="1:27" ht="12.75" customHeight="1">
      <c r="A199" s="1075"/>
      <c r="B199" s="1075"/>
      <c r="C199" s="1075"/>
      <c r="D199" s="1075"/>
      <c r="E199" s="1075"/>
      <c r="F199" s="1075"/>
      <c r="G199" s="1075"/>
      <c r="H199" s="1075"/>
      <c r="I199" s="1075"/>
      <c r="J199" s="1075"/>
      <c r="K199" s="1075"/>
      <c r="L199" s="1075"/>
      <c r="M199" s="1075"/>
      <c r="N199" s="1075"/>
      <c r="O199" s="1075"/>
      <c r="P199" s="1075"/>
      <c r="Q199" s="1075"/>
      <c r="R199" s="1075"/>
      <c r="S199" s="1075"/>
      <c r="T199" s="1075"/>
      <c r="U199" s="1075"/>
      <c r="V199" s="1075"/>
      <c r="W199" s="1075"/>
      <c r="X199" s="1075"/>
      <c r="Y199" s="1075"/>
      <c r="Z199" s="1075"/>
      <c r="AA199" s="1075"/>
    </row>
    <row r="200" spans="1:27" ht="12.75" customHeight="1">
      <c r="A200" s="1075"/>
      <c r="B200" s="1075"/>
      <c r="C200" s="1075"/>
      <c r="D200" s="1075"/>
      <c r="E200" s="1075"/>
      <c r="F200" s="1075"/>
      <c r="G200" s="1075"/>
      <c r="H200" s="1075"/>
      <c r="I200" s="1075"/>
      <c r="J200" s="1075"/>
      <c r="K200" s="1075"/>
      <c r="L200" s="1075"/>
      <c r="M200" s="1075"/>
      <c r="N200" s="1075"/>
      <c r="O200" s="1075"/>
      <c r="P200" s="1075"/>
      <c r="Q200" s="1075"/>
      <c r="R200" s="1075"/>
      <c r="S200" s="1075"/>
      <c r="T200" s="1075"/>
      <c r="U200" s="1075"/>
      <c r="V200" s="1075"/>
      <c r="W200" s="1075"/>
      <c r="X200" s="1075"/>
      <c r="Y200" s="1075"/>
      <c r="Z200" s="1075"/>
      <c r="AA200" s="1075"/>
    </row>
    <row r="201" spans="1:27" ht="12.75" customHeight="1">
      <c r="A201" s="1075"/>
      <c r="B201" s="1075"/>
      <c r="C201" s="1075"/>
      <c r="D201" s="1075"/>
      <c r="E201" s="1075"/>
      <c r="F201" s="1075"/>
      <c r="G201" s="1075"/>
      <c r="H201" s="1075"/>
      <c r="I201" s="1075"/>
      <c r="J201" s="1075"/>
      <c r="K201" s="1075"/>
      <c r="L201" s="1075"/>
      <c r="M201" s="1075"/>
      <c r="N201" s="1075"/>
      <c r="O201" s="1075"/>
      <c r="P201" s="1075"/>
      <c r="Q201" s="1075"/>
      <c r="R201" s="1075"/>
      <c r="S201" s="1075"/>
      <c r="T201" s="1075"/>
      <c r="U201" s="1075"/>
      <c r="V201" s="1075"/>
      <c r="W201" s="1075"/>
      <c r="X201" s="1075"/>
      <c r="Y201" s="1075"/>
      <c r="Z201" s="1075"/>
      <c r="AA201" s="1075"/>
    </row>
    <row r="202" spans="1:27" ht="12.75" customHeight="1">
      <c r="A202" s="1075"/>
      <c r="B202" s="1075"/>
      <c r="C202" s="1075"/>
      <c r="D202" s="1075"/>
      <c r="E202" s="1075"/>
      <c r="F202" s="1075"/>
      <c r="G202" s="1075"/>
      <c r="H202" s="1075"/>
      <c r="I202" s="1075"/>
      <c r="J202" s="1075"/>
      <c r="K202" s="1075"/>
      <c r="L202" s="1075"/>
      <c r="M202" s="1075"/>
      <c r="N202" s="1075"/>
      <c r="O202" s="1075"/>
      <c r="P202" s="1075"/>
      <c r="Q202" s="1075"/>
      <c r="R202" s="1075"/>
      <c r="S202" s="1075"/>
      <c r="T202" s="1075"/>
      <c r="U202" s="1075"/>
      <c r="V202" s="1075"/>
      <c r="W202" s="1075"/>
      <c r="X202" s="1075"/>
      <c r="Y202" s="1075"/>
      <c r="Z202" s="1075"/>
      <c r="AA202" s="1075"/>
    </row>
    <row r="203" spans="1:27" ht="12.75" customHeight="1">
      <c r="A203" s="1075"/>
      <c r="B203" s="1075"/>
      <c r="C203" s="1075"/>
      <c r="D203" s="1075"/>
      <c r="E203" s="1075"/>
      <c r="F203" s="1075"/>
      <c r="G203" s="1075"/>
      <c r="H203" s="1075"/>
      <c r="I203" s="1075"/>
      <c r="J203" s="1075"/>
      <c r="K203" s="1075"/>
      <c r="L203" s="1075"/>
      <c r="M203" s="1075"/>
      <c r="N203" s="1075"/>
      <c r="O203" s="1075"/>
      <c r="P203" s="1075"/>
      <c r="Q203" s="1075"/>
      <c r="R203" s="1075"/>
      <c r="S203" s="1075"/>
      <c r="T203" s="1075"/>
      <c r="U203" s="1075"/>
      <c r="V203" s="1075"/>
      <c r="W203" s="1075"/>
      <c r="X203" s="1075"/>
      <c r="Y203" s="1075"/>
      <c r="Z203" s="1075"/>
      <c r="AA203" s="1075"/>
    </row>
    <row r="204" spans="1:27" ht="12.75" customHeight="1">
      <c r="A204" s="1075"/>
      <c r="B204" s="1075"/>
      <c r="C204" s="1075"/>
      <c r="D204" s="1075"/>
      <c r="E204" s="1075"/>
      <c r="F204" s="1075"/>
      <c r="G204" s="1075"/>
      <c r="H204" s="1075"/>
      <c r="I204" s="1075"/>
      <c r="J204" s="1075"/>
      <c r="K204" s="1075"/>
      <c r="L204" s="1075"/>
      <c r="M204" s="1075"/>
      <c r="N204" s="1075"/>
      <c r="O204" s="1075"/>
      <c r="P204" s="1075"/>
      <c r="Q204" s="1075"/>
      <c r="R204" s="1075"/>
      <c r="S204" s="1075"/>
      <c r="T204" s="1075"/>
      <c r="U204" s="1075"/>
      <c r="V204" s="1075"/>
      <c r="W204" s="1075"/>
      <c r="X204" s="1075"/>
      <c r="Y204" s="1075"/>
      <c r="Z204" s="1075"/>
      <c r="AA204" s="1075"/>
    </row>
    <row r="205" spans="1:27" ht="12.75" customHeight="1">
      <c r="A205" s="1075"/>
      <c r="B205" s="1075"/>
      <c r="C205" s="1075"/>
      <c r="D205" s="1075"/>
      <c r="E205" s="1075"/>
      <c r="F205" s="1075"/>
      <c r="G205" s="1075"/>
      <c r="H205" s="1075"/>
      <c r="I205" s="1075"/>
      <c r="J205" s="1075"/>
      <c r="K205" s="1075"/>
      <c r="L205" s="1075"/>
      <c r="M205" s="1075"/>
      <c r="N205" s="1075"/>
      <c r="O205" s="1075"/>
      <c r="P205" s="1075"/>
      <c r="Q205" s="1075"/>
      <c r="R205" s="1075"/>
      <c r="S205" s="1075"/>
      <c r="T205" s="1075"/>
      <c r="U205" s="1075"/>
      <c r="V205" s="1075"/>
      <c r="W205" s="1075"/>
      <c r="X205" s="1075"/>
      <c r="Y205" s="1075"/>
      <c r="Z205" s="1075"/>
      <c r="AA205" s="1075"/>
    </row>
    <row r="206" spans="1:27" ht="12.75" customHeight="1">
      <c r="A206" s="1075"/>
      <c r="B206" s="1075"/>
      <c r="C206" s="1075"/>
      <c r="D206" s="1075"/>
      <c r="E206" s="1075"/>
      <c r="F206" s="1075"/>
      <c r="G206" s="1075"/>
      <c r="H206" s="1075"/>
      <c r="I206" s="1075"/>
      <c r="J206" s="1075"/>
      <c r="K206" s="1075"/>
      <c r="L206" s="1075"/>
      <c r="M206" s="1075"/>
      <c r="N206" s="1075"/>
      <c r="O206" s="1075"/>
      <c r="P206" s="1075"/>
      <c r="Q206" s="1075"/>
      <c r="R206" s="1075"/>
      <c r="S206" s="1075"/>
      <c r="T206" s="1075"/>
      <c r="U206" s="1075"/>
      <c r="V206" s="1075"/>
      <c r="W206" s="1075"/>
      <c r="X206" s="1075"/>
      <c r="Y206" s="1075"/>
      <c r="Z206" s="1075"/>
      <c r="AA206" s="1075"/>
    </row>
    <row r="207" spans="1:27" ht="12.75" customHeight="1">
      <c r="A207" s="1075"/>
      <c r="B207" s="1075"/>
      <c r="C207" s="1075"/>
      <c r="D207" s="1075"/>
      <c r="E207" s="1075"/>
      <c r="F207" s="1075"/>
      <c r="G207" s="1075"/>
      <c r="H207" s="1075"/>
      <c r="I207" s="1075"/>
      <c r="J207" s="1075"/>
      <c r="K207" s="1075"/>
      <c r="L207" s="1075"/>
      <c r="M207" s="1075"/>
      <c r="N207" s="1075"/>
      <c r="O207" s="1075"/>
      <c r="P207" s="1075"/>
      <c r="Q207" s="1075"/>
      <c r="R207" s="1075"/>
      <c r="S207" s="1075"/>
      <c r="T207" s="1075"/>
      <c r="U207" s="1075"/>
      <c r="V207" s="1075"/>
      <c r="W207" s="1075"/>
      <c r="X207" s="1075"/>
      <c r="Y207" s="1075"/>
      <c r="Z207" s="1075"/>
      <c r="AA207" s="1075"/>
    </row>
    <row r="208" spans="1:27" ht="12.75" customHeight="1">
      <c r="A208" s="1075"/>
      <c r="B208" s="1075"/>
      <c r="C208" s="1075"/>
      <c r="D208" s="1075"/>
      <c r="E208" s="1075"/>
      <c r="F208" s="1075"/>
      <c r="G208" s="1075"/>
      <c r="H208" s="1075"/>
      <c r="I208" s="1075"/>
      <c r="J208" s="1075"/>
      <c r="K208" s="1075"/>
      <c r="L208" s="1075"/>
      <c r="M208" s="1075"/>
      <c r="N208" s="1075"/>
      <c r="O208" s="1075"/>
      <c r="P208" s="1075"/>
      <c r="Q208" s="1075"/>
      <c r="R208" s="1075"/>
      <c r="S208" s="1075"/>
      <c r="T208" s="1075"/>
      <c r="U208" s="1075"/>
      <c r="V208" s="1075"/>
      <c r="W208" s="1075"/>
      <c r="X208" s="1075"/>
      <c r="Y208" s="1075"/>
      <c r="Z208" s="1075"/>
      <c r="AA208" s="1075"/>
    </row>
    <row r="209" spans="1:27" ht="12.75" customHeight="1">
      <c r="A209" s="1075"/>
      <c r="B209" s="1075"/>
      <c r="C209" s="1075"/>
      <c r="D209" s="1075"/>
      <c r="E209" s="1075"/>
      <c r="F209" s="1075"/>
      <c r="G209" s="1075"/>
      <c r="H209" s="1075"/>
      <c r="I209" s="1075"/>
      <c r="J209" s="1075"/>
      <c r="K209" s="1075"/>
      <c r="L209" s="1075"/>
      <c r="M209" s="1075"/>
      <c r="N209" s="1075"/>
      <c r="O209" s="1075"/>
      <c r="P209" s="1075"/>
      <c r="Q209" s="1075"/>
      <c r="R209" s="1075"/>
      <c r="S209" s="1075"/>
      <c r="T209" s="1075"/>
      <c r="U209" s="1075"/>
      <c r="V209" s="1075"/>
      <c r="W209" s="1075"/>
      <c r="X209" s="1075"/>
      <c r="Y209" s="1075"/>
      <c r="Z209" s="1075"/>
      <c r="AA209" s="1075"/>
    </row>
    <row r="210" spans="1:27" ht="12.75" customHeight="1">
      <c r="A210" s="1075"/>
      <c r="B210" s="1075"/>
      <c r="C210" s="1075"/>
      <c r="D210" s="1075"/>
      <c r="E210" s="1075"/>
      <c r="F210" s="1075"/>
      <c r="G210" s="1075"/>
      <c r="H210" s="1075"/>
      <c r="I210" s="1075"/>
      <c r="J210" s="1075"/>
      <c r="K210" s="1075"/>
      <c r="L210" s="1075"/>
      <c r="M210" s="1075"/>
      <c r="N210" s="1075"/>
      <c r="O210" s="1075"/>
      <c r="P210" s="1075"/>
      <c r="Q210" s="1075"/>
      <c r="R210" s="1075"/>
      <c r="S210" s="1075"/>
      <c r="T210" s="1075"/>
      <c r="U210" s="1075"/>
      <c r="V210" s="1075"/>
      <c r="W210" s="1075"/>
      <c r="X210" s="1075"/>
      <c r="Y210" s="1075"/>
      <c r="Z210" s="1075"/>
      <c r="AA210" s="1075"/>
    </row>
    <row r="211" spans="1:27" ht="12.75" customHeight="1">
      <c r="A211" s="1075"/>
      <c r="B211" s="1075"/>
      <c r="C211" s="1075"/>
      <c r="D211" s="1075"/>
      <c r="E211" s="1075"/>
      <c r="F211" s="1075"/>
      <c r="G211" s="1075"/>
      <c r="H211" s="1075"/>
      <c r="I211" s="1075"/>
      <c r="J211" s="1075"/>
      <c r="K211" s="1075"/>
      <c r="L211" s="1075"/>
      <c r="M211" s="1075"/>
      <c r="N211" s="1075"/>
      <c r="O211" s="1075"/>
      <c r="P211" s="1075"/>
      <c r="Q211" s="1075"/>
      <c r="R211" s="1075"/>
      <c r="S211" s="1075"/>
      <c r="T211" s="1075"/>
      <c r="U211" s="1075"/>
      <c r="V211" s="1075"/>
      <c r="W211" s="1075"/>
      <c r="X211" s="1075"/>
      <c r="Y211" s="1075"/>
      <c r="Z211" s="1075"/>
      <c r="AA211" s="1075"/>
    </row>
    <row r="212" spans="1:27" ht="12.75" customHeight="1">
      <c r="A212" s="1075"/>
      <c r="B212" s="1075"/>
      <c r="C212" s="1075"/>
      <c r="D212" s="1075"/>
      <c r="E212" s="1075"/>
      <c r="F212" s="1075"/>
      <c r="G212" s="1075"/>
      <c r="H212" s="1075"/>
      <c r="I212" s="1075"/>
      <c r="J212" s="1075"/>
      <c r="K212" s="1075"/>
      <c r="L212" s="1075"/>
      <c r="M212" s="1075"/>
      <c r="N212" s="1075"/>
      <c r="O212" s="1075"/>
      <c r="P212" s="1075"/>
      <c r="Q212" s="1075"/>
      <c r="R212" s="1075"/>
      <c r="S212" s="1075"/>
      <c r="T212" s="1075"/>
      <c r="U212" s="1075"/>
      <c r="V212" s="1075"/>
      <c r="W212" s="1075"/>
      <c r="X212" s="1075"/>
      <c r="Y212" s="1075"/>
      <c r="Z212" s="1075"/>
      <c r="AA212" s="1075"/>
    </row>
    <row r="213" spans="1:27" ht="12.75" customHeight="1">
      <c r="A213" s="1075"/>
      <c r="B213" s="1075"/>
      <c r="C213" s="1075"/>
      <c r="D213" s="1075"/>
      <c r="E213" s="1075"/>
      <c r="F213" s="1075"/>
      <c r="G213" s="1075"/>
      <c r="H213" s="1075"/>
      <c r="I213" s="1075"/>
      <c r="J213" s="1075"/>
      <c r="K213" s="1075"/>
      <c r="L213" s="1075"/>
      <c r="M213" s="1075"/>
      <c r="N213" s="1075"/>
      <c r="O213" s="1075"/>
      <c r="P213" s="1075"/>
      <c r="Q213" s="1075"/>
      <c r="R213" s="1075"/>
      <c r="S213" s="1075"/>
      <c r="T213" s="1075"/>
      <c r="U213" s="1075"/>
      <c r="V213" s="1075"/>
      <c r="W213" s="1075"/>
      <c r="X213" s="1075"/>
      <c r="Y213" s="1075"/>
      <c r="Z213" s="1075"/>
      <c r="AA213" s="1075"/>
    </row>
    <row r="214" spans="1:27" ht="12.75" customHeight="1">
      <c r="A214" s="1075"/>
      <c r="B214" s="1075"/>
      <c r="C214" s="1075"/>
      <c r="D214" s="1075"/>
      <c r="E214" s="1075"/>
      <c r="F214" s="1075"/>
      <c r="G214" s="1075"/>
      <c r="H214" s="1075"/>
      <c r="I214" s="1075"/>
      <c r="J214" s="1075"/>
      <c r="K214" s="1075"/>
      <c r="L214" s="1075"/>
      <c r="M214" s="1075"/>
      <c r="N214" s="1075"/>
      <c r="O214" s="1075"/>
      <c r="P214" s="1075"/>
      <c r="Q214" s="1075"/>
      <c r="R214" s="1075"/>
      <c r="S214" s="1075"/>
      <c r="T214" s="1075"/>
      <c r="U214" s="1075"/>
      <c r="V214" s="1075"/>
      <c r="W214" s="1075"/>
      <c r="X214" s="1075"/>
      <c r="Y214" s="1075"/>
      <c r="Z214" s="1075"/>
      <c r="AA214" s="1075"/>
    </row>
    <row r="215" spans="1:27" ht="12.75" customHeight="1">
      <c r="A215" s="1075"/>
      <c r="B215" s="1075"/>
      <c r="C215" s="1075"/>
      <c r="D215" s="1075"/>
      <c r="E215" s="1075"/>
      <c r="F215" s="1075"/>
      <c r="G215" s="1075"/>
      <c r="H215" s="1075"/>
      <c r="I215" s="1075"/>
      <c r="J215" s="1075"/>
      <c r="K215" s="1075"/>
      <c r="L215" s="1075"/>
      <c r="M215" s="1075"/>
      <c r="N215" s="1075"/>
      <c r="O215" s="1075"/>
      <c r="P215" s="1075"/>
      <c r="Q215" s="1075"/>
      <c r="R215" s="1075"/>
      <c r="S215" s="1075"/>
      <c r="T215" s="1075"/>
      <c r="U215" s="1075"/>
      <c r="V215" s="1075"/>
      <c r="W215" s="1075"/>
      <c r="X215" s="1075"/>
      <c r="Y215" s="1075"/>
      <c r="Z215" s="1075"/>
      <c r="AA215" s="1075"/>
    </row>
    <row r="216" spans="1:27" ht="12.75" customHeight="1">
      <c r="A216" s="1075"/>
      <c r="B216" s="1075"/>
      <c r="C216" s="1075"/>
      <c r="D216" s="1075"/>
      <c r="E216" s="1075"/>
      <c r="F216" s="1075"/>
      <c r="G216" s="1075"/>
      <c r="H216" s="1075"/>
      <c r="I216" s="1075"/>
      <c r="J216" s="1075"/>
      <c r="K216" s="1075"/>
      <c r="L216" s="1075"/>
      <c r="M216" s="1075"/>
      <c r="N216" s="1075"/>
      <c r="O216" s="1075"/>
      <c r="P216" s="1075"/>
      <c r="Q216" s="1075"/>
      <c r="R216" s="1075"/>
      <c r="S216" s="1075"/>
      <c r="T216" s="1075"/>
      <c r="U216" s="1075"/>
      <c r="V216" s="1075"/>
      <c r="W216" s="1075"/>
      <c r="X216" s="1075"/>
      <c r="Y216" s="1075"/>
      <c r="Z216" s="1075"/>
      <c r="AA216" s="1075"/>
    </row>
    <row r="217" spans="1:27" ht="12.75" customHeight="1">
      <c r="A217" s="1075"/>
      <c r="B217" s="1075"/>
      <c r="C217" s="1075"/>
      <c r="D217" s="1075"/>
      <c r="E217" s="1075"/>
      <c r="F217" s="1075"/>
      <c r="G217" s="1075"/>
      <c r="H217" s="1075"/>
      <c r="I217" s="1075"/>
      <c r="J217" s="1075"/>
      <c r="K217" s="1075"/>
      <c r="L217" s="1075"/>
      <c r="M217" s="1075"/>
      <c r="N217" s="1075"/>
      <c r="O217" s="1075"/>
      <c r="P217" s="1075"/>
      <c r="Q217" s="1075"/>
      <c r="R217" s="1075"/>
      <c r="S217" s="1075"/>
      <c r="T217" s="1075"/>
      <c r="U217" s="1075"/>
      <c r="V217" s="1075"/>
      <c r="W217" s="1075"/>
      <c r="X217" s="1075"/>
      <c r="Y217" s="1075"/>
      <c r="Z217" s="1075"/>
      <c r="AA217" s="1075"/>
    </row>
    <row r="218" spans="1:27" ht="12.75" customHeight="1">
      <c r="A218" s="1075"/>
      <c r="B218" s="1075"/>
      <c r="C218" s="1075"/>
      <c r="D218" s="1075"/>
      <c r="E218" s="1075"/>
      <c r="F218" s="1075"/>
      <c r="G218" s="1075"/>
      <c r="H218" s="1075"/>
      <c r="I218" s="1075"/>
      <c r="J218" s="1075"/>
      <c r="K218" s="1075"/>
      <c r="L218" s="1075"/>
      <c r="M218" s="1075"/>
      <c r="N218" s="1075"/>
      <c r="O218" s="1075"/>
      <c r="P218" s="1075"/>
      <c r="Q218" s="1075"/>
      <c r="R218" s="1075"/>
      <c r="S218" s="1075"/>
      <c r="T218" s="1075"/>
      <c r="U218" s="1075"/>
      <c r="V218" s="1075"/>
      <c r="W218" s="1075"/>
      <c r="X218" s="1075"/>
      <c r="Y218" s="1075"/>
      <c r="Z218" s="1075"/>
      <c r="AA218" s="1075"/>
    </row>
    <row r="219" spans="1:27" ht="12.75" customHeight="1">
      <c r="A219" s="1075"/>
      <c r="B219" s="1075"/>
      <c r="C219" s="1075"/>
      <c r="D219" s="1075"/>
      <c r="E219" s="1075"/>
      <c r="F219" s="1075"/>
      <c r="G219" s="1075"/>
      <c r="H219" s="1075"/>
      <c r="I219" s="1075"/>
      <c r="J219" s="1075"/>
      <c r="K219" s="1075"/>
      <c r="L219" s="1075"/>
      <c r="M219" s="1075"/>
      <c r="N219" s="1075"/>
      <c r="O219" s="1075"/>
      <c r="P219" s="1075"/>
      <c r="Q219" s="1075"/>
      <c r="R219" s="1075"/>
      <c r="S219" s="1075"/>
      <c r="T219" s="1075"/>
      <c r="U219" s="1075"/>
      <c r="V219" s="1075"/>
      <c r="W219" s="1075"/>
      <c r="X219" s="1075"/>
      <c r="Y219" s="1075"/>
      <c r="Z219" s="1075"/>
      <c r="AA219" s="1075"/>
    </row>
    <row r="220" spans="1:27" ht="12.75" customHeight="1">
      <c r="A220" s="1075"/>
      <c r="B220" s="1075"/>
      <c r="C220" s="1075"/>
      <c r="D220" s="1075"/>
      <c r="E220" s="1075"/>
      <c r="F220" s="1075"/>
      <c r="G220" s="1075"/>
      <c r="H220" s="1075"/>
      <c r="I220" s="1075"/>
      <c r="J220" s="1075"/>
      <c r="K220" s="1075"/>
      <c r="L220" s="1075"/>
      <c r="M220" s="1075"/>
      <c r="N220" s="1075"/>
      <c r="O220" s="1075"/>
      <c r="P220" s="1075"/>
      <c r="Q220" s="1075"/>
      <c r="R220" s="1075"/>
      <c r="S220" s="1075"/>
      <c r="T220" s="1075"/>
      <c r="U220" s="1075"/>
      <c r="V220" s="1075"/>
      <c r="W220" s="1075"/>
      <c r="X220" s="1075"/>
      <c r="Y220" s="1075"/>
      <c r="Z220" s="1075"/>
      <c r="AA220" s="1075"/>
    </row>
    <row r="221" spans="1:27" ht="12.75" customHeight="1">
      <c r="A221" s="1075"/>
      <c r="B221" s="1075"/>
      <c r="C221" s="1075"/>
      <c r="D221" s="1075"/>
      <c r="E221" s="1075"/>
      <c r="F221" s="1075"/>
      <c r="G221" s="1075"/>
      <c r="H221" s="1075"/>
      <c r="I221" s="1075"/>
      <c r="J221" s="1075"/>
      <c r="K221" s="1075"/>
      <c r="L221" s="1075"/>
      <c r="M221" s="1075"/>
      <c r="N221" s="1075"/>
      <c r="O221" s="1075"/>
      <c r="P221" s="1075"/>
      <c r="Q221" s="1075"/>
      <c r="R221" s="1075"/>
      <c r="S221" s="1075"/>
      <c r="T221" s="1075"/>
      <c r="U221" s="1075"/>
      <c r="V221" s="1075"/>
      <c r="W221" s="1075"/>
      <c r="X221" s="1075"/>
      <c r="Y221" s="1075"/>
      <c r="Z221" s="1075"/>
      <c r="AA221" s="1075"/>
    </row>
    <row r="222" spans="1:27" ht="12.75" customHeight="1">
      <c r="A222" s="1075"/>
      <c r="B222" s="1075"/>
      <c r="C222" s="1075"/>
      <c r="D222" s="1075"/>
      <c r="E222" s="1075"/>
      <c r="F222" s="1075"/>
      <c r="G222" s="1075"/>
      <c r="H222" s="1075"/>
      <c r="I222" s="1075"/>
      <c r="J222" s="1075"/>
      <c r="K222" s="1075"/>
      <c r="L222" s="1075"/>
      <c r="M222" s="1075"/>
      <c r="N222" s="1075"/>
      <c r="O222" s="1075"/>
      <c r="P222" s="1075"/>
      <c r="Q222" s="1075"/>
      <c r="R222" s="1075"/>
      <c r="S222" s="1075"/>
      <c r="T222" s="1075"/>
      <c r="U222" s="1075"/>
      <c r="V222" s="1075"/>
      <c r="W222" s="1075"/>
      <c r="X222" s="1075"/>
      <c r="Y222" s="1075"/>
      <c r="Z222" s="1075"/>
      <c r="AA222" s="1075"/>
    </row>
    <row r="223" spans="1:27" ht="12.75" customHeight="1">
      <c r="A223" s="1075"/>
      <c r="B223" s="1075"/>
      <c r="C223" s="1075"/>
      <c r="D223" s="1075"/>
      <c r="E223" s="1075"/>
      <c r="F223" s="1075"/>
      <c r="G223" s="1075"/>
      <c r="H223" s="1075"/>
      <c r="I223" s="1075"/>
      <c r="J223" s="1075"/>
      <c r="K223" s="1075"/>
      <c r="L223" s="1075"/>
      <c r="M223" s="1075"/>
      <c r="N223" s="1075"/>
      <c r="O223" s="1075"/>
      <c r="P223" s="1075"/>
      <c r="Q223" s="1075"/>
      <c r="R223" s="1075"/>
      <c r="S223" s="1075"/>
      <c r="T223" s="1075"/>
      <c r="U223" s="1075"/>
      <c r="V223" s="1075"/>
      <c r="W223" s="1075"/>
      <c r="X223" s="1075"/>
      <c r="Y223" s="1075"/>
      <c r="Z223" s="1075"/>
      <c r="AA223" s="1075"/>
    </row>
    <row r="224" spans="1:27" ht="12.75" customHeight="1">
      <c r="A224" s="1075"/>
      <c r="B224" s="1075"/>
      <c r="C224" s="1075"/>
      <c r="D224" s="1075"/>
      <c r="E224" s="1075"/>
      <c r="F224" s="1075"/>
      <c r="G224" s="1075"/>
      <c r="H224" s="1075"/>
      <c r="I224" s="1075"/>
      <c r="J224" s="1075"/>
      <c r="K224" s="1075"/>
      <c r="L224" s="1075"/>
      <c r="M224" s="1075"/>
      <c r="N224" s="1075"/>
      <c r="O224" s="1075"/>
      <c r="P224" s="1075"/>
      <c r="Q224" s="1075"/>
      <c r="R224" s="1075"/>
      <c r="S224" s="1075"/>
      <c r="T224" s="1075"/>
      <c r="U224" s="1075"/>
      <c r="V224" s="1075"/>
      <c r="W224" s="1075"/>
      <c r="X224" s="1075"/>
      <c r="Y224" s="1075"/>
      <c r="Z224" s="1075"/>
      <c r="AA224" s="1075"/>
    </row>
    <row r="225" spans="1:27" ht="12.75" customHeight="1">
      <c r="A225" s="1075"/>
      <c r="B225" s="1075"/>
      <c r="C225" s="1075"/>
      <c r="D225" s="1075"/>
      <c r="E225" s="1075"/>
      <c r="F225" s="1075"/>
      <c r="G225" s="1075"/>
      <c r="H225" s="1075"/>
      <c r="I225" s="1075"/>
      <c r="J225" s="1075"/>
      <c r="K225" s="1075"/>
      <c r="L225" s="1075"/>
      <c r="M225" s="1075"/>
      <c r="N225" s="1075"/>
      <c r="O225" s="1075"/>
      <c r="P225" s="1075"/>
      <c r="Q225" s="1075"/>
      <c r="R225" s="1075"/>
      <c r="S225" s="1075"/>
      <c r="T225" s="1075"/>
      <c r="U225" s="1075"/>
      <c r="V225" s="1075"/>
      <c r="W225" s="1075"/>
      <c r="X225" s="1075"/>
      <c r="Y225" s="1075"/>
      <c r="Z225" s="1075"/>
      <c r="AA225" s="1075"/>
    </row>
    <row r="226" spans="1:27" ht="12.75" customHeight="1">
      <c r="A226" s="1075"/>
      <c r="B226" s="1075"/>
      <c r="C226" s="1075"/>
      <c r="D226" s="1075"/>
      <c r="E226" s="1075"/>
      <c r="F226" s="1075"/>
      <c r="G226" s="1075"/>
      <c r="H226" s="1075"/>
      <c r="I226" s="1075"/>
      <c r="J226" s="1075"/>
      <c r="K226" s="1075"/>
      <c r="L226" s="1075"/>
      <c r="M226" s="1075"/>
      <c r="N226" s="1075"/>
      <c r="O226" s="1075"/>
      <c r="P226" s="1075"/>
      <c r="Q226" s="1075"/>
      <c r="R226" s="1075"/>
      <c r="S226" s="1075"/>
      <c r="T226" s="1075"/>
      <c r="U226" s="1075"/>
      <c r="V226" s="1075"/>
      <c r="W226" s="1075"/>
      <c r="X226" s="1075"/>
      <c r="Y226" s="1075"/>
      <c r="Z226" s="1075"/>
      <c r="AA226" s="1075"/>
    </row>
    <row r="227" spans="1:27" ht="12.75" customHeight="1">
      <c r="A227" s="1075"/>
      <c r="B227" s="1075"/>
      <c r="C227" s="1075"/>
      <c r="D227" s="1075"/>
      <c r="E227" s="1075"/>
      <c r="F227" s="1075"/>
      <c r="G227" s="1075"/>
      <c r="H227" s="1075"/>
      <c r="I227" s="1075"/>
      <c r="J227" s="1075"/>
      <c r="K227" s="1075"/>
      <c r="L227" s="1075"/>
      <c r="M227" s="1075"/>
      <c r="N227" s="1075"/>
      <c r="O227" s="1075"/>
      <c r="P227" s="1075"/>
      <c r="Q227" s="1075"/>
      <c r="R227" s="1075"/>
      <c r="S227" s="1075"/>
      <c r="T227" s="1075"/>
      <c r="U227" s="1075"/>
      <c r="V227" s="1075"/>
      <c r="W227" s="1075"/>
      <c r="X227" s="1075"/>
      <c r="Y227" s="1075"/>
      <c r="Z227" s="1075"/>
      <c r="AA227" s="1075"/>
    </row>
    <row r="228" spans="1:27" ht="12.75" customHeight="1">
      <c r="A228" s="1075"/>
      <c r="B228" s="1075"/>
      <c r="C228" s="1075"/>
      <c r="D228" s="1075"/>
      <c r="E228" s="1075"/>
      <c r="F228" s="1075"/>
      <c r="G228" s="1075"/>
      <c r="H228" s="1075"/>
      <c r="I228" s="1075"/>
      <c r="J228" s="1075"/>
      <c r="K228" s="1075"/>
      <c r="L228" s="1075"/>
      <c r="M228" s="1075"/>
      <c r="N228" s="1075"/>
      <c r="O228" s="1075"/>
      <c r="P228" s="1075"/>
      <c r="Q228" s="1075"/>
      <c r="R228" s="1075"/>
      <c r="S228" s="1075"/>
      <c r="T228" s="1075"/>
      <c r="U228" s="1075"/>
      <c r="V228" s="1075"/>
      <c r="W228" s="1075"/>
      <c r="X228" s="1075"/>
      <c r="Y228" s="1075"/>
      <c r="Z228" s="1075"/>
      <c r="AA228" s="1075"/>
    </row>
    <row r="229" spans="1:27" ht="12.75" customHeight="1">
      <c r="A229" s="1075"/>
      <c r="B229" s="1075"/>
      <c r="C229" s="1075"/>
      <c r="D229" s="1075"/>
      <c r="E229" s="1075"/>
      <c r="F229" s="1075"/>
      <c r="G229" s="1075"/>
      <c r="H229" s="1075"/>
      <c r="I229" s="1075"/>
      <c r="J229" s="1075"/>
      <c r="K229" s="1075"/>
      <c r="L229" s="1075"/>
      <c r="M229" s="1075"/>
      <c r="N229" s="1075"/>
      <c r="O229" s="1075"/>
      <c r="P229" s="1075"/>
      <c r="Q229" s="1075"/>
      <c r="R229" s="1075"/>
      <c r="S229" s="1075"/>
      <c r="T229" s="1075"/>
      <c r="U229" s="1075"/>
      <c r="V229" s="1075"/>
      <c r="W229" s="1075"/>
      <c r="X229" s="1075"/>
      <c r="Y229" s="1075"/>
      <c r="Z229" s="1075"/>
      <c r="AA229" s="1075"/>
    </row>
    <row r="230" spans="1:27" ht="12.75" customHeight="1">
      <c r="A230" s="1075"/>
      <c r="B230" s="1075"/>
      <c r="C230" s="1075"/>
      <c r="D230" s="1075"/>
      <c r="E230" s="1075"/>
      <c r="F230" s="1075"/>
      <c r="G230" s="1075"/>
      <c r="H230" s="1075"/>
      <c r="I230" s="1075"/>
      <c r="J230" s="1075"/>
      <c r="K230" s="1075"/>
      <c r="L230" s="1075"/>
      <c r="M230" s="1075"/>
      <c r="N230" s="1075"/>
      <c r="O230" s="1075"/>
      <c r="P230" s="1075"/>
      <c r="Q230" s="1075"/>
      <c r="R230" s="1075"/>
      <c r="S230" s="1075"/>
      <c r="T230" s="1075"/>
      <c r="U230" s="1075"/>
      <c r="V230" s="1075"/>
      <c r="W230" s="1075"/>
      <c r="X230" s="1075"/>
      <c r="Y230" s="1075"/>
      <c r="Z230" s="1075"/>
      <c r="AA230" s="1075"/>
    </row>
    <row r="231" spans="1:27" ht="12.75" customHeight="1">
      <c r="A231" s="1075"/>
      <c r="B231" s="1075"/>
      <c r="C231" s="1075"/>
      <c r="D231" s="1075"/>
      <c r="E231" s="1075"/>
      <c r="F231" s="1075"/>
      <c r="G231" s="1075"/>
      <c r="H231" s="1075"/>
      <c r="I231" s="1075"/>
      <c r="J231" s="1075"/>
      <c r="K231" s="1075"/>
      <c r="L231" s="1075"/>
      <c r="M231" s="1075"/>
      <c r="N231" s="1075"/>
      <c r="O231" s="1075"/>
      <c r="P231" s="1075"/>
      <c r="Q231" s="1075"/>
      <c r="R231" s="1075"/>
      <c r="S231" s="1075"/>
      <c r="T231" s="1075"/>
      <c r="U231" s="1075"/>
      <c r="V231" s="1075"/>
      <c r="W231" s="1075"/>
      <c r="X231" s="1075"/>
      <c r="Y231" s="1075"/>
      <c r="Z231" s="1075"/>
      <c r="AA231" s="1075"/>
    </row>
    <row r="232" spans="1:27" ht="12.75" customHeight="1">
      <c r="A232" s="1075"/>
      <c r="B232" s="1075"/>
      <c r="C232" s="1075"/>
      <c r="D232" s="1075"/>
      <c r="E232" s="1075"/>
      <c r="F232" s="1075"/>
      <c r="G232" s="1075"/>
      <c r="H232" s="1075"/>
      <c r="I232" s="1075"/>
      <c r="J232" s="1075"/>
      <c r="K232" s="1075"/>
      <c r="L232" s="1075"/>
      <c r="M232" s="1075"/>
      <c r="N232" s="1075"/>
      <c r="O232" s="1075"/>
      <c r="P232" s="1075"/>
      <c r="Q232" s="1075"/>
      <c r="R232" s="1075"/>
      <c r="S232" s="1075"/>
      <c r="T232" s="1075"/>
      <c r="U232" s="1075"/>
      <c r="V232" s="1075"/>
      <c r="W232" s="1075"/>
      <c r="X232" s="1075"/>
      <c r="Y232" s="1075"/>
      <c r="Z232" s="1075"/>
      <c r="AA232" s="1075"/>
    </row>
    <row r="233" spans="1:27" ht="12.75" customHeight="1">
      <c r="A233" s="1075"/>
      <c r="B233" s="1075"/>
      <c r="C233" s="1075"/>
      <c r="D233" s="1075"/>
      <c r="E233" s="1075"/>
      <c r="F233" s="1075"/>
      <c r="G233" s="1075"/>
      <c r="H233" s="1075"/>
      <c r="I233" s="1075"/>
      <c r="J233" s="1075"/>
      <c r="K233" s="1075"/>
      <c r="L233" s="1075"/>
      <c r="M233" s="1075"/>
      <c r="N233" s="1075"/>
      <c r="O233" s="1075"/>
      <c r="P233" s="1075"/>
      <c r="Q233" s="1075"/>
      <c r="R233" s="1075"/>
      <c r="S233" s="1075"/>
      <c r="T233" s="1075"/>
      <c r="U233" s="1075"/>
      <c r="V233" s="1075"/>
      <c r="W233" s="1075"/>
      <c r="X233" s="1075"/>
      <c r="Y233" s="1075"/>
      <c r="Z233" s="1075"/>
      <c r="AA233" s="1075"/>
    </row>
    <row r="234" spans="1:27" ht="12.75" customHeight="1">
      <c r="A234" s="1075"/>
      <c r="B234" s="1075"/>
      <c r="C234" s="1075"/>
      <c r="D234" s="1075"/>
      <c r="E234" s="1075"/>
      <c r="F234" s="1075"/>
      <c r="G234" s="1075"/>
      <c r="H234" s="1075"/>
      <c r="I234" s="1075"/>
      <c r="J234" s="1075"/>
      <c r="K234" s="1075"/>
      <c r="L234" s="1075"/>
      <c r="M234" s="1075"/>
      <c r="N234" s="1075"/>
      <c r="O234" s="1075"/>
      <c r="P234" s="1075"/>
      <c r="Q234" s="1075"/>
      <c r="R234" s="1075"/>
      <c r="S234" s="1075"/>
      <c r="T234" s="1075"/>
      <c r="U234" s="1075"/>
      <c r="V234" s="1075"/>
      <c r="W234" s="1075"/>
      <c r="X234" s="1075"/>
      <c r="Y234" s="1075"/>
      <c r="Z234" s="1075"/>
      <c r="AA234" s="1075"/>
    </row>
    <row r="235" spans="1:27" ht="12.75" customHeight="1">
      <c r="A235" s="1075"/>
      <c r="B235" s="1075"/>
      <c r="C235" s="1075"/>
      <c r="D235" s="1075"/>
      <c r="E235" s="1075"/>
      <c r="F235" s="1075"/>
      <c r="G235" s="1075"/>
      <c r="H235" s="1075"/>
      <c r="I235" s="1075"/>
      <c r="J235" s="1075"/>
      <c r="K235" s="1075"/>
      <c r="L235" s="1075"/>
      <c r="M235" s="1075"/>
      <c r="N235" s="1075"/>
      <c r="O235" s="1075"/>
      <c r="P235" s="1075"/>
      <c r="Q235" s="1075"/>
      <c r="R235" s="1075"/>
      <c r="S235" s="1075"/>
      <c r="T235" s="1075"/>
      <c r="U235" s="1075"/>
      <c r="V235" s="1075"/>
      <c r="W235" s="1075"/>
      <c r="X235" s="1075"/>
      <c r="Y235" s="1075"/>
      <c r="Z235" s="1075"/>
      <c r="AA235" s="1075"/>
    </row>
    <row r="236" spans="1:27" ht="12.75" customHeight="1">
      <c r="A236" s="1075"/>
      <c r="B236" s="1075"/>
      <c r="C236" s="1075"/>
      <c r="D236" s="1075"/>
      <c r="E236" s="1075"/>
      <c r="F236" s="1075"/>
      <c r="G236" s="1075"/>
      <c r="H236" s="1075"/>
      <c r="I236" s="1075"/>
      <c r="J236" s="1075"/>
      <c r="K236" s="1075"/>
      <c r="L236" s="1075"/>
      <c r="M236" s="1075"/>
      <c r="N236" s="1075"/>
      <c r="O236" s="1075"/>
      <c r="P236" s="1075"/>
      <c r="Q236" s="1075"/>
      <c r="R236" s="1075"/>
      <c r="S236" s="1075"/>
      <c r="T236" s="1075"/>
      <c r="U236" s="1075"/>
      <c r="V236" s="1075"/>
      <c r="W236" s="1075"/>
      <c r="X236" s="1075"/>
      <c r="Y236" s="1075"/>
      <c r="Z236" s="1075"/>
      <c r="AA236" s="1075"/>
    </row>
    <row r="237" spans="1:27" ht="12.75" customHeight="1">
      <c r="A237" s="1075"/>
      <c r="B237" s="1075"/>
      <c r="C237" s="1075"/>
      <c r="D237" s="1075"/>
      <c r="E237" s="1075"/>
      <c r="F237" s="1075"/>
      <c r="G237" s="1075"/>
      <c r="H237" s="1075"/>
      <c r="I237" s="1075"/>
      <c r="J237" s="1075"/>
      <c r="K237" s="1075"/>
      <c r="L237" s="1075"/>
      <c r="M237" s="1075"/>
      <c r="N237" s="1075"/>
      <c r="O237" s="1075"/>
      <c r="P237" s="1075"/>
      <c r="Q237" s="1075"/>
      <c r="R237" s="1075"/>
      <c r="S237" s="1075"/>
      <c r="T237" s="1075"/>
      <c r="U237" s="1075"/>
      <c r="V237" s="1075"/>
      <c r="W237" s="1075"/>
      <c r="X237" s="1075"/>
      <c r="Y237" s="1075"/>
      <c r="Z237" s="1075"/>
      <c r="AA237" s="1075"/>
    </row>
    <row r="238" spans="1:27" ht="12.75" customHeight="1">
      <c r="A238" s="1075"/>
      <c r="B238" s="1075"/>
      <c r="C238" s="1075"/>
      <c r="D238" s="1075"/>
      <c r="E238" s="1075"/>
      <c r="F238" s="1075"/>
      <c r="G238" s="1075"/>
      <c r="H238" s="1075"/>
      <c r="I238" s="1075"/>
      <c r="J238" s="1075"/>
      <c r="K238" s="1075"/>
      <c r="L238" s="1075"/>
      <c r="M238" s="1075"/>
      <c r="N238" s="1075"/>
      <c r="O238" s="1075"/>
      <c r="P238" s="1075"/>
      <c r="Q238" s="1075"/>
      <c r="R238" s="1075"/>
      <c r="S238" s="1075"/>
      <c r="T238" s="1075"/>
      <c r="U238" s="1075"/>
      <c r="V238" s="1075"/>
      <c r="W238" s="1075"/>
      <c r="X238" s="1075"/>
      <c r="Y238" s="1075"/>
      <c r="Z238" s="1075"/>
      <c r="AA238" s="1075"/>
    </row>
    <row r="239" spans="1:27" ht="12.75" customHeight="1">
      <c r="A239" s="1075"/>
      <c r="B239" s="1075"/>
      <c r="C239" s="1075"/>
      <c r="D239" s="1075"/>
      <c r="E239" s="1075"/>
      <c r="F239" s="1075"/>
      <c r="G239" s="1075"/>
      <c r="H239" s="1075"/>
      <c r="I239" s="1075"/>
      <c r="J239" s="1075"/>
      <c r="K239" s="1075"/>
      <c r="L239" s="1075"/>
      <c r="M239" s="1075"/>
      <c r="N239" s="1075"/>
      <c r="O239" s="1075"/>
      <c r="P239" s="1075"/>
      <c r="Q239" s="1075"/>
      <c r="R239" s="1075"/>
      <c r="S239" s="1075"/>
      <c r="T239" s="1075"/>
      <c r="U239" s="1075"/>
      <c r="V239" s="1075"/>
      <c r="W239" s="1075"/>
      <c r="X239" s="1075"/>
      <c r="Y239" s="1075"/>
      <c r="Z239" s="1075"/>
      <c r="AA239" s="1075"/>
    </row>
    <row r="240" spans="1:27" ht="12.75" customHeight="1">
      <c r="A240" s="1075"/>
      <c r="B240" s="1075"/>
      <c r="C240" s="1075"/>
      <c r="D240" s="1075"/>
      <c r="E240" s="1075"/>
      <c r="F240" s="1075"/>
      <c r="G240" s="1075"/>
      <c r="H240" s="1075"/>
      <c r="I240" s="1075"/>
      <c r="J240" s="1075"/>
      <c r="K240" s="1075"/>
      <c r="L240" s="1075"/>
      <c r="M240" s="1075"/>
      <c r="N240" s="1075"/>
      <c r="O240" s="1075"/>
      <c r="P240" s="1075"/>
      <c r="Q240" s="1075"/>
      <c r="R240" s="1075"/>
      <c r="S240" s="1075"/>
      <c r="T240" s="1075"/>
      <c r="U240" s="1075"/>
      <c r="V240" s="1075"/>
      <c r="W240" s="1075"/>
      <c r="X240" s="1075"/>
      <c r="Y240" s="1075"/>
      <c r="Z240" s="1075"/>
      <c r="AA240" s="1075"/>
    </row>
    <row r="241" spans="1:27" ht="12.75" customHeight="1">
      <c r="A241" s="1075"/>
      <c r="B241" s="1075"/>
      <c r="C241" s="1075"/>
      <c r="D241" s="1075"/>
      <c r="E241" s="1075"/>
      <c r="F241" s="1075"/>
      <c r="G241" s="1075"/>
      <c r="H241" s="1075"/>
      <c r="I241" s="1075"/>
      <c r="J241" s="1075"/>
      <c r="K241" s="1075"/>
      <c r="L241" s="1075"/>
      <c r="M241" s="1075"/>
      <c r="N241" s="1075"/>
      <c r="O241" s="1075"/>
      <c r="P241" s="1075"/>
      <c r="Q241" s="1075"/>
      <c r="R241" s="1075"/>
      <c r="S241" s="1075"/>
      <c r="T241" s="1075"/>
      <c r="U241" s="1075"/>
      <c r="V241" s="1075"/>
      <c r="W241" s="1075"/>
      <c r="X241" s="1075"/>
      <c r="Y241" s="1075"/>
      <c r="Z241" s="1075"/>
      <c r="AA241" s="1075"/>
    </row>
    <row r="242" spans="1:27" ht="12.75" customHeight="1">
      <c r="A242" s="1075"/>
      <c r="B242" s="1075"/>
      <c r="C242" s="1075"/>
      <c r="D242" s="1075"/>
      <c r="E242" s="1075"/>
      <c r="F242" s="1075"/>
      <c r="G242" s="1075"/>
      <c r="H242" s="1075"/>
      <c r="I242" s="1075"/>
      <c r="J242" s="1075"/>
      <c r="K242" s="1075"/>
      <c r="L242" s="1075"/>
      <c r="M242" s="1075"/>
      <c r="N242" s="1075"/>
      <c r="O242" s="1075"/>
      <c r="P242" s="1075"/>
      <c r="Q242" s="1075"/>
      <c r="R242" s="1075"/>
      <c r="S242" s="1075"/>
      <c r="T242" s="1075"/>
      <c r="U242" s="1075"/>
      <c r="V242" s="1075"/>
      <c r="W242" s="1075"/>
      <c r="X242" s="1075"/>
      <c r="Y242" s="1075"/>
      <c r="Z242" s="1075"/>
      <c r="AA242" s="1075"/>
    </row>
    <row r="243" spans="1:27" ht="12.75" customHeight="1">
      <c r="A243" s="1075"/>
      <c r="B243" s="1075"/>
      <c r="C243" s="1075"/>
      <c r="D243" s="1075"/>
      <c r="E243" s="1075"/>
      <c r="F243" s="1075"/>
      <c r="G243" s="1075"/>
      <c r="H243" s="1075"/>
      <c r="I243" s="1075"/>
      <c r="J243" s="1075"/>
      <c r="K243" s="1075"/>
      <c r="L243" s="1075"/>
      <c r="M243" s="1075"/>
      <c r="N243" s="1075"/>
      <c r="O243" s="1075"/>
      <c r="P243" s="1075"/>
      <c r="Q243" s="1075"/>
      <c r="R243" s="1075"/>
      <c r="S243" s="1075"/>
      <c r="T243" s="1075"/>
      <c r="U243" s="1075"/>
      <c r="V243" s="1075"/>
      <c r="W243" s="1075"/>
      <c r="X243" s="1075"/>
      <c r="Y243" s="1075"/>
      <c r="Z243" s="1075"/>
      <c r="AA243" s="1075"/>
    </row>
    <row r="244" spans="1:27" ht="12.75" customHeight="1">
      <c r="A244" s="1075"/>
      <c r="B244" s="1075"/>
      <c r="C244" s="1075"/>
      <c r="D244" s="1075"/>
      <c r="E244" s="1075"/>
      <c r="F244" s="1075"/>
      <c r="G244" s="1075"/>
      <c r="H244" s="1075"/>
      <c r="I244" s="1075"/>
      <c r="J244" s="1075"/>
      <c r="K244" s="1075"/>
      <c r="L244" s="1075"/>
      <c r="M244" s="1075"/>
      <c r="N244" s="1075"/>
      <c r="O244" s="1075"/>
      <c r="P244" s="1075"/>
      <c r="Q244" s="1075"/>
      <c r="R244" s="1075"/>
      <c r="S244" s="1075"/>
      <c r="T244" s="1075"/>
      <c r="U244" s="1075"/>
      <c r="V244" s="1075"/>
      <c r="W244" s="1075"/>
      <c r="X244" s="1075"/>
      <c r="Y244" s="1075"/>
      <c r="Z244" s="1075"/>
      <c r="AA244" s="1075"/>
    </row>
    <row r="245" spans="1:27" ht="12.75" customHeight="1">
      <c r="A245" s="1075"/>
      <c r="B245" s="1075"/>
      <c r="C245" s="1075"/>
      <c r="D245" s="1075"/>
      <c r="E245" s="1075"/>
      <c r="F245" s="1075"/>
      <c r="G245" s="1075"/>
      <c r="H245" s="1075"/>
      <c r="I245" s="1075"/>
      <c r="J245" s="1075"/>
      <c r="K245" s="1075"/>
      <c r="L245" s="1075"/>
      <c r="M245" s="1075"/>
      <c r="N245" s="1075"/>
      <c r="O245" s="1075"/>
      <c r="P245" s="1075"/>
      <c r="Q245" s="1075"/>
      <c r="R245" s="1075"/>
      <c r="S245" s="1075"/>
      <c r="T245" s="1075"/>
      <c r="U245" s="1075"/>
      <c r="V245" s="1075"/>
      <c r="W245" s="1075"/>
      <c r="X245" s="1075"/>
      <c r="Y245" s="1075"/>
      <c r="Z245" s="1075"/>
      <c r="AA245" s="1075"/>
    </row>
    <row r="246" spans="1:27" ht="12.75" customHeight="1">
      <c r="A246" s="1075"/>
      <c r="B246" s="1075"/>
      <c r="C246" s="1075"/>
      <c r="D246" s="1075"/>
      <c r="E246" s="1075"/>
      <c r="F246" s="1075"/>
      <c r="G246" s="1075"/>
      <c r="H246" s="1075"/>
      <c r="I246" s="1075"/>
      <c r="J246" s="1075"/>
      <c r="K246" s="1075"/>
      <c r="L246" s="1075"/>
      <c r="M246" s="1075"/>
      <c r="N246" s="1075"/>
      <c r="O246" s="1075"/>
      <c r="P246" s="1075"/>
      <c r="Q246" s="1075"/>
      <c r="R246" s="1075"/>
      <c r="S246" s="1075"/>
      <c r="T246" s="1075"/>
      <c r="U246" s="1075"/>
      <c r="V246" s="1075"/>
      <c r="W246" s="1075"/>
      <c r="X246" s="1075"/>
      <c r="Y246" s="1075"/>
      <c r="Z246" s="1075"/>
      <c r="AA246" s="1075"/>
    </row>
    <row r="247" spans="1:27" ht="12.75" customHeight="1">
      <c r="A247" s="1075"/>
      <c r="B247" s="1075"/>
      <c r="C247" s="1075"/>
      <c r="D247" s="1075"/>
      <c r="E247" s="1075"/>
      <c r="F247" s="1075"/>
      <c r="G247" s="1075"/>
      <c r="H247" s="1075"/>
      <c r="I247" s="1075"/>
      <c r="J247" s="1075"/>
      <c r="K247" s="1075"/>
      <c r="L247" s="1075"/>
      <c r="M247" s="1075"/>
      <c r="N247" s="1075"/>
      <c r="O247" s="1075"/>
      <c r="P247" s="1075"/>
      <c r="Q247" s="1075"/>
      <c r="R247" s="1075"/>
      <c r="S247" s="1075"/>
      <c r="T247" s="1075"/>
      <c r="U247" s="1075"/>
      <c r="V247" s="1075"/>
      <c r="W247" s="1075"/>
      <c r="X247" s="1075"/>
      <c r="Y247" s="1075"/>
      <c r="Z247" s="1075"/>
      <c r="AA247" s="1075"/>
    </row>
    <row r="248" spans="1:27" ht="12.75" customHeight="1">
      <c r="A248" s="1075"/>
      <c r="B248" s="1075"/>
      <c r="C248" s="1075"/>
      <c r="D248" s="1075"/>
      <c r="E248" s="1075"/>
      <c r="F248" s="1075"/>
      <c r="G248" s="1075"/>
      <c r="H248" s="1075"/>
      <c r="I248" s="1075"/>
      <c r="J248" s="1075"/>
      <c r="K248" s="1075"/>
      <c r="L248" s="1075"/>
      <c r="M248" s="1075"/>
      <c r="N248" s="1075"/>
      <c r="O248" s="1075"/>
      <c r="P248" s="1075"/>
      <c r="Q248" s="1075"/>
      <c r="R248" s="1075"/>
      <c r="S248" s="1075"/>
      <c r="T248" s="1075"/>
      <c r="U248" s="1075"/>
      <c r="V248" s="1075"/>
      <c r="W248" s="1075"/>
      <c r="X248" s="1075"/>
      <c r="Y248" s="1075"/>
      <c r="Z248" s="1075"/>
      <c r="AA248" s="1075"/>
    </row>
    <row r="249" spans="1:27" ht="12.75" customHeight="1">
      <c r="A249" s="1075"/>
      <c r="B249" s="1075"/>
      <c r="C249" s="1075"/>
      <c r="D249" s="1075"/>
      <c r="E249" s="1075"/>
      <c r="F249" s="1075"/>
      <c r="G249" s="1075"/>
      <c r="H249" s="1075"/>
      <c r="I249" s="1075"/>
      <c r="J249" s="1075"/>
      <c r="K249" s="1075"/>
      <c r="L249" s="1075"/>
      <c r="M249" s="1075"/>
      <c r="N249" s="1075"/>
      <c r="O249" s="1075"/>
      <c r="P249" s="1075"/>
      <c r="Q249" s="1075"/>
      <c r="R249" s="1075"/>
      <c r="S249" s="1075"/>
      <c r="T249" s="1075"/>
      <c r="U249" s="1075"/>
      <c r="V249" s="1075"/>
      <c r="W249" s="1075"/>
      <c r="X249" s="1075"/>
      <c r="Y249" s="1075"/>
      <c r="Z249" s="1075"/>
      <c r="AA249" s="1075"/>
    </row>
    <row r="250" spans="1:27" ht="12.75" customHeight="1">
      <c r="A250" s="1075"/>
      <c r="B250" s="1075"/>
      <c r="C250" s="1075"/>
      <c r="D250" s="1075"/>
      <c r="E250" s="1075"/>
      <c r="F250" s="1075"/>
      <c r="G250" s="1075"/>
      <c r="H250" s="1075"/>
      <c r="I250" s="1075"/>
      <c r="J250" s="1075"/>
      <c r="K250" s="1075"/>
      <c r="L250" s="1075"/>
      <c r="M250" s="1075"/>
      <c r="N250" s="1075"/>
      <c r="O250" s="1075"/>
      <c r="P250" s="1075"/>
      <c r="Q250" s="1075"/>
      <c r="R250" s="1075"/>
      <c r="S250" s="1075"/>
      <c r="T250" s="1075"/>
      <c r="U250" s="1075"/>
      <c r="V250" s="1075"/>
      <c r="W250" s="1075"/>
      <c r="X250" s="1075"/>
      <c r="Y250" s="1075"/>
      <c r="Z250" s="1075"/>
      <c r="AA250" s="1075"/>
    </row>
    <row r="251" spans="1:27" ht="12.75" customHeight="1">
      <c r="A251" s="1075"/>
      <c r="B251" s="1075"/>
      <c r="C251" s="1075"/>
      <c r="D251" s="1075"/>
      <c r="E251" s="1075"/>
      <c r="F251" s="1075"/>
      <c r="G251" s="1075"/>
      <c r="H251" s="1075"/>
      <c r="I251" s="1075"/>
      <c r="J251" s="1075"/>
      <c r="K251" s="1075"/>
      <c r="L251" s="1075"/>
      <c r="M251" s="1075"/>
      <c r="N251" s="1075"/>
      <c r="O251" s="1075"/>
      <c r="P251" s="1075"/>
      <c r="Q251" s="1075"/>
      <c r="R251" s="1075"/>
      <c r="S251" s="1075"/>
      <c r="T251" s="1075"/>
      <c r="U251" s="1075"/>
      <c r="V251" s="1075"/>
      <c r="W251" s="1075"/>
      <c r="X251" s="1075"/>
      <c r="Y251" s="1075"/>
      <c r="Z251" s="1075"/>
      <c r="AA251" s="1075"/>
    </row>
    <row r="252" spans="1:27" ht="12.75" customHeight="1">
      <c r="A252" s="1075"/>
      <c r="B252" s="1075"/>
      <c r="C252" s="1075"/>
      <c r="D252" s="1075"/>
      <c r="E252" s="1075"/>
      <c r="F252" s="1075"/>
      <c r="G252" s="1075"/>
      <c r="H252" s="1075"/>
      <c r="I252" s="1075"/>
      <c r="J252" s="1075"/>
      <c r="K252" s="1075"/>
      <c r="L252" s="1075"/>
      <c r="M252" s="1075"/>
      <c r="N252" s="1075"/>
      <c r="O252" s="1075"/>
      <c r="P252" s="1075"/>
      <c r="Q252" s="1075"/>
      <c r="R252" s="1075"/>
      <c r="S252" s="1075"/>
      <c r="T252" s="1075"/>
      <c r="U252" s="1075"/>
      <c r="V252" s="1075"/>
      <c r="W252" s="1075"/>
      <c r="X252" s="1075"/>
      <c r="Y252" s="1075"/>
      <c r="Z252" s="1075"/>
      <c r="AA252" s="1075"/>
    </row>
    <row r="253" spans="1:27" ht="12.75" customHeight="1">
      <c r="A253" s="1075"/>
      <c r="B253" s="1075"/>
      <c r="C253" s="1075"/>
      <c r="D253" s="1075"/>
      <c r="E253" s="1075"/>
      <c r="F253" s="1075"/>
      <c r="G253" s="1075"/>
      <c r="H253" s="1075"/>
      <c r="I253" s="1075"/>
      <c r="J253" s="1075"/>
      <c r="K253" s="1075"/>
      <c r="L253" s="1075"/>
      <c r="M253" s="1075"/>
      <c r="N253" s="1075"/>
      <c r="O253" s="1075"/>
      <c r="P253" s="1075"/>
      <c r="Q253" s="1075"/>
      <c r="R253" s="1075"/>
      <c r="S253" s="1075"/>
      <c r="T253" s="1075"/>
      <c r="U253" s="1075"/>
      <c r="V253" s="1075"/>
      <c r="W253" s="1075"/>
      <c r="X253" s="1075"/>
      <c r="Y253" s="1075"/>
      <c r="Z253" s="1075"/>
      <c r="AA253" s="1075"/>
    </row>
    <row r="254" spans="1:27" ht="12.75" customHeight="1">
      <c r="A254" s="1075"/>
      <c r="B254" s="1075"/>
      <c r="C254" s="1075"/>
      <c r="D254" s="1075"/>
      <c r="E254" s="1075"/>
      <c r="F254" s="1075"/>
      <c r="G254" s="1075"/>
      <c r="H254" s="1075"/>
      <c r="I254" s="1075"/>
      <c r="J254" s="1075"/>
      <c r="K254" s="1075"/>
      <c r="L254" s="1075"/>
      <c r="M254" s="1075"/>
      <c r="N254" s="1075"/>
      <c r="O254" s="1075"/>
      <c r="P254" s="1075"/>
      <c r="Q254" s="1075"/>
      <c r="R254" s="1075"/>
      <c r="S254" s="1075"/>
      <c r="T254" s="1075"/>
      <c r="U254" s="1075"/>
      <c r="V254" s="1075"/>
      <c r="W254" s="1075"/>
      <c r="X254" s="1075"/>
      <c r="Y254" s="1075"/>
      <c r="Z254" s="1075"/>
      <c r="AA254" s="1075"/>
    </row>
    <row r="255" spans="1:27" ht="12.75" customHeight="1">
      <c r="A255" s="1075"/>
      <c r="B255" s="1075"/>
      <c r="C255" s="1075"/>
      <c r="D255" s="1075"/>
      <c r="E255" s="1075"/>
      <c r="F255" s="1075"/>
      <c r="G255" s="1075"/>
      <c r="H255" s="1075"/>
      <c r="I255" s="1075"/>
      <c r="J255" s="1075"/>
      <c r="K255" s="1075"/>
      <c r="L255" s="1075"/>
      <c r="M255" s="1075"/>
      <c r="N255" s="1075"/>
      <c r="O255" s="1075"/>
      <c r="P255" s="1075"/>
      <c r="Q255" s="1075"/>
      <c r="R255" s="1075"/>
      <c r="S255" s="1075"/>
      <c r="T255" s="1075"/>
      <c r="U255" s="1075"/>
      <c r="V255" s="1075"/>
      <c r="W255" s="1075"/>
      <c r="X255" s="1075"/>
      <c r="Y255" s="1075"/>
      <c r="Z255" s="1075"/>
      <c r="AA255" s="1075"/>
    </row>
    <row r="256" spans="1:27" ht="12.75" customHeight="1">
      <c r="A256" s="1075"/>
      <c r="B256" s="1075"/>
      <c r="C256" s="1075"/>
      <c r="D256" s="1075"/>
      <c r="E256" s="1075"/>
      <c r="F256" s="1075"/>
      <c r="G256" s="1075"/>
      <c r="H256" s="1075"/>
      <c r="I256" s="1075"/>
      <c r="J256" s="1075"/>
      <c r="K256" s="1075"/>
      <c r="L256" s="1075"/>
      <c r="M256" s="1075"/>
      <c r="N256" s="1075"/>
      <c r="O256" s="1075"/>
      <c r="P256" s="1075"/>
      <c r="Q256" s="1075"/>
      <c r="R256" s="1075"/>
      <c r="S256" s="1075"/>
      <c r="T256" s="1075"/>
      <c r="U256" s="1075"/>
      <c r="V256" s="1075"/>
      <c r="W256" s="1075"/>
      <c r="X256" s="1075"/>
      <c r="Y256" s="1075"/>
      <c r="Z256" s="1075"/>
      <c r="AA256" s="1075"/>
    </row>
    <row r="257" spans="1:27" ht="12.75" customHeight="1">
      <c r="A257" s="1075"/>
      <c r="B257" s="1075"/>
      <c r="C257" s="1075"/>
      <c r="D257" s="1075"/>
      <c r="E257" s="1075"/>
      <c r="F257" s="1075"/>
      <c r="G257" s="1075"/>
      <c r="H257" s="1075"/>
      <c r="I257" s="1075"/>
      <c r="J257" s="1075"/>
      <c r="K257" s="1075"/>
      <c r="L257" s="1075"/>
      <c r="M257" s="1075"/>
      <c r="N257" s="1075"/>
      <c r="O257" s="1075"/>
      <c r="P257" s="1075"/>
      <c r="Q257" s="1075"/>
      <c r="R257" s="1075"/>
      <c r="S257" s="1075"/>
      <c r="T257" s="1075"/>
      <c r="U257" s="1075"/>
      <c r="V257" s="1075"/>
      <c r="W257" s="1075"/>
      <c r="X257" s="1075"/>
      <c r="Y257" s="1075"/>
      <c r="Z257" s="1075"/>
      <c r="AA257" s="1075"/>
    </row>
    <row r="258" spans="1:27" ht="12.75" customHeight="1">
      <c r="A258" s="1075"/>
      <c r="B258" s="1075"/>
      <c r="C258" s="1075"/>
      <c r="D258" s="1075"/>
      <c r="E258" s="1075"/>
      <c r="F258" s="1075"/>
      <c r="G258" s="1075"/>
      <c r="H258" s="1075"/>
      <c r="I258" s="1075"/>
      <c r="J258" s="1075"/>
      <c r="K258" s="1075"/>
      <c r="L258" s="1075"/>
      <c r="M258" s="1075"/>
      <c r="N258" s="1075"/>
      <c r="O258" s="1075"/>
      <c r="P258" s="1075"/>
      <c r="Q258" s="1075"/>
      <c r="R258" s="1075"/>
      <c r="S258" s="1075"/>
      <c r="T258" s="1075"/>
      <c r="U258" s="1075"/>
      <c r="V258" s="1075"/>
      <c r="W258" s="1075"/>
      <c r="X258" s="1075"/>
      <c r="Y258" s="1075"/>
      <c r="Z258" s="1075"/>
      <c r="AA258" s="1075"/>
    </row>
    <row r="259" spans="1:27" ht="12.75" customHeight="1">
      <c r="A259" s="1075"/>
      <c r="B259" s="1075"/>
      <c r="C259" s="1075"/>
      <c r="D259" s="1075"/>
      <c r="E259" s="1075"/>
      <c r="F259" s="1075"/>
      <c r="G259" s="1075"/>
      <c r="H259" s="1075"/>
      <c r="I259" s="1075"/>
      <c r="J259" s="1075"/>
      <c r="K259" s="1075"/>
      <c r="L259" s="1075"/>
      <c r="M259" s="1075"/>
      <c r="N259" s="1075"/>
      <c r="O259" s="1075"/>
      <c r="P259" s="1075"/>
      <c r="Q259" s="1075"/>
      <c r="R259" s="1075"/>
      <c r="S259" s="1075"/>
      <c r="T259" s="1075"/>
      <c r="U259" s="1075"/>
      <c r="V259" s="1075"/>
      <c r="W259" s="1075"/>
      <c r="X259" s="1075"/>
      <c r="Y259" s="1075"/>
      <c r="Z259" s="1075"/>
      <c r="AA259" s="1075"/>
    </row>
    <row r="260" spans="1:27" ht="12.75" customHeight="1">
      <c r="A260" s="1075"/>
      <c r="B260" s="1075"/>
      <c r="C260" s="1075"/>
      <c r="D260" s="1075"/>
      <c r="E260" s="1075"/>
      <c r="F260" s="1075"/>
      <c r="G260" s="1075"/>
      <c r="H260" s="1075"/>
      <c r="I260" s="1075"/>
      <c r="J260" s="1075"/>
      <c r="K260" s="1075"/>
      <c r="L260" s="1075"/>
      <c r="M260" s="1075"/>
      <c r="N260" s="1075"/>
      <c r="O260" s="1075"/>
      <c r="P260" s="1075"/>
      <c r="Q260" s="1075"/>
      <c r="R260" s="1075"/>
      <c r="S260" s="1075"/>
      <c r="T260" s="1075"/>
      <c r="U260" s="1075"/>
      <c r="V260" s="1075"/>
      <c r="W260" s="1075"/>
      <c r="X260" s="1075"/>
      <c r="Y260" s="1075"/>
      <c r="Z260" s="1075"/>
      <c r="AA260" s="1075"/>
    </row>
    <row r="261" spans="1:27" ht="12.75" customHeight="1">
      <c r="A261" s="1075"/>
      <c r="B261" s="1075"/>
      <c r="C261" s="1075"/>
      <c r="D261" s="1075"/>
      <c r="E261" s="1075"/>
      <c r="F261" s="1075"/>
      <c r="G261" s="1075"/>
      <c r="H261" s="1075"/>
      <c r="I261" s="1075"/>
      <c r="J261" s="1075"/>
      <c r="K261" s="1075"/>
      <c r="L261" s="1075"/>
      <c r="M261" s="1075"/>
      <c r="N261" s="1075"/>
      <c r="O261" s="1075"/>
      <c r="P261" s="1075"/>
      <c r="Q261" s="1075"/>
      <c r="R261" s="1075"/>
      <c r="S261" s="1075"/>
      <c r="T261" s="1075"/>
      <c r="U261" s="1075"/>
      <c r="V261" s="1075"/>
      <c r="W261" s="1075"/>
      <c r="X261" s="1075"/>
      <c r="Y261" s="1075"/>
      <c r="Z261" s="1075"/>
      <c r="AA261" s="1075"/>
    </row>
    <row r="262" spans="1:27" ht="12.75" customHeight="1">
      <c r="A262" s="1075"/>
      <c r="B262" s="1075"/>
      <c r="C262" s="1075"/>
      <c r="D262" s="1075"/>
      <c r="E262" s="1075"/>
      <c r="F262" s="1075"/>
      <c r="G262" s="1075"/>
      <c r="H262" s="1075"/>
      <c r="I262" s="1075"/>
      <c r="J262" s="1075"/>
      <c r="K262" s="1075"/>
      <c r="L262" s="1075"/>
      <c r="M262" s="1075"/>
      <c r="N262" s="1075"/>
      <c r="O262" s="1075"/>
      <c r="P262" s="1075"/>
      <c r="Q262" s="1075"/>
      <c r="R262" s="1075"/>
      <c r="S262" s="1075"/>
      <c r="T262" s="1075"/>
      <c r="U262" s="1075"/>
      <c r="V262" s="1075"/>
      <c r="W262" s="1075"/>
      <c r="X262" s="1075"/>
      <c r="Y262" s="1075"/>
      <c r="Z262" s="1075"/>
      <c r="AA262" s="1075"/>
    </row>
    <row r="263" spans="1:27" ht="12.75" customHeight="1">
      <c r="A263" s="1075"/>
      <c r="B263" s="1075"/>
      <c r="C263" s="1075"/>
      <c r="D263" s="1075"/>
      <c r="E263" s="1075"/>
      <c r="F263" s="1075"/>
      <c r="G263" s="1075"/>
      <c r="H263" s="1075"/>
      <c r="I263" s="1075"/>
      <c r="J263" s="1075"/>
      <c r="K263" s="1075"/>
      <c r="L263" s="1075"/>
      <c r="M263" s="1075"/>
      <c r="N263" s="1075"/>
      <c r="O263" s="1075"/>
      <c r="P263" s="1075"/>
      <c r="Q263" s="1075"/>
      <c r="R263" s="1075"/>
      <c r="S263" s="1075"/>
      <c r="T263" s="1075"/>
      <c r="U263" s="1075"/>
      <c r="V263" s="1075"/>
      <c r="W263" s="1075"/>
      <c r="X263" s="1075"/>
      <c r="Y263" s="1075"/>
      <c r="Z263" s="1075"/>
      <c r="AA263" s="1075"/>
    </row>
    <row r="264" spans="1:27" ht="12.75" customHeight="1">
      <c r="A264" s="1075"/>
      <c r="B264" s="1075"/>
      <c r="C264" s="1075"/>
      <c r="D264" s="1075"/>
      <c r="E264" s="1075"/>
      <c r="F264" s="1075"/>
      <c r="G264" s="1075"/>
      <c r="H264" s="1075"/>
      <c r="I264" s="1075"/>
      <c r="J264" s="1075"/>
      <c r="K264" s="1075"/>
      <c r="L264" s="1075"/>
      <c r="M264" s="1075"/>
      <c r="N264" s="1075"/>
      <c r="O264" s="1075"/>
      <c r="P264" s="1075"/>
      <c r="Q264" s="1075"/>
      <c r="R264" s="1075"/>
      <c r="S264" s="1075"/>
      <c r="T264" s="1075"/>
      <c r="U264" s="1075"/>
      <c r="V264" s="1075"/>
      <c r="W264" s="1075"/>
      <c r="X264" s="1075"/>
      <c r="Y264" s="1075"/>
      <c r="Z264" s="1075"/>
      <c r="AA264" s="1075"/>
    </row>
    <row r="265" spans="1:27" ht="12.75" customHeight="1">
      <c r="A265" s="1075"/>
      <c r="B265" s="1075"/>
      <c r="C265" s="1075"/>
      <c r="D265" s="1075"/>
      <c r="E265" s="1075"/>
      <c r="F265" s="1075"/>
      <c r="G265" s="1075"/>
      <c r="H265" s="1075"/>
      <c r="I265" s="1075"/>
      <c r="J265" s="1075"/>
      <c r="K265" s="1075"/>
      <c r="L265" s="1075"/>
      <c r="M265" s="1075"/>
      <c r="N265" s="1075"/>
      <c r="O265" s="1075"/>
      <c r="P265" s="1075"/>
      <c r="Q265" s="1075"/>
      <c r="R265" s="1075"/>
      <c r="S265" s="1075"/>
      <c r="T265" s="1075"/>
      <c r="U265" s="1075"/>
      <c r="V265" s="1075"/>
      <c r="W265" s="1075"/>
      <c r="X265" s="1075"/>
      <c r="Y265" s="1075"/>
      <c r="Z265" s="1075"/>
      <c r="AA265" s="1075"/>
    </row>
    <row r="266" spans="1:27" ht="12.75" customHeight="1">
      <c r="A266" s="1075"/>
      <c r="B266" s="1075"/>
      <c r="C266" s="1075"/>
      <c r="D266" s="1075"/>
      <c r="E266" s="1075"/>
      <c r="F266" s="1075"/>
      <c r="G266" s="1075"/>
      <c r="H266" s="1075"/>
      <c r="I266" s="1075"/>
      <c r="J266" s="1075"/>
      <c r="K266" s="1075"/>
      <c r="L266" s="1075"/>
      <c r="M266" s="1075"/>
      <c r="N266" s="1075"/>
      <c r="O266" s="1075"/>
      <c r="P266" s="1075"/>
      <c r="Q266" s="1075"/>
      <c r="R266" s="1075"/>
      <c r="S266" s="1075"/>
      <c r="T266" s="1075"/>
      <c r="U266" s="1075"/>
      <c r="V266" s="1075"/>
      <c r="W266" s="1075"/>
      <c r="X266" s="1075"/>
      <c r="Y266" s="1075"/>
      <c r="Z266" s="1075"/>
      <c r="AA266" s="1075"/>
    </row>
    <row r="267" spans="1:27" ht="12.75" customHeight="1">
      <c r="A267" s="1075"/>
      <c r="B267" s="1075"/>
      <c r="C267" s="1075"/>
      <c r="D267" s="1075"/>
      <c r="E267" s="1075"/>
      <c r="F267" s="1075"/>
      <c r="G267" s="1075"/>
      <c r="H267" s="1075"/>
      <c r="I267" s="1075"/>
      <c r="J267" s="1075"/>
      <c r="K267" s="1075"/>
      <c r="L267" s="1075"/>
      <c r="M267" s="1075"/>
      <c r="N267" s="1075"/>
      <c r="O267" s="1075"/>
      <c r="P267" s="1075"/>
      <c r="Q267" s="1075"/>
      <c r="R267" s="1075"/>
      <c r="S267" s="1075"/>
      <c r="T267" s="1075"/>
      <c r="U267" s="1075"/>
      <c r="V267" s="1075"/>
      <c r="W267" s="1075"/>
      <c r="X267" s="1075"/>
      <c r="Y267" s="1075"/>
      <c r="Z267" s="1075"/>
      <c r="AA267" s="1075"/>
    </row>
    <row r="268" spans="1:27" ht="12.75" customHeight="1">
      <c r="A268" s="1075"/>
      <c r="B268" s="1075"/>
      <c r="C268" s="1075"/>
      <c r="D268" s="1075"/>
      <c r="E268" s="1075"/>
      <c r="F268" s="1075"/>
      <c r="G268" s="1075"/>
      <c r="H268" s="1075"/>
      <c r="I268" s="1075"/>
      <c r="J268" s="1075"/>
      <c r="K268" s="1075"/>
      <c r="L268" s="1075"/>
      <c r="M268" s="1075"/>
      <c r="N268" s="1075"/>
      <c r="O268" s="1075"/>
      <c r="P268" s="1075"/>
      <c r="Q268" s="1075"/>
      <c r="R268" s="1075"/>
      <c r="S268" s="1075"/>
      <c r="T268" s="1075"/>
      <c r="U268" s="1075"/>
      <c r="V268" s="1075"/>
      <c r="W268" s="1075"/>
      <c r="X268" s="1075"/>
      <c r="Y268" s="1075"/>
      <c r="Z268" s="1075"/>
      <c r="AA268" s="1075"/>
    </row>
    <row r="269" spans="1:27" ht="12.75" customHeight="1">
      <c r="A269" s="1075"/>
      <c r="B269" s="1075"/>
      <c r="C269" s="1075"/>
      <c r="D269" s="1075"/>
      <c r="E269" s="1075"/>
      <c r="F269" s="1075"/>
      <c r="G269" s="1075"/>
      <c r="H269" s="1075"/>
      <c r="I269" s="1075"/>
      <c r="J269" s="1075"/>
      <c r="K269" s="1075"/>
      <c r="L269" s="1075"/>
      <c r="M269" s="1075"/>
      <c r="N269" s="1075"/>
      <c r="O269" s="1075"/>
      <c r="P269" s="1075"/>
      <c r="Q269" s="1075"/>
      <c r="R269" s="1075"/>
      <c r="S269" s="1075"/>
      <c r="T269" s="1075"/>
      <c r="U269" s="1075"/>
      <c r="V269" s="1075"/>
      <c r="W269" s="1075"/>
      <c r="X269" s="1075"/>
      <c r="Y269" s="1075"/>
      <c r="Z269" s="1075"/>
      <c r="AA269" s="1075"/>
    </row>
    <row r="270" spans="1:27" ht="12.75" customHeight="1">
      <c r="A270" s="1075"/>
      <c r="B270" s="1075"/>
      <c r="C270" s="1075"/>
      <c r="D270" s="1075"/>
      <c r="E270" s="1075"/>
      <c r="F270" s="1075"/>
      <c r="G270" s="1075"/>
      <c r="H270" s="1075"/>
      <c r="I270" s="1075"/>
      <c r="J270" s="1075"/>
      <c r="K270" s="1075"/>
      <c r="L270" s="1075"/>
      <c r="M270" s="1075"/>
      <c r="N270" s="1075"/>
      <c r="O270" s="1075"/>
      <c r="P270" s="1075"/>
      <c r="Q270" s="1075"/>
      <c r="R270" s="1075"/>
      <c r="S270" s="1075"/>
      <c r="T270" s="1075"/>
      <c r="U270" s="1075"/>
      <c r="V270" s="1075"/>
      <c r="W270" s="1075"/>
      <c r="X270" s="1075"/>
      <c r="Y270" s="1075"/>
      <c r="Z270" s="1075"/>
      <c r="AA270" s="1075"/>
    </row>
    <row r="271" spans="1:27" ht="12.75" customHeight="1">
      <c r="A271" s="1075"/>
      <c r="B271" s="1075"/>
      <c r="C271" s="1075"/>
      <c r="D271" s="1075"/>
      <c r="E271" s="1075"/>
      <c r="F271" s="1075"/>
      <c r="G271" s="1075"/>
      <c r="H271" s="1075"/>
      <c r="I271" s="1075"/>
      <c r="J271" s="1075"/>
      <c r="K271" s="1075"/>
      <c r="L271" s="1075"/>
      <c r="M271" s="1075"/>
      <c r="N271" s="1075"/>
      <c r="O271" s="1075"/>
      <c r="P271" s="1075"/>
      <c r="Q271" s="1075"/>
      <c r="R271" s="1075"/>
      <c r="S271" s="1075"/>
      <c r="T271" s="1075"/>
      <c r="U271" s="1075"/>
      <c r="V271" s="1075"/>
      <c r="W271" s="1075"/>
      <c r="X271" s="1075"/>
      <c r="Y271" s="1075"/>
      <c r="Z271" s="1075"/>
      <c r="AA271" s="1075"/>
    </row>
    <row r="272" spans="1:27" ht="12.75" customHeight="1">
      <c r="A272" s="1075"/>
      <c r="B272" s="1075"/>
      <c r="C272" s="1075"/>
      <c r="D272" s="1075"/>
      <c r="E272" s="1075"/>
      <c r="F272" s="1075"/>
      <c r="G272" s="1075"/>
      <c r="H272" s="1075"/>
      <c r="I272" s="1075"/>
      <c r="J272" s="1075"/>
      <c r="K272" s="1075"/>
      <c r="L272" s="1075"/>
      <c r="M272" s="1075"/>
      <c r="N272" s="1075"/>
      <c r="O272" s="1075"/>
      <c r="P272" s="1075"/>
      <c r="Q272" s="1075"/>
      <c r="R272" s="1075"/>
      <c r="S272" s="1075"/>
      <c r="T272" s="1075"/>
      <c r="U272" s="1075"/>
      <c r="V272" s="1075"/>
      <c r="W272" s="1075"/>
      <c r="X272" s="1075"/>
      <c r="Y272" s="1075"/>
      <c r="Z272" s="1075"/>
      <c r="AA272" s="1075"/>
    </row>
    <row r="273" spans="1:27" ht="12.75" customHeight="1">
      <c r="A273" s="1075"/>
      <c r="B273" s="1075"/>
      <c r="C273" s="1075"/>
      <c r="D273" s="1075"/>
      <c r="E273" s="1075"/>
      <c r="F273" s="1075"/>
      <c r="G273" s="1075"/>
      <c r="H273" s="1075"/>
      <c r="I273" s="1075"/>
      <c r="J273" s="1075"/>
      <c r="K273" s="1075"/>
      <c r="L273" s="1075"/>
      <c r="M273" s="1075"/>
      <c r="N273" s="1075"/>
      <c r="O273" s="1075"/>
      <c r="P273" s="1075"/>
      <c r="Q273" s="1075"/>
      <c r="R273" s="1075"/>
      <c r="S273" s="1075"/>
      <c r="T273" s="1075"/>
      <c r="U273" s="1075"/>
      <c r="V273" s="1075"/>
      <c r="W273" s="1075"/>
      <c r="X273" s="1075"/>
      <c r="Y273" s="1075"/>
      <c r="Z273" s="1075"/>
      <c r="AA273" s="1075"/>
    </row>
    <row r="274" spans="1:27" ht="12.75" customHeight="1">
      <c r="A274" s="1075"/>
      <c r="B274" s="1075"/>
      <c r="C274" s="1075"/>
      <c r="D274" s="1075"/>
      <c r="E274" s="1075"/>
      <c r="F274" s="1075"/>
      <c r="G274" s="1075"/>
      <c r="H274" s="1075"/>
      <c r="I274" s="1075"/>
      <c r="J274" s="1075"/>
      <c r="K274" s="1075"/>
      <c r="L274" s="1075"/>
      <c r="M274" s="1075"/>
      <c r="N274" s="1075"/>
      <c r="O274" s="1075"/>
      <c r="P274" s="1075"/>
      <c r="Q274" s="1075"/>
      <c r="R274" s="1075"/>
      <c r="S274" s="1075"/>
      <c r="T274" s="1075"/>
      <c r="U274" s="1075"/>
      <c r="V274" s="1075"/>
      <c r="W274" s="1075"/>
      <c r="X274" s="1075"/>
      <c r="Y274" s="1075"/>
      <c r="Z274" s="1075"/>
      <c r="AA274" s="1075"/>
    </row>
    <row r="275" spans="1:27" ht="12.75" customHeight="1">
      <c r="A275" s="1075"/>
      <c r="B275" s="1075"/>
      <c r="C275" s="1075"/>
      <c r="D275" s="1075"/>
      <c r="E275" s="1075"/>
      <c r="F275" s="1075"/>
      <c r="G275" s="1075"/>
      <c r="H275" s="1075"/>
      <c r="I275" s="1075"/>
      <c r="J275" s="1075"/>
      <c r="K275" s="1075"/>
      <c r="L275" s="1075"/>
      <c r="M275" s="1075"/>
      <c r="N275" s="1075"/>
      <c r="O275" s="1075"/>
      <c r="P275" s="1075"/>
      <c r="Q275" s="1075"/>
      <c r="R275" s="1075"/>
      <c r="S275" s="1075"/>
      <c r="T275" s="1075"/>
      <c r="U275" s="1075"/>
      <c r="V275" s="1075"/>
      <c r="W275" s="1075"/>
      <c r="X275" s="1075"/>
      <c r="Y275" s="1075"/>
      <c r="Z275" s="1075"/>
      <c r="AA275" s="1075"/>
    </row>
    <row r="276" spans="1:27" ht="12.75" customHeight="1">
      <c r="A276" s="1075"/>
      <c r="B276" s="1075"/>
      <c r="C276" s="1075"/>
      <c r="D276" s="1075"/>
      <c r="E276" s="1075"/>
      <c r="F276" s="1075"/>
      <c r="G276" s="1075"/>
      <c r="H276" s="1075"/>
      <c r="I276" s="1075"/>
      <c r="J276" s="1075"/>
      <c r="K276" s="1075"/>
      <c r="L276" s="1075"/>
      <c r="M276" s="1075"/>
      <c r="N276" s="1075"/>
      <c r="O276" s="1075"/>
      <c r="P276" s="1075"/>
      <c r="Q276" s="1075"/>
      <c r="R276" s="1075"/>
      <c r="S276" s="1075"/>
      <c r="T276" s="1075"/>
      <c r="U276" s="1075"/>
      <c r="V276" s="1075"/>
      <c r="W276" s="1075"/>
      <c r="X276" s="1075"/>
      <c r="Y276" s="1075"/>
      <c r="Z276" s="1075"/>
      <c r="AA276" s="1075"/>
    </row>
    <row r="277" spans="1:27" ht="12.75" customHeight="1">
      <c r="A277" s="1075"/>
      <c r="B277" s="1075"/>
      <c r="C277" s="1075"/>
      <c r="D277" s="1075"/>
      <c r="E277" s="1075"/>
      <c r="F277" s="1075"/>
      <c r="G277" s="1075"/>
      <c r="H277" s="1075"/>
      <c r="I277" s="1075"/>
      <c r="J277" s="1075"/>
      <c r="K277" s="1075"/>
      <c r="L277" s="1075"/>
      <c r="M277" s="1075"/>
      <c r="N277" s="1075"/>
      <c r="O277" s="1075"/>
      <c r="P277" s="1075"/>
      <c r="Q277" s="1075"/>
      <c r="R277" s="1075"/>
      <c r="S277" s="1075"/>
      <c r="T277" s="1075"/>
      <c r="U277" s="1075"/>
      <c r="V277" s="1075"/>
      <c r="W277" s="1075"/>
      <c r="X277" s="1075"/>
      <c r="Y277" s="1075"/>
      <c r="Z277" s="1075"/>
      <c r="AA277" s="1075"/>
    </row>
    <row r="278" spans="1:27" ht="12.75" customHeight="1">
      <c r="A278" s="1075"/>
      <c r="B278" s="1075"/>
      <c r="C278" s="1075"/>
      <c r="D278" s="1075"/>
      <c r="E278" s="1075"/>
      <c r="F278" s="1075"/>
      <c r="G278" s="1075"/>
      <c r="H278" s="1075"/>
      <c r="I278" s="1075"/>
      <c r="J278" s="1075"/>
      <c r="K278" s="1075"/>
      <c r="L278" s="1075"/>
      <c r="M278" s="1075"/>
      <c r="N278" s="1075"/>
      <c r="O278" s="1075"/>
      <c r="P278" s="1075"/>
      <c r="Q278" s="1075"/>
      <c r="R278" s="1075"/>
      <c r="S278" s="1075"/>
      <c r="T278" s="1075"/>
      <c r="U278" s="1075"/>
      <c r="V278" s="1075"/>
      <c r="W278" s="1075"/>
      <c r="X278" s="1075"/>
      <c r="Y278" s="1075"/>
      <c r="Z278" s="1075"/>
      <c r="AA278" s="1075"/>
    </row>
    <row r="279" spans="1:27" ht="12.75" customHeight="1">
      <c r="A279" s="1075"/>
      <c r="B279" s="1075"/>
      <c r="C279" s="1075"/>
      <c r="D279" s="1075"/>
      <c r="E279" s="1075"/>
      <c r="F279" s="1075"/>
      <c r="G279" s="1075"/>
      <c r="H279" s="1075"/>
      <c r="I279" s="1075"/>
      <c r="J279" s="1075"/>
      <c r="K279" s="1075"/>
      <c r="L279" s="1075"/>
      <c r="M279" s="1075"/>
      <c r="N279" s="1075"/>
      <c r="O279" s="1075"/>
      <c r="P279" s="1075"/>
      <c r="Q279" s="1075"/>
      <c r="R279" s="1075"/>
      <c r="S279" s="1075"/>
      <c r="T279" s="1075"/>
      <c r="U279" s="1075"/>
      <c r="V279" s="1075"/>
      <c r="W279" s="1075"/>
      <c r="X279" s="1075"/>
      <c r="Y279" s="1075"/>
      <c r="Z279" s="1075"/>
      <c r="AA279" s="1075"/>
    </row>
    <row r="280" spans="1:27" ht="12.75" customHeight="1">
      <c r="A280" s="1075"/>
      <c r="B280" s="1075"/>
      <c r="C280" s="1075"/>
      <c r="D280" s="1075"/>
      <c r="E280" s="1075"/>
      <c r="F280" s="1075"/>
      <c r="G280" s="1075"/>
      <c r="H280" s="1075"/>
      <c r="I280" s="1075"/>
      <c r="J280" s="1075"/>
      <c r="K280" s="1075"/>
      <c r="L280" s="1075"/>
      <c r="M280" s="1075"/>
      <c r="N280" s="1075"/>
      <c r="O280" s="1075"/>
      <c r="P280" s="1075"/>
      <c r="Q280" s="1075"/>
      <c r="R280" s="1075"/>
      <c r="S280" s="1075"/>
      <c r="T280" s="1075"/>
      <c r="U280" s="1075"/>
      <c r="V280" s="1075"/>
      <c r="W280" s="1075"/>
      <c r="X280" s="1075"/>
      <c r="Y280" s="1075"/>
      <c r="Z280" s="1075"/>
      <c r="AA280" s="1075"/>
    </row>
    <row r="281" spans="1:27" ht="12.75" customHeight="1">
      <c r="A281" s="1075"/>
      <c r="B281" s="1075"/>
      <c r="C281" s="1075"/>
      <c r="D281" s="1075"/>
      <c r="E281" s="1075"/>
      <c r="F281" s="1075"/>
      <c r="G281" s="1075"/>
      <c r="H281" s="1075"/>
      <c r="I281" s="1075"/>
      <c r="J281" s="1075"/>
      <c r="K281" s="1075"/>
      <c r="L281" s="1075"/>
      <c r="M281" s="1075"/>
      <c r="N281" s="1075"/>
      <c r="O281" s="1075"/>
      <c r="P281" s="1075"/>
      <c r="Q281" s="1075"/>
      <c r="R281" s="1075"/>
      <c r="S281" s="1075"/>
      <c r="T281" s="1075"/>
      <c r="U281" s="1075"/>
      <c r="V281" s="1075"/>
      <c r="W281" s="1075"/>
      <c r="X281" s="1075"/>
      <c r="Y281" s="1075"/>
      <c r="Z281" s="1075"/>
      <c r="AA281" s="1075"/>
    </row>
    <row r="282" spans="1:27" ht="12.75" customHeight="1">
      <c r="A282" s="1075"/>
      <c r="B282" s="1075"/>
      <c r="C282" s="1075"/>
      <c r="D282" s="1075"/>
      <c r="E282" s="1075"/>
      <c r="F282" s="1075"/>
      <c r="G282" s="1075"/>
      <c r="H282" s="1075"/>
      <c r="I282" s="1075"/>
      <c r="J282" s="1075"/>
      <c r="K282" s="1075"/>
      <c r="L282" s="1075"/>
      <c r="M282" s="1075"/>
      <c r="N282" s="1075"/>
      <c r="O282" s="1075"/>
      <c r="P282" s="1075"/>
      <c r="Q282" s="1075"/>
      <c r="R282" s="1075"/>
      <c r="S282" s="1075"/>
      <c r="T282" s="1075"/>
      <c r="U282" s="1075"/>
      <c r="V282" s="1075"/>
      <c r="W282" s="1075"/>
      <c r="X282" s="1075"/>
      <c r="Y282" s="1075"/>
      <c r="Z282" s="1075"/>
      <c r="AA282" s="1075"/>
    </row>
    <row r="283" spans="1:27" ht="12.75" customHeight="1">
      <c r="A283" s="1075"/>
      <c r="B283" s="1075"/>
      <c r="C283" s="1075"/>
      <c r="D283" s="1075"/>
      <c r="E283" s="1075"/>
      <c r="F283" s="1075"/>
      <c r="G283" s="1075"/>
      <c r="H283" s="1075"/>
      <c r="I283" s="1075"/>
      <c r="J283" s="1075"/>
      <c r="K283" s="1075"/>
      <c r="L283" s="1075"/>
      <c r="M283" s="1075"/>
      <c r="N283" s="1075"/>
      <c r="O283" s="1075"/>
      <c r="P283" s="1075"/>
      <c r="Q283" s="1075"/>
      <c r="R283" s="1075"/>
      <c r="S283" s="1075"/>
      <c r="T283" s="1075"/>
      <c r="U283" s="1075"/>
      <c r="V283" s="1075"/>
      <c r="W283" s="1075"/>
      <c r="X283" s="1075"/>
      <c r="Y283" s="1075"/>
      <c r="Z283" s="1075"/>
      <c r="AA283" s="1075"/>
    </row>
    <row r="284" spans="1:27" ht="12.75" customHeight="1">
      <c r="A284" s="1075"/>
      <c r="B284" s="1075"/>
      <c r="C284" s="1075"/>
      <c r="D284" s="1075"/>
      <c r="E284" s="1075"/>
      <c r="F284" s="1075"/>
      <c r="G284" s="1075"/>
      <c r="H284" s="1075"/>
      <c r="I284" s="1075"/>
      <c r="J284" s="1075"/>
      <c r="K284" s="1075"/>
      <c r="L284" s="1075"/>
      <c r="M284" s="1075"/>
      <c r="N284" s="1075"/>
      <c r="O284" s="1075"/>
      <c r="P284" s="1075"/>
      <c r="Q284" s="1075"/>
      <c r="R284" s="1075"/>
      <c r="S284" s="1075"/>
      <c r="T284" s="1075"/>
      <c r="U284" s="1075"/>
      <c r="V284" s="1075"/>
      <c r="W284" s="1075"/>
      <c r="X284" s="1075"/>
      <c r="Y284" s="1075"/>
      <c r="Z284" s="1075"/>
      <c r="AA284" s="1075"/>
    </row>
    <row r="285" spans="1:27" ht="12.75" customHeight="1">
      <c r="A285" s="1075"/>
      <c r="B285" s="1075"/>
      <c r="C285" s="1075"/>
      <c r="D285" s="1075"/>
      <c r="E285" s="1075"/>
      <c r="F285" s="1075"/>
      <c r="G285" s="1075"/>
      <c r="H285" s="1075"/>
      <c r="I285" s="1075"/>
      <c r="J285" s="1075"/>
      <c r="K285" s="1075"/>
      <c r="L285" s="1075"/>
      <c r="M285" s="1075"/>
      <c r="N285" s="1075"/>
      <c r="O285" s="1075"/>
      <c r="P285" s="1075"/>
      <c r="Q285" s="1075"/>
      <c r="R285" s="1075"/>
      <c r="S285" s="1075"/>
      <c r="T285" s="1075"/>
      <c r="U285" s="1075"/>
      <c r="V285" s="1075"/>
      <c r="W285" s="1075"/>
      <c r="X285" s="1075"/>
      <c r="Y285" s="1075"/>
      <c r="Z285" s="1075"/>
      <c r="AA285" s="1075"/>
    </row>
    <row r="286" spans="1:27" ht="12.75" customHeight="1">
      <c r="A286" s="1075"/>
      <c r="B286" s="1075"/>
      <c r="C286" s="1075"/>
      <c r="D286" s="1075"/>
      <c r="E286" s="1075"/>
      <c r="F286" s="1075"/>
      <c r="G286" s="1075"/>
      <c r="H286" s="1075"/>
      <c r="I286" s="1075"/>
      <c r="J286" s="1075"/>
      <c r="K286" s="1075"/>
      <c r="L286" s="1075"/>
      <c r="M286" s="1075"/>
      <c r="N286" s="1075"/>
      <c r="O286" s="1075"/>
      <c r="P286" s="1075"/>
      <c r="Q286" s="1075"/>
      <c r="R286" s="1075"/>
      <c r="S286" s="1075"/>
      <c r="T286" s="1075"/>
      <c r="U286" s="1075"/>
      <c r="V286" s="1075"/>
      <c r="W286" s="1075"/>
      <c r="X286" s="1075"/>
      <c r="Y286" s="1075"/>
      <c r="Z286" s="1075"/>
      <c r="AA286" s="1075"/>
    </row>
    <row r="287" spans="1:27" ht="12.75" customHeight="1">
      <c r="A287" s="1075"/>
      <c r="B287" s="1075"/>
      <c r="C287" s="1075"/>
      <c r="D287" s="1075"/>
      <c r="E287" s="1075"/>
      <c r="F287" s="1075"/>
      <c r="G287" s="1075"/>
      <c r="H287" s="1075"/>
      <c r="I287" s="1075"/>
      <c r="J287" s="1075"/>
      <c r="K287" s="1075"/>
      <c r="L287" s="1075"/>
      <c r="M287" s="1075"/>
      <c r="N287" s="1075"/>
      <c r="O287" s="1075"/>
      <c r="P287" s="1075"/>
      <c r="Q287" s="1075"/>
      <c r="R287" s="1075"/>
      <c r="S287" s="1075"/>
      <c r="T287" s="1075"/>
      <c r="U287" s="1075"/>
      <c r="V287" s="1075"/>
      <c r="W287" s="1075"/>
      <c r="X287" s="1075"/>
      <c r="Y287" s="1075"/>
      <c r="Z287" s="1075"/>
      <c r="AA287" s="1075"/>
    </row>
    <row r="288" spans="1:27" ht="12.75" customHeight="1">
      <c r="A288" s="1075"/>
      <c r="B288" s="1075"/>
      <c r="C288" s="1075"/>
      <c r="D288" s="1075"/>
      <c r="E288" s="1075"/>
      <c r="F288" s="1075"/>
      <c r="G288" s="1075"/>
      <c r="H288" s="1075"/>
      <c r="I288" s="1075"/>
      <c r="J288" s="1075"/>
      <c r="K288" s="1075"/>
      <c r="L288" s="1075"/>
      <c r="M288" s="1075"/>
      <c r="N288" s="1075"/>
      <c r="O288" s="1075"/>
      <c r="P288" s="1075"/>
      <c r="Q288" s="1075"/>
      <c r="R288" s="1075"/>
      <c r="S288" s="1075"/>
      <c r="T288" s="1075"/>
      <c r="U288" s="1075"/>
      <c r="V288" s="1075"/>
      <c r="W288" s="1075"/>
      <c r="X288" s="1075"/>
      <c r="Y288" s="1075"/>
      <c r="Z288" s="1075"/>
      <c r="AA288" s="1075"/>
    </row>
    <row r="289" spans="1:27" ht="12.75" customHeight="1">
      <c r="A289" s="1075"/>
      <c r="B289" s="1075"/>
      <c r="C289" s="1075"/>
      <c r="D289" s="1075"/>
      <c r="E289" s="1075"/>
      <c r="F289" s="1075"/>
      <c r="G289" s="1075"/>
      <c r="H289" s="1075"/>
      <c r="I289" s="1075"/>
      <c r="J289" s="1075"/>
      <c r="K289" s="1075"/>
      <c r="L289" s="1075"/>
      <c r="M289" s="1075"/>
      <c r="N289" s="1075"/>
      <c r="O289" s="1075"/>
      <c r="P289" s="1075"/>
      <c r="Q289" s="1075"/>
      <c r="R289" s="1075"/>
      <c r="S289" s="1075"/>
      <c r="T289" s="1075"/>
      <c r="U289" s="1075"/>
      <c r="V289" s="1075"/>
      <c r="W289" s="1075"/>
      <c r="X289" s="1075"/>
      <c r="Y289" s="1075"/>
      <c r="Z289" s="1075"/>
      <c r="AA289" s="1075"/>
    </row>
    <row r="290" spans="1:27" ht="12.75" customHeight="1">
      <c r="A290" s="1075"/>
      <c r="B290" s="1075"/>
      <c r="C290" s="1075"/>
      <c r="D290" s="1075"/>
      <c r="E290" s="1075"/>
      <c r="F290" s="1075"/>
      <c r="G290" s="1075"/>
      <c r="H290" s="1075"/>
      <c r="I290" s="1075"/>
      <c r="J290" s="1075"/>
      <c r="K290" s="1075"/>
      <c r="L290" s="1075"/>
      <c r="M290" s="1075"/>
      <c r="N290" s="1075"/>
      <c r="O290" s="1075"/>
      <c r="P290" s="1075"/>
      <c r="Q290" s="1075"/>
      <c r="R290" s="1075"/>
      <c r="S290" s="1075"/>
      <c r="T290" s="1075"/>
      <c r="U290" s="1075"/>
      <c r="V290" s="1075"/>
      <c r="W290" s="1075"/>
      <c r="X290" s="1075"/>
      <c r="Y290" s="1075"/>
      <c r="Z290" s="1075"/>
      <c r="AA290" s="1075"/>
    </row>
    <row r="291" spans="1:27" ht="12.75" customHeight="1">
      <c r="A291" s="1075"/>
      <c r="B291" s="1075"/>
      <c r="C291" s="1075"/>
      <c r="D291" s="1075"/>
      <c r="E291" s="1075"/>
      <c r="F291" s="1075"/>
      <c r="G291" s="1075"/>
      <c r="H291" s="1075"/>
      <c r="I291" s="1075"/>
      <c r="J291" s="1075"/>
      <c r="K291" s="1075"/>
      <c r="L291" s="1075"/>
      <c r="M291" s="1075"/>
      <c r="N291" s="1075"/>
      <c r="O291" s="1075"/>
      <c r="P291" s="1075"/>
      <c r="Q291" s="1075"/>
      <c r="R291" s="1075"/>
      <c r="S291" s="1075"/>
      <c r="T291" s="1075"/>
      <c r="U291" s="1075"/>
      <c r="V291" s="1075"/>
      <c r="W291" s="1075"/>
      <c r="X291" s="1075"/>
      <c r="Y291" s="1075"/>
      <c r="Z291" s="1075"/>
      <c r="AA291" s="1075"/>
    </row>
    <row r="292" spans="1:27" ht="12.75" customHeight="1">
      <c r="A292" s="1075"/>
      <c r="B292" s="1075"/>
      <c r="C292" s="1075"/>
      <c r="D292" s="1075"/>
      <c r="E292" s="1075"/>
      <c r="F292" s="1075"/>
      <c r="G292" s="1075"/>
      <c r="H292" s="1075"/>
      <c r="I292" s="1075"/>
      <c r="J292" s="1075"/>
      <c r="K292" s="1075"/>
      <c r="L292" s="1075"/>
      <c r="M292" s="1075"/>
      <c r="N292" s="1075"/>
      <c r="O292" s="1075"/>
      <c r="P292" s="1075"/>
      <c r="Q292" s="1075"/>
      <c r="R292" s="1075"/>
      <c r="S292" s="1075"/>
      <c r="T292" s="1075"/>
      <c r="U292" s="1075"/>
      <c r="V292" s="1075"/>
      <c r="W292" s="1075"/>
      <c r="X292" s="1075"/>
      <c r="Y292" s="1075"/>
      <c r="Z292" s="1075"/>
      <c r="AA292" s="1075"/>
    </row>
    <row r="293" spans="1:27" ht="12.75" customHeight="1">
      <c r="A293" s="1075"/>
      <c r="B293" s="1075"/>
      <c r="C293" s="1075"/>
      <c r="D293" s="1075"/>
      <c r="E293" s="1075"/>
      <c r="F293" s="1075"/>
      <c r="G293" s="1075"/>
      <c r="H293" s="1075"/>
      <c r="I293" s="1075"/>
      <c r="J293" s="1075"/>
      <c r="K293" s="1075"/>
      <c r="L293" s="1075"/>
      <c r="M293" s="1075"/>
      <c r="N293" s="1075"/>
      <c r="O293" s="1075"/>
      <c r="P293" s="1075"/>
      <c r="Q293" s="1075"/>
      <c r="R293" s="1075"/>
      <c r="S293" s="1075"/>
      <c r="T293" s="1075"/>
      <c r="U293" s="1075"/>
      <c r="V293" s="1075"/>
      <c r="W293" s="1075"/>
      <c r="X293" s="1075"/>
      <c r="Y293" s="1075"/>
      <c r="Z293" s="1075"/>
      <c r="AA293" s="1075"/>
    </row>
    <row r="294" spans="1:27" ht="12.75" customHeight="1">
      <c r="A294" s="1075"/>
      <c r="B294" s="1075"/>
      <c r="C294" s="1075"/>
      <c r="D294" s="1075"/>
      <c r="E294" s="1075"/>
      <c r="F294" s="1075"/>
      <c r="G294" s="1075"/>
      <c r="H294" s="1075"/>
      <c r="I294" s="1075"/>
      <c r="J294" s="1075"/>
      <c r="K294" s="1075"/>
      <c r="L294" s="1075"/>
      <c r="M294" s="1075"/>
      <c r="N294" s="1075"/>
      <c r="O294" s="1075"/>
      <c r="P294" s="1075"/>
      <c r="Q294" s="1075"/>
      <c r="R294" s="1075"/>
      <c r="S294" s="1075"/>
      <c r="T294" s="1075"/>
      <c r="U294" s="1075"/>
      <c r="V294" s="1075"/>
      <c r="W294" s="1075"/>
      <c r="X294" s="1075"/>
      <c r="Y294" s="1075"/>
      <c r="Z294" s="1075"/>
      <c r="AA294" s="1075"/>
    </row>
    <row r="295" spans="1:27" ht="12.75" customHeight="1">
      <c r="A295" s="1075"/>
      <c r="B295" s="1075"/>
      <c r="C295" s="1075"/>
      <c r="D295" s="1075"/>
      <c r="E295" s="1075"/>
      <c r="F295" s="1075"/>
      <c r="G295" s="1075"/>
      <c r="H295" s="1075"/>
      <c r="I295" s="1075"/>
      <c r="J295" s="1075"/>
      <c r="K295" s="1075"/>
      <c r="L295" s="1075"/>
      <c r="M295" s="1075"/>
      <c r="N295" s="1075"/>
      <c r="O295" s="1075"/>
      <c r="P295" s="1075"/>
      <c r="Q295" s="1075"/>
      <c r="R295" s="1075"/>
      <c r="S295" s="1075"/>
      <c r="T295" s="1075"/>
      <c r="U295" s="1075"/>
      <c r="V295" s="1075"/>
      <c r="W295" s="1075"/>
      <c r="X295" s="1075"/>
      <c r="Y295" s="1075"/>
      <c r="Z295" s="1075"/>
      <c r="AA295" s="1075"/>
    </row>
    <row r="296" spans="1:27" ht="12.75" customHeight="1">
      <c r="A296" s="1075"/>
      <c r="B296" s="1075"/>
      <c r="C296" s="1075"/>
      <c r="D296" s="1075"/>
      <c r="E296" s="1075"/>
      <c r="F296" s="1075"/>
      <c r="G296" s="1075"/>
      <c r="H296" s="1075"/>
      <c r="I296" s="1075"/>
      <c r="J296" s="1075"/>
      <c r="K296" s="1075"/>
      <c r="L296" s="1075"/>
      <c r="M296" s="1075"/>
      <c r="N296" s="1075"/>
      <c r="O296" s="1075"/>
      <c r="P296" s="1075"/>
      <c r="Q296" s="1075"/>
      <c r="R296" s="1075"/>
      <c r="S296" s="1075"/>
      <c r="T296" s="1075"/>
      <c r="U296" s="1075"/>
      <c r="V296" s="1075"/>
      <c r="W296" s="1075"/>
      <c r="X296" s="1075"/>
      <c r="Y296" s="1075"/>
      <c r="Z296" s="1075"/>
      <c r="AA296" s="1075"/>
    </row>
    <row r="297" spans="1:27" ht="12.75" customHeight="1">
      <c r="A297" s="1075"/>
      <c r="B297" s="1075"/>
      <c r="C297" s="1075"/>
      <c r="D297" s="1075"/>
      <c r="E297" s="1075"/>
      <c r="F297" s="1075"/>
      <c r="G297" s="1075"/>
      <c r="H297" s="1075"/>
      <c r="I297" s="1075"/>
      <c r="J297" s="1075"/>
      <c r="K297" s="1075"/>
      <c r="L297" s="1075"/>
      <c r="M297" s="1075"/>
      <c r="N297" s="1075"/>
      <c r="O297" s="1075"/>
      <c r="P297" s="1075"/>
      <c r="Q297" s="1075"/>
      <c r="R297" s="1075"/>
      <c r="S297" s="1075"/>
      <c r="T297" s="1075"/>
      <c r="U297" s="1075"/>
      <c r="V297" s="1075"/>
      <c r="W297" s="1075"/>
      <c r="X297" s="1075"/>
      <c r="Y297" s="1075"/>
      <c r="Z297" s="1075"/>
      <c r="AA297" s="1075"/>
    </row>
    <row r="298" spans="1:27" ht="12.75" customHeight="1">
      <c r="A298" s="1075"/>
      <c r="B298" s="1075"/>
      <c r="C298" s="1075"/>
      <c r="D298" s="1075"/>
      <c r="E298" s="1075"/>
      <c r="F298" s="1075"/>
      <c r="G298" s="1075"/>
      <c r="H298" s="1075"/>
      <c r="I298" s="1075"/>
      <c r="J298" s="1075"/>
      <c r="K298" s="1075"/>
      <c r="L298" s="1075"/>
      <c r="M298" s="1075"/>
      <c r="N298" s="1075"/>
      <c r="O298" s="1075"/>
      <c r="P298" s="1075"/>
      <c r="Q298" s="1075"/>
      <c r="R298" s="1075"/>
      <c r="S298" s="1075"/>
      <c r="T298" s="1075"/>
      <c r="U298" s="1075"/>
      <c r="V298" s="1075"/>
      <c r="W298" s="1075"/>
      <c r="X298" s="1075"/>
      <c r="Y298" s="1075"/>
      <c r="Z298" s="1075"/>
      <c r="AA298" s="1075"/>
    </row>
    <row r="299" spans="1:27" ht="12.75" customHeight="1">
      <c r="A299" s="1075"/>
      <c r="B299" s="1075"/>
      <c r="C299" s="1075"/>
      <c r="D299" s="1075"/>
      <c r="E299" s="1075"/>
      <c r="F299" s="1075"/>
      <c r="G299" s="1075"/>
      <c r="H299" s="1075"/>
      <c r="I299" s="1075"/>
      <c r="J299" s="1075"/>
      <c r="K299" s="1075"/>
      <c r="L299" s="1075"/>
      <c r="M299" s="1075"/>
      <c r="N299" s="1075"/>
      <c r="O299" s="1075"/>
      <c r="P299" s="1075"/>
      <c r="Q299" s="1075"/>
      <c r="R299" s="1075"/>
      <c r="S299" s="1075"/>
      <c r="T299" s="1075"/>
      <c r="U299" s="1075"/>
      <c r="V299" s="1075"/>
      <c r="W299" s="1075"/>
      <c r="X299" s="1075"/>
      <c r="Y299" s="1075"/>
      <c r="Z299" s="1075"/>
      <c r="AA299" s="1075"/>
    </row>
    <row r="300" spans="1:27" ht="12.75" customHeight="1">
      <c r="A300" s="1075"/>
      <c r="B300" s="1075"/>
      <c r="C300" s="1075"/>
      <c r="D300" s="1075"/>
      <c r="E300" s="1075"/>
      <c r="F300" s="1075"/>
      <c r="G300" s="1075"/>
      <c r="H300" s="1075"/>
      <c r="I300" s="1075"/>
      <c r="J300" s="1075"/>
      <c r="K300" s="1075"/>
      <c r="L300" s="1075"/>
      <c r="M300" s="1075"/>
      <c r="N300" s="1075"/>
      <c r="O300" s="1075"/>
      <c r="P300" s="1075"/>
      <c r="Q300" s="1075"/>
      <c r="R300" s="1075"/>
      <c r="S300" s="1075"/>
      <c r="T300" s="1075"/>
      <c r="U300" s="1075"/>
      <c r="V300" s="1075"/>
      <c r="W300" s="1075"/>
      <c r="X300" s="1075"/>
      <c r="Y300" s="1075"/>
      <c r="Z300" s="1075"/>
      <c r="AA300" s="1075"/>
    </row>
    <row r="301" spans="1:27" ht="12.75" customHeight="1">
      <c r="A301" s="1075"/>
      <c r="B301" s="1075"/>
      <c r="C301" s="1075"/>
      <c r="D301" s="1075"/>
      <c r="E301" s="1075"/>
      <c r="F301" s="1075"/>
      <c r="G301" s="1075"/>
      <c r="H301" s="1075"/>
      <c r="I301" s="1075"/>
      <c r="J301" s="1075"/>
      <c r="K301" s="1075"/>
      <c r="L301" s="1075"/>
      <c r="M301" s="1075"/>
      <c r="N301" s="1075"/>
      <c r="O301" s="1075"/>
      <c r="P301" s="1075"/>
      <c r="Q301" s="1075"/>
      <c r="R301" s="1075"/>
      <c r="S301" s="1075"/>
      <c r="T301" s="1075"/>
      <c r="U301" s="1075"/>
      <c r="V301" s="1075"/>
      <c r="W301" s="1075"/>
      <c r="X301" s="1075"/>
      <c r="Y301" s="1075"/>
      <c r="Z301" s="1075"/>
      <c r="AA301" s="1075"/>
    </row>
    <row r="302" spans="1:27" ht="12.75" customHeight="1">
      <c r="A302" s="1075"/>
      <c r="B302" s="1075"/>
      <c r="C302" s="1075"/>
      <c r="D302" s="1075"/>
      <c r="E302" s="1075"/>
      <c r="F302" s="1075"/>
      <c r="G302" s="1075"/>
      <c r="H302" s="1075"/>
      <c r="I302" s="1075"/>
      <c r="J302" s="1075"/>
      <c r="K302" s="1075"/>
      <c r="L302" s="1075"/>
      <c r="M302" s="1075"/>
      <c r="N302" s="1075"/>
      <c r="O302" s="1075"/>
      <c r="P302" s="1075"/>
      <c r="Q302" s="1075"/>
      <c r="R302" s="1075"/>
      <c r="S302" s="1075"/>
      <c r="T302" s="1075"/>
      <c r="U302" s="1075"/>
      <c r="V302" s="1075"/>
      <c r="W302" s="1075"/>
      <c r="X302" s="1075"/>
      <c r="Y302" s="1075"/>
      <c r="Z302" s="1075"/>
      <c r="AA302" s="1075"/>
    </row>
    <row r="303" spans="1:27" ht="12.75" customHeight="1">
      <c r="A303" s="1075"/>
      <c r="B303" s="1075"/>
      <c r="C303" s="1075"/>
      <c r="D303" s="1075"/>
      <c r="E303" s="1075"/>
      <c r="F303" s="1075"/>
      <c r="G303" s="1075"/>
      <c r="H303" s="1075"/>
      <c r="I303" s="1075"/>
      <c r="J303" s="1075"/>
      <c r="K303" s="1075"/>
      <c r="L303" s="1075"/>
      <c r="M303" s="1075"/>
      <c r="N303" s="1075"/>
      <c r="O303" s="1075"/>
      <c r="P303" s="1075"/>
      <c r="Q303" s="1075"/>
      <c r="R303" s="1075"/>
      <c r="S303" s="1075"/>
      <c r="T303" s="1075"/>
      <c r="U303" s="1075"/>
      <c r="V303" s="1075"/>
      <c r="W303" s="1075"/>
      <c r="X303" s="1075"/>
      <c r="Y303" s="1075"/>
      <c r="Z303" s="1075"/>
      <c r="AA303" s="1075"/>
    </row>
    <row r="304" spans="1:27" ht="12.75" customHeight="1">
      <c r="A304" s="1075"/>
      <c r="B304" s="1075"/>
      <c r="C304" s="1075"/>
      <c r="D304" s="1075"/>
      <c r="E304" s="1075"/>
      <c r="F304" s="1075"/>
      <c r="G304" s="1075"/>
      <c r="H304" s="1075"/>
      <c r="I304" s="1075"/>
      <c r="J304" s="1075"/>
      <c r="K304" s="1075"/>
      <c r="L304" s="1075"/>
      <c r="M304" s="1075"/>
      <c r="N304" s="1075"/>
      <c r="O304" s="1075"/>
      <c r="P304" s="1075"/>
      <c r="Q304" s="1075"/>
      <c r="R304" s="1075"/>
      <c r="S304" s="1075"/>
      <c r="T304" s="1075"/>
      <c r="U304" s="1075"/>
      <c r="V304" s="1075"/>
      <c r="W304" s="1075"/>
      <c r="X304" s="1075"/>
      <c r="Y304" s="1075"/>
      <c r="Z304" s="1075"/>
      <c r="AA304" s="1075"/>
    </row>
    <row r="305" spans="1:27" ht="12.75" customHeight="1">
      <c r="A305" s="1075"/>
      <c r="B305" s="1075"/>
      <c r="C305" s="1075"/>
      <c r="D305" s="1075"/>
      <c r="E305" s="1075"/>
      <c r="F305" s="1075"/>
      <c r="G305" s="1075"/>
      <c r="H305" s="1075"/>
      <c r="I305" s="1075"/>
      <c r="J305" s="1075"/>
      <c r="K305" s="1075"/>
      <c r="L305" s="1075"/>
      <c r="M305" s="1075"/>
      <c r="N305" s="1075"/>
      <c r="O305" s="1075"/>
      <c r="P305" s="1075"/>
      <c r="Q305" s="1075"/>
      <c r="R305" s="1075"/>
      <c r="S305" s="1075"/>
      <c r="T305" s="1075"/>
      <c r="U305" s="1075"/>
      <c r="V305" s="1075"/>
      <c r="W305" s="1075"/>
      <c r="X305" s="1075"/>
      <c r="Y305" s="1075"/>
      <c r="Z305" s="1075"/>
      <c r="AA305" s="1075"/>
    </row>
    <row r="306" spans="1:27" ht="12.75" customHeight="1">
      <c r="A306" s="1075"/>
      <c r="B306" s="1075"/>
      <c r="C306" s="1075"/>
      <c r="D306" s="1075"/>
      <c r="E306" s="1075"/>
      <c r="F306" s="1075"/>
      <c r="G306" s="1075"/>
      <c r="H306" s="1075"/>
      <c r="I306" s="1075"/>
      <c r="J306" s="1075"/>
      <c r="K306" s="1075"/>
      <c r="L306" s="1075"/>
      <c r="M306" s="1075"/>
      <c r="N306" s="1075"/>
      <c r="O306" s="1075"/>
      <c r="P306" s="1075"/>
      <c r="Q306" s="1075"/>
      <c r="R306" s="1075"/>
      <c r="S306" s="1075"/>
      <c r="T306" s="1075"/>
      <c r="U306" s="1075"/>
      <c r="V306" s="1075"/>
      <c r="W306" s="1075"/>
      <c r="X306" s="1075"/>
      <c r="Y306" s="1075"/>
      <c r="Z306" s="1075"/>
      <c r="AA306" s="1075"/>
    </row>
    <row r="307" spans="1:27" ht="12.75" customHeight="1">
      <c r="A307" s="1075"/>
      <c r="B307" s="1075"/>
      <c r="C307" s="1075"/>
      <c r="D307" s="1075"/>
      <c r="E307" s="1075"/>
      <c r="F307" s="1075"/>
      <c r="G307" s="1075"/>
      <c r="H307" s="1075"/>
      <c r="I307" s="1075"/>
      <c r="J307" s="1075"/>
      <c r="K307" s="1075"/>
      <c r="L307" s="1075"/>
      <c r="M307" s="1075"/>
      <c r="N307" s="1075"/>
      <c r="O307" s="1075"/>
      <c r="P307" s="1075"/>
      <c r="Q307" s="1075"/>
      <c r="R307" s="1075"/>
      <c r="S307" s="1075"/>
      <c r="T307" s="1075"/>
      <c r="U307" s="1075"/>
      <c r="V307" s="1075"/>
      <c r="W307" s="1075"/>
      <c r="X307" s="1075"/>
      <c r="Y307" s="1075"/>
      <c r="Z307" s="1075"/>
      <c r="AA307" s="1075"/>
    </row>
    <row r="308" spans="1:27" ht="12.75" customHeight="1">
      <c r="A308" s="1075"/>
      <c r="B308" s="1075"/>
      <c r="C308" s="1075"/>
      <c r="D308" s="1075"/>
      <c r="E308" s="1075"/>
      <c r="F308" s="1075"/>
      <c r="G308" s="1075"/>
      <c r="H308" s="1075"/>
      <c r="I308" s="1075"/>
      <c r="J308" s="1075"/>
      <c r="K308" s="1075"/>
      <c r="L308" s="1075"/>
      <c r="M308" s="1075"/>
      <c r="N308" s="1075"/>
      <c r="O308" s="1075"/>
      <c r="P308" s="1075"/>
      <c r="Q308" s="1075"/>
      <c r="R308" s="1075"/>
      <c r="S308" s="1075"/>
      <c r="T308" s="1075"/>
      <c r="U308" s="1075"/>
      <c r="V308" s="1075"/>
      <c r="W308" s="1075"/>
      <c r="X308" s="1075"/>
      <c r="Y308" s="1075"/>
      <c r="Z308" s="1075"/>
      <c r="AA308" s="1075"/>
    </row>
    <row r="309" spans="1:27" ht="12.75" customHeight="1">
      <c r="A309" s="1075"/>
      <c r="B309" s="1075"/>
      <c r="C309" s="1075"/>
      <c r="D309" s="1075"/>
      <c r="E309" s="1075"/>
      <c r="F309" s="1075"/>
      <c r="G309" s="1075"/>
      <c r="H309" s="1075"/>
      <c r="I309" s="1075"/>
      <c r="J309" s="1075"/>
      <c r="K309" s="1075"/>
      <c r="L309" s="1075"/>
      <c r="M309" s="1075"/>
      <c r="N309" s="1075"/>
      <c r="O309" s="1075"/>
      <c r="P309" s="1075"/>
      <c r="Q309" s="1075"/>
      <c r="R309" s="1075"/>
      <c r="S309" s="1075"/>
      <c r="T309" s="1075"/>
      <c r="U309" s="1075"/>
      <c r="V309" s="1075"/>
      <c r="W309" s="1075"/>
      <c r="X309" s="1075"/>
      <c r="Y309" s="1075"/>
      <c r="Z309" s="1075"/>
      <c r="AA309" s="1075"/>
    </row>
    <row r="310" spans="1:27" ht="12.75" customHeight="1">
      <c r="A310" s="1075"/>
      <c r="B310" s="1075"/>
      <c r="C310" s="1075"/>
      <c r="D310" s="1075"/>
      <c r="E310" s="1075"/>
      <c r="F310" s="1075"/>
      <c r="G310" s="1075"/>
      <c r="H310" s="1075"/>
      <c r="I310" s="1075"/>
      <c r="J310" s="1075"/>
      <c r="K310" s="1075"/>
      <c r="L310" s="1075"/>
      <c r="M310" s="1075"/>
      <c r="N310" s="1075"/>
      <c r="O310" s="1075"/>
      <c r="P310" s="1075"/>
      <c r="Q310" s="1075"/>
      <c r="R310" s="1075"/>
      <c r="S310" s="1075"/>
      <c r="T310" s="1075"/>
      <c r="U310" s="1075"/>
      <c r="V310" s="1075"/>
      <c r="W310" s="1075"/>
      <c r="X310" s="1075"/>
      <c r="Y310" s="1075"/>
      <c r="Z310" s="1075"/>
      <c r="AA310" s="1075"/>
    </row>
    <row r="311" spans="1:27" ht="12.75" customHeight="1">
      <c r="A311" s="1075"/>
      <c r="B311" s="1075"/>
      <c r="C311" s="1075"/>
      <c r="D311" s="1075"/>
      <c r="E311" s="1075"/>
      <c r="F311" s="1075"/>
      <c r="G311" s="1075"/>
      <c r="H311" s="1075"/>
      <c r="I311" s="1075"/>
      <c r="J311" s="1075"/>
      <c r="K311" s="1075"/>
      <c r="L311" s="1075"/>
      <c r="M311" s="1075"/>
      <c r="N311" s="1075"/>
      <c r="O311" s="1075"/>
      <c r="P311" s="1075"/>
      <c r="Q311" s="1075"/>
      <c r="R311" s="1075"/>
      <c r="S311" s="1075"/>
      <c r="T311" s="1075"/>
      <c r="U311" s="1075"/>
      <c r="V311" s="1075"/>
      <c r="W311" s="1075"/>
      <c r="X311" s="1075"/>
      <c r="Y311" s="1075"/>
      <c r="Z311" s="1075"/>
      <c r="AA311" s="1075"/>
    </row>
    <row r="312" spans="1:27" ht="12.75" customHeight="1">
      <c r="A312" s="1075"/>
      <c r="B312" s="1075"/>
      <c r="C312" s="1075"/>
      <c r="D312" s="1075"/>
      <c r="E312" s="1075"/>
      <c r="F312" s="1075"/>
      <c r="G312" s="1075"/>
      <c r="H312" s="1075"/>
      <c r="I312" s="1075"/>
      <c r="J312" s="1075"/>
      <c r="K312" s="1075"/>
      <c r="L312" s="1075"/>
      <c r="M312" s="1075"/>
      <c r="N312" s="1075"/>
      <c r="O312" s="1075"/>
      <c r="P312" s="1075"/>
      <c r="Q312" s="1075"/>
      <c r="R312" s="1075"/>
      <c r="S312" s="1075"/>
      <c r="T312" s="1075"/>
      <c r="U312" s="1075"/>
      <c r="V312" s="1075"/>
      <c r="W312" s="1075"/>
      <c r="X312" s="1075"/>
      <c r="Y312" s="1075"/>
      <c r="Z312" s="1075"/>
      <c r="AA312" s="1075"/>
    </row>
    <row r="313" spans="1:27" ht="12.75" customHeight="1">
      <c r="A313" s="1075"/>
      <c r="B313" s="1075"/>
      <c r="C313" s="1075"/>
      <c r="D313" s="1075"/>
      <c r="E313" s="1075"/>
      <c r="F313" s="1075"/>
      <c r="G313" s="1075"/>
      <c r="H313" s="1075"/>
      <c r="I313" s="1075"/>
      <c r="J313" s="1075"/>
      <c r="K313" s="1075"/>
      <c r="L313" s="1075"/>
      <c r="M313" s="1075"/>
      <c r="N313" s="1075"/>
      <c r="O313" s="1075"/>
      <c r="P313" s="1075"/>
      <c r="Q313" s="1075"/>
      <c r="R313" s="1075"/>
      <c r="S313" s="1075"/>
      <c r="T313" s="1075"/>
      <c r="U313" s="1075"/>
      <c r="V313" s="1075"/>
      <c r="W313" s="1075"/>
      <c r="X313" s="1075"/>
      <c r="Y313" s="1075"/>
      <c r="Z313" s="1075"/>
      <c r="AA313" s="1075"/>
    </row>
    <row r="314" spans="1:27" ht="12.75" customHeight="1">
      <c r="A314" s="1075"/>
      <c r="B314" s="1075"/>
      <c r="C314" s="1075"/>
      <c r="D314" s="1075"/>
      <c r="E314" s="1075"/>
      <c r="F314" s="1075"/>
      <c r="G314" s="1075"/>
      <c r="H314" s="1075"/>
      <c r="I314" s="1075"/>
      <c r="J314" s="1075"/>
      <c r="K314" s="1075"/>
      <c r="L314" s="1075"/>
      <c r="M314" s="1075"/>
      <c r="N314" s="1075"/>
      <c r="O314" s="1075"/>
      <c r="P314" s="1075"/>
      <c r="Q314" s="1075"/>
      <c r="R314" s="1075"/>
      <c r="S314" s="1075"/>
      <c r="T314" s="1075"/>
      <c r="U314" s="1075"/>
      <c r="V314" s="1075"/>
      <c r="W314" s="1075"/>
      <c r="X314" s="1075"/>
      <c r="Y314" s="1075"/>
      <c r="Z314" s="1075"/>
      <c r="AA314" s="1075"/>
    </row>
    <row r="315" spans="1:27" ht="12.75" customHeight="1">
      <c r="A315" s="1075"/>
      <c r="B315" s="1075"/>
      <c r="C315" s="1075"/>
      <c r="D315" s="1075"/>
      <c r="E315" s="1075"/>
      <c r="F315" s="1075"/>
      <c r="G315" s="1075"/>
      <c r="H315" s="1075"/>
      <c r="I315" s="1075"/>
      <c r="J315" s="1075"/>
      <c r="K315" s="1075"/>
      <c r="L315" s="1075"/>
      <c r="M315" s="1075"/>
      <c r="N315" s="1075"/>
      <c r="O315" s="1075"/>
      <c r="P315" s="1075"/>
      <c r="Q315" s="1075"/>
      <c r="R315" s="1075"/>
      <c r="S315" s="1075"/>
      <c r="T315" s="1075"/>
      <c r="U315" s="1075"/>
      <c r="V315" s="1075"/>
      <c r="W315" s="1075"/>
      <c r="X315" s="1075"/>
      <c r="Y315" s="1075"/>
      <c r="Z315" s="1075"/>
      <c r="AA315" s="1075"/>
    </row>
    <row r="316" spans="1:27" ht="12.75" customHeight="1">
      <c r="A316" s="1075"/>
      <c r="B316" s="1075"/>
      <c r="C316" s="1075"/>
      <c r="D316" s="1075"/>
      <c r="E316" s="1075"/>
      <c r="F316" s="1075"/>
      <c r="G316" s="1075"/>
      <c r="H316" s="1075"/>
      <c r="I316" s="1075"/>
      <c r="J316" s="1075"/>
      <c r="K316" s="1075"/>
      <c r="L316" s="1075"/>
      <c r="M316" s="1075"/>
      <c r="N316" s="1075"/>
      <c r="O316" s="1075"/>
      <c r="P316" s="1075"/>
      <c r="Q316" s="1075"/>
      <c r="R316" s="1075"/>
      <c r="S316" s="1075"/>
      <c r="T316" s="1075"/>
      <c r="U316" s="1075"/>
      <c r="V316" s="1075"/>
      <c r="W316" s="1075"/>
      <c r="X316" s="1075"/>
      <c r="Y316" s="1075"/>
      <c r="Z316" s="1075"/>
      <c r="AA316" s="1075"/>
    </row>
    <row r="317" spans="1:27" ht="12.75" customHeight="1">
      <c r="A317" s="1075"/>
      <c r="B317" s="1075"/>
      <c r="C317" s="1075"/>
      <c r="D317" s="1075"/>
      <c r="E317" s="1075"/>
      <c r="F317" s="1075"/>
      <c r="G317" s="1075"/>
      <c r="H317" s="1075"/>
      <c r="I317" s="1075"/>
      <c r="J317" s="1075"/>
      <c r="K317" s="1075"/>
      <c r="L317" s="1075"/>
      <c r="M317" s="1075"/>
      <c r="N317" s="1075"/>
      <c r="O317" s="1075"/>
      <c r="P317" s="1075"/>
      <c r="Q317" s="1075"/>
      <c r="R317" s="1075"/>
      <c r="S317" s="1075"/>
      <c r="T317" s="1075"/>
      <c r="U317" s="1075"/>
      <c r="V317" s="1075"/>
      <c r="W317" s="1075"/>
      <c r="X317" s="1075"/>
      <c r="Y317" s="1075"/>
      <c r="Z317" s="1075"/>
      <c r="AA317" s="1075"/>
    </row>
    <row r="318" spans="1:27" ht="12.75" customHeight="1">
      <c r="A318" s="1075"/>
      <c r="B318" s="1075"/>
      <c r="C318" s="1075"/>
      <c r="D318" s="1075"/>
      <c r="E318" s="1075"/>
      <c r="F318" s="1075"/>
      <c r="G318" s="1075"/>
      <c r="H318" s="1075"/>
      <c r="I318" s="1075"/>
      <c r="J318" s="1075"/>
      <c r="K318" s="1075"/>
      <c r="L318" s="1075"/>
      <c r="M318" s="1075"/>
      <c r="N318" s="1075"/>
      <c r="O318" s="1075"/>
      <c r="P318" s="1075"/>
      <c r="Q318" s="1075"/>
      <c r="R318" s="1075"/>
      <c r="S318" s="1075"/>
      <c r="T318" s="1075"/>
      <c r="U318" s="1075"/>
      <c r="V318" s="1075"/>
      <c r="W318" s="1075"/>
      <c r="X318" s="1075"/>
      <c r="Y318" s="1075"/>
      <c r="Z318" s="1075"/>
      <c r="AA318" s="1075"/>
    </row>
    <row r="319" spans="1:27" ht="12.75" customHeight="1">
      <c r="A319" s="1075"/>
      <c r="B319" s="1075"/>
      <c r="C319" s="1075"/>
      <c r="D319" s="1075"/>
      <c r="E319" s="1075"/>
      <c r="F319" s="1075"/>
      <c r="G319" s="1075"/>
      <c r="H319" s="1075"/>
      <c r="I319" s="1075"/>
      <c r="J319" s="1075"/>
      <c r="K319" s="1075"/>
      <c r="L319" s="1075"/>
      <c r="M319" s="1075"/>
      <c r="N319" s="1075"/>
      <c r="O319" s="1075"/>
      <c r="P319" s="1075"/>
      <c r="Q319" s="1075"/>
      <c r="R319" s="1075"/>
      <c r="S319" s="1075"/>
      <c r="T319" s="1075"/>
      <c r="U319" s="1075"/>
      <c r="V319" s="1075"/>
      <c r="W319" s="1075"/>
      <c r="X319" s="1075"/>
      <c r="Y319" s="1075"/>
      <c r="Z319" s="1075"/>
      <c r="AA319" s="1075"/>
    </row>
    <row r="320" spans="1:27" ht="12.75" customHeight="1">
      <c r="A320" s="1075"/>
      <c r="B320" s="1075"/>
      <c r="C320" s="1075"/>
      <c r="D320" s="1075"/>
      <c r="E320" s="1075"/>
      <c r="F320" s="1075"/>
      <c r="G320" s="1075"/>
      <c r="H320" s="1075"/>
      <c r="I320" s="1075"/>
      <c r="J320" s="1075"/>
      <c r="K320" s="1075"/>
      <c r="L320" s="1075"/>
      <c r="M320" s="1075"/>
      <c r="N320" s="1075"/>
      <c r="O320" s="1075"/>
      <c r="P320" s="1075"/>
      <c r="Q320" s="1075"/>
      <c r="R320" s="1075"/>
      <c r="S320" s="1075"/>
      <c r="T320" s="1075"/>
      <c r="U320" s="1075"/>
      <c r="V320" s="1075"/>
      <c r="W320" s="1075"/>
      <c r="X320" s="1075"/>
      <c r="Y320" s="1075"/>
      <c r="Z320" s="1075"/>
      <c r="AA320" s="1075"/>
    </row>
    <row r="321" spans="1:27" ht="12.75" customHeight="1">
      <c r="A321" s="1075"/>
      <c r="B321" s="1075"/>
      <c r="C321" s="1075"/>
      <c r="D321" s="1075"/>
      <c r="E321" s="1075"/>
      <c r="F321" s="1075"/>
      <c r="G321" s="1075"/>
      <c r="H321" s="1075"/>
      <c r="I321" s="1075"/>
      <c r="J321" s="1075"/>
      <c r="K321" s="1075"/>
      <c r="L321" s="1075"/>
      <c r="M321" s="1075"/>
      <c r="N321" s="1075"/>
      <c r="O321" s="1075"/>
      <c r="P321" s="1075"/>
      <c r="Q321" s="1075"/>
      <c r="R321" s="1075"/>
      <c r="S321" s="1075"/>
      <c r="T321" s="1075"/>
      <c r="U321" s="1075"/>
      <c r="V321" s="1075"/>
      <c r="W321" s="1075"/>
      <c r="X321" s="1075"/>
      <c r="Y321" s="1075"/>
      <c r="Z321" s="1075"/>
      <c r="AA321" s="1075"/>
    </row>
    <row r="322" spans="1:27" ht="12.75" customHeight="1">
      <c r="A322" s="1075"/>
      <c r="B322" s="1075"/>
      <c r="C322" s="1075"/>
      <c r="D322" s="1075"/>
      <c r="E322" s="1075"/>
      <c r="F322" s="1075"/>
      <c r="G322" s="1075"/>
      <c r="H322" s="1075"/>
      <c r="I322" s="1075"/>
      <c r="J322" s="1075"/>
      <c r="K322" s="1075"/>
      <c r="L322" s="1075"/>
      <c r="M322" s="1075"/>
      <c r="N322" s="1075"/>
      <c r="O322" s="1075"/>
      <c r="P322" s="1075"/>
      <c r="Q322" s="1075"/>
      <c r="R322" s="1075"/>
      <c r="S322" s="1075"/>
      <c r="T322" s="1075"/>
      <c r="U322" s="1075"/>
      <c r="V322" s="1075"/>
      <c r="W322" s="1075"/>
      <c r="X322" s="1075"/>
      <c r="Y322" s="1075"/>
      <c r="Z322" s="1075"/>
      <c r="AA322" s="1075"/>
    </row>
    <row r="323" spans="1:27" ht="12.75" customHeight="1">
      <c r="A323" s="1075"/>
      <c r="B323" s="1075"/>
      <c r="C323" s="1075"/>
      <c r="D323" s="1075"/>
      <c r="E323" s="1075"/>
      <c r="F323" s="1075"/>
      <c r="G323" s="1075"/>
      <c r="H323" s="1075"/>
      <c r="I323" s="1075"/>
      <c r="J323" s="1075"/>
      <c r="K323" s="1075"/>
      <c r="L323" s="1075"/>
      <c r="M323" s="1075"/>
      <c r="N323" s="1075"/>
      <c r="O323" s="1075"/>
      <c r="P323" s="1075"/>
      <c r="Q323" s="1075"/>
      <c r="R323" s="1075"/>
      <c r="S323" s="1075"/>
      <c r="T323" s="1075"/>
      <c r="U323" s="1075"/>
      <c r="V323" s="1075"/>
      <c r="W323" s="1075"/>
      <c r="X323" s="1075"/>
      <c r="Y323" s="1075"/>
      <c r="Z323" s="1075"/>
      <c r="AA323" s="1075"/>
    </row>
    <row r="324" spans="1:27" ht="12.75" customHeight="1">
      <c r="A324" s="1075"/>
      <c r="B324" s="1075"/>
      <c r="C324" s="1075"/>
      <c r="D324" s="1075"/>
      <c r="E324" s="1075"/>
      <c r="F324" s="1075"/>
      <c r="G324" s="1075"/>
      <c r="H324" s="1075"/>
      <c r="I324" s="1075"/>
      <c r="J324" s="1075"/>
      <c r="K324" s="1075"/>
      <c r="L324" s="1075"/>
      <c r="M324" s="1075"/>
      <c r="N324" s="1075"/>
      <c r="O324" s="1075"/>
      <c r="P324" s="1075"/>
      <c r="Q324" s="1075"/>
      <c r="R324" s="1075"/>
      <c r="S324" s="1075"/>
      <c r="T324" s="1075"/>
      <c r="U324" s="1075"/>
      <c r="V324" s="1075"/>
      <c r="W324" s="1075"/>
      <c r="X324" s="1075"/>
      <c r="Y324" s="1075"/>
      <c r="Z324" s="1075"/>
      <c r="AA324" s="1075"/>
    </row>
    <row r="325" spans="1:27" ht="12.75" customHeight="1">
      <c r="A325" s="1075"/>
      <c r="B325" s="1075"/>
      <c r="C325" s="1075"/>
      <c r="D325" s="1075"/>
      <c r="E325" s="1075"/>
      <c r="F325" s="1075"/>
      <c r="G325" s="1075"/>
      <c r="H325" s="1075"/>
      <c r="I325" s="1075"/>
      <c r="J325" s="1075"/>
      <c r="K325" s="1075"/>
      <c r="L325" s="1075"/>
      <c r="M325" s="1075"/>
      <c r="N325" s="1075"/>
      <c r="O325" s="1075"/>
      <c r="P325" s="1075"/>
      <c r="Q325" s="1075"/>
      <c r="R325" s="1075"/>
      <c r="S325" s="1075"/>
      <c r="T325" s="1075"/>
      <c r="U325" s="1075"/>
      <c r="V325" s="1075"/>
      <c r="W325" s="1075"/>
      <c r="X325" s="1075"/>
      <c r="Y325" s="1075"/>
      <c r="Z325" s="1075"/>
      <c r="AA325" s="1075"/>
    </row>
    <row r="326" spans="1:27" ht="12.75" customHeight="1">
      <c r="A326" s="1075"/>
      <c r="B326" s="1075"/>
      <c r="C326" s="1075"/>
      <c r="D326" s="1075"/>
      <c r="E326" s="1075"/>
      <c r="F326" s="1075"/>
      <c r="G326" s="1075"/>
      <c r="H326" s="1075"/>
      <c r="I326" s="1075"/>
      <c r="J326" s="1075"/>
      <c r="K326" s="1075"/>
      <c r="L326" s="1075"/>
      <c r="M326" s="1075"/>
      <c r="N326" s="1075"/>
      <c r="O326" s="1075"/>
      <c r="P326" s="1075"/>
      <c r="Q326" s="1075"/>
      <c r="R326" s="1075"/>
      <c r="S326" s="1075"/>
      <c r="T326" s="1075"/>
      <c r="U326" s="1075"/>
      <c r="V326" s="1075"/>
      <c r="W326" s="1075"/>
      <c r="X326" s="1075"/>
      <c r="Y326" s="1075"/>
      <c r="Z326" s="1075"/>
      <c r="AA326" s="1075"/>
    </row>
    <row r="327" spans="1:27" ht="12.75" customHeight="1">
      <c r="A327" s="1075"/>
      <c r="B327" s="1075"/>
      <c r="C327" s="1075"/>
      <c r="D327" s="1075"/>
      <c r="E327" s="1075"/>
      <c r="F327" s="1075"/>
      <c r="G327" s="1075"/>
      <c r="H327" s="1075"/>
      <c r="I327" s="1075"/>
      <c r="J327" s="1075"/>
      <c r="K327" s="1075"/>
      <c r="L327" s="1075"/>
      <c r="M327" s="1075"/>
      <c r="N327" s="1075"/>
      <c r="O327" s="1075"/>
      <c r="P327" s="1075"/>
      <c r="Q327" s="1075"/>
      <c r="R327" s="1075"/>
      <c r="S327" s="1075"/>
      <c r="T327" s="1075"/>
      <c r="U327" s="1075"/>
      <c r="V327" s="1075"/>
      <c r="W327" s="1075"/>
      <c r="X327" s="1075"/>
      <c r="Y327" s="1075"/>
      <c r="Z327" s="1075"/>
      <c r="AA327" s="1075"/>
    </row>
    <row r="328" spans="1:27" ht="12.75" customHeight="1">
      <c r="A328" s="1075"/>
      <c r="B328" s="1075"/>
      <c r="C328" s="1075"/>
      <c r="D328" s="1075"/>
      <c r="E328" s="1075"/>
      <c r="F328" s="1075"/>
      <c r="G328" s="1075"/>
      <c r="H328" s="1075"/>
      <c r="I328" s="1075"/>
      <c r="J328" s="1075"/>
      <c r="K328" s="1075"/>
      <c r="L328" s="1075"/>
      <c r="M328" s="1075"/>
      <c r="N328" s="1075"/>
      <c r="O328" s="1075"/>
      <c r="P328" s="1075"/>
      <c r="Q328" s="1075"/>
      <c r="R328" s="1075"/>
      <c r="S328" s="1075"/>
      <c r="T328" s="1075"/>
      <c r="U328" s="1075"/>
      <c r="V328" s="1075"/>
      <c r="W328" s="1075"/>
      <c r="X328" s="1075"/>
      <c r="Y328" s="1075"/>
      <c r="Z328" s="1075"/>
      <c r="AA328" s="1075"/>
    </row>
    <row r="329" spans="1:27" ht="12.75" customHeight="1">
      <c r="A329" s="1075"/>
      <c r="B329" s="1075"/>
      <c r="C329" s="1075"/>
      <c r="D329" s="1075"/>
      <c r="E329" s="1075"/>
      <c r="F329" s="1075"/>
      <c r="G329" s="1075"/>
      <c r="H329" s="1075"/>
      <c r="I329" s="1075"/>
      <c r="J329" s="1075"/>
      <c r="K329" s="1075"/>
      <c r="L329" s="1075"/>
      <c r="M329" s="1075"/>
      <c r="N329" s="1075"/>
      <c r="O329" s="1075"/>
      <c r="P329" s="1075"/>
      <c r="Q329" s="1075"/>
      <c r="R329" s="1075"/>
      <c r="S329" s="1075"/>
      <c r="T329" s="1075"/>
      <c r="U329" s="1075"/>
      <c r="V329" s="1075"/>
      <c r="W329" s="1075"/>
      <c r="X329" s="1075"/>
      <c r="Y329" s="1075"/>
      <c r="Z329" s="1075"/>
      <c r="AA329" s="1075"/>
    </row>
    <row r="330" spans="1:27" ht="12.75" customHeight="1">
      <c r="A330" s="1075"/>
      <c r="B330" s="1075"/>
      <c r="C330" s="1075"/>
      <c r="D330" s="1075"/>
      <c r="E330" s="1075"/>
      <c r="F330" s="1075"/>
      <c r="G330" s="1075"/>
      <c r="H330" s="1075"/>
      <c r="I330" s="1075"/>
      <c r="J330" s="1075"/>
      <c r="K330" s="1075"/>
      <c r="L330" s="1075"/>
      <c r="M330" s="1075"/>
      <c r="N330" s="1075"/>
      <c r="O330" s="1075"/>
      <c r="P330" s="1075"/>
      <c r="Q330" s="1075"/>
      <c r="R330" s="1075"/>
      <c r="S330" s="1075"/>
      <c r="T330" s="1075"/>
      <c r="U330" s="1075"/>
      <c r="V330" s="1075"/>
      <c r="W330" s="1075"/>
      <c r="X330" s="1075"/>
      <c r="Y330" s="1075"/>
      <c r="Z330" s="1075"/>
      <c r="AA330" s="1075"/>
    </row>
    <row r="331" spans="1:27" ht="12.75" customHeight="1">
      <c r="A331" s="1075"/>
      <c r="B331" s="1075"/>
      <c r="C331" s="1075"/>
      <c r="D331" s="1075"/>
      <c r="E331" s="1075"/>
      <c r="F331" s="1075"/>
      <c r="G331" s="1075"/>
      <c r="H331" s="1075"/>
      <c r="I331" s="1075"/>
      <c r="J331" s="1075"/>
      <c r="K331" s="1075"/>
      <c r="L331" s="1075"/>
      <c r="M331" s="1075"/>
      <c r="N331" s="1075"/>
      <c r="O331" s="1075"/>
      <c r="P331" s="1075"/>
      <c r="Q331" s="1075"/>
      <c r="R331" s="1075"/>
      <c r="S331" s="1075"/>
      <c r="T331" s="1075"/>
      <c r="U331" s="1075"/>
      <c r="V331" s="1075"/>
      <c r="W331" s="1075"/>
      <c r="X331" s="1075"/>
      <c r="Y331" s="1075"/>
      <c r="Z331" s="1075"/>
      <c r="AA331" s="1075"/>
    </row>
    <row r="332" spans="1:27" ht="12.75" customHeight="1">
      <c r="A332" s="1075"/>
      <c r="B332" s="1075"/>
      <c r="C332" s="1075"/>
      <c r="D332" s="1075"/>
      <c r="E332" s="1075"/>
      <c r="F332" s="1075"/>
      <c r="G332" s="1075"/>
      <c r="H332" s="1075"/>
      <c r="I332" s="1075"/>
      <c r="J332" s="1075"/>
      <c r="K332" s="1075"/>
      <c r="L332" s="1075"/>
      <c r="M332" s="1075"/>
      <c r="N332" s="1075"/>
      <c r="O332" s="1075"/>
      <c r="P332" s="1075"/>
      <c r="Q332" s="1075"/>
      <c r="R332" s="1075"/>
      <c r="S332" s="1075"/>
      <c r="T332" s="1075"/>
      <c r="U332" s="1075"/>
      <c r="V332" s="1075"/>
      <c r="W332" s="1075"/>
      <c r="X332" s="1075"/>
      <c r="Y332" s="1075"/>
      <c r="Z332" s="1075"/>
      <c r="AA332" s="1075"/>
    </row>
    <row r="333" spans="1:27" ht="12.75" customHeight="1">
      <c r="A333" s="1075"/>
      <c r="B333" s="1075"/>
      <c r="C333" s="1075"/>
      <c r="D333" s="1075"/>
      <c r="E333" s="1075"/>
      <c r="F333" s="1075"/>
      <c r="G333" s="1075"/>
      <c r="H333" s="1075"/>
      <c r="I333" s="1075"/>
      <c r="J333" s="1075"/>
      <c r="K333" s="1075"/>
      <c r="L333" s="1075"/>
      <c r="M333" s="1075"/>
      <c r="N333" s="1075"/>
      <c r="O333" s="1075"/>
      <c r="P333" s="1075"/>
      <c r="Q333" s="1075"/>
      <c r="R333" s="1075"/>
      <c r="S333" s="1075"/>
      <c r="T333" s="1075"/>
      <c r="U333" s="1075"/>
      <c r="V333" s="1075"/>
      <c r="W333" s="1075"/>
      <c r="X333" s="1075"/>
      <c r="Y333" s="1075"/>
      <c r="Z333" s="1075"/>
      <c r="AA333" s="1075"/>
    </row>
    <row r="334" spans="1:27" ht="12.75" customHeight="1">
      <c r="A334" s="1075"/>
      <c r="B334" s="1075"/>
      <c r="C334" s="1075"/>
      <c r="D334" s="1075"/>
      <c r="E334" s="1075"/>
      <c r="F334" s="1075"/>
      <c r="G334" s="1075"/>
      <c r="H334" s="1075"/>
      <c r="I334" s="1075"/>
      <c r="J334" s="1075"/>
      <c r="K334" s="1075"/>
      <c r="L334" s="1075"/>
      <c r="M334" s="1075"/>
      <c r="N334" s="1075"/>
      <c r="O334" s="1075"/>
      <c r="P334" s="1075"/>
      <c r="Q334" s="1075"/>
      <c r="R334" s="1075"/>
      <c r="S334" s="1075"/>
      <c r="T334" s="1075"/>
      <c r="U334" s="1075"/>
      <c r="V334" s="1075"/>
      <c r="W334" s="1075"/>
      <c r="X334" s="1075"/>
      <c r="Y334" s="1075"/>
      <c r="Z334" s="1075"/>
      <c r="AA334" s="1075"/>
    </row>
    <row r="335" spans="1:27" ht="12.75" customHeight="1">
      <c r="A335" s="1075"/>
      <c r="B335" s="1075"/>
      <c r="C335" s="1075"/>
      <c r="D335" s="1075"/>
      <c r="E335" s="1075"/>
      <c r="F335" s="1075"/>
      <c r="G335" s="1075"/>
      <c r="H335" s="1075"/>
      <c r="I335" s="1075"/>
      <c r="J335" s="1075"/>
      <c r="K335" s="1075"/>
      <c r="L335" s="1075"/>
      <c r="M335" s="1075"/>
      <c r="N335" s="1075"/>
      <c r="O335" s="1075"/>
      <c r="P335" s="1075"/>
      <c r="Q335" s="1075"/>
      <c r="R335" s="1075"/>
      <c r="S335" s="1075"/>
      <c r="T335" s="1075"/>
      <c r="U335" s="1075"/>
      <c r="V335" s="1075"/>
      <c r="W335" s="1075"/>
      <c r="X335" s="1075"/>
      <c r="Y335" s="1075"/>
      <c r="Z335" s="1075"/>
      <c r="AA335" s="1075"/>
    </row>
    <row r="336" spans="1:27" ht="12.75" customHeight="1">
      <c r="A336" s="1075"/>
      <c r="B336" s="1075"/>
      <c r="C336" s="1075"/>
      <c r="D336" s="1075"/>
      <c r="E336" s="1075"/>
      <c r="F336" s="1075"/>
      <c r="G336" s="1075"/>
      <c r="H336" s="1075"/>
      <c r="I336" s="1075"/>
      <c r="J336" s="1075"/>
      <c r="K336" s="1075"/>
      <c r="L336" s="1075"/>
      <c r="M336" s="1075"/>
      <c r="N336" s="1075"/>
      <c r="O336" s="1075"/>
      <c r="P336" s="1075"/>
      <c r="Q336" s="1075"/>
      <c r="R336" s="1075"/>
      <c r="S336" s="1075"/>
      <c r="T336" s="1075"/>
      <c r="U336" s="1075"/>
      <c r="V336" s="1075"/>
      <c r="W336" s="1075"/>
      <c r="X336" s="1075"/>
      <c r="Y336" s="1075"/>
      <c r="Z336" s="1075"/>
      <c r="AA336" s="1075"/>
    </row>
    <row r="337" spans="1:27" ht="12.75" customHeight="1">
      <c r="A337" s="1075"/>
      <c r="B337" s="1075"/>
      <c r="C337" s="1075"/>
      <c r="D337" s="1075"/>
      <c r="E337" s="1075"/>
      <c r="F337" s="1075"/>
      <c r="G337" s="1075"/>
      <c r="H337" s="1075"/>
      <c r="I337" s="1075"/>
      <c r="J337" s="1075"/>
      <c r="K337" s="1075"/>
      <c r="L337" s="1075"/>
      <c r="M337" s="1075"/>
      <c r="N337" s="1075"/>
      <c r="O337" s="1075"/>
      <c r="P337" s="1075"/>
      <c r="Q337" s="1075"/>
      <c r="R337" s="1075"/>
      <c r="S337" s="1075"/>
      <c r="T337" s="1075"/>
      <c r="U337" s="1075"/>
      <c r="V337" s="1075"/>
      <c r="W337" s="1075"/>
      <c r="X337" s="1075"/>
      <c r="Y337" s="1075"/>
      <c r="Z337" s="1075"/>
      <c r="AA337" s="1075"/>
    </row>
    <row r="338" spans="1:27" ht="12.75" customHeight="1">
      <c r="A338" s="1075"/>
      <c r="B338" s="1075"/>
      <c r="C338" s="1075"/>
      <c r="D338" s="1075"/>
      <c r="E338" s="1075"/>
      <c r="F338" s="1075"/>
      <c r="G338" s="1075"/>
      <c r="H338" s="1075"/>
      <c r="I338" s="1075"/>
      <c r="J338" s="1075"/>
      <c r="K338" s="1075"/>
      <c r="L338" s="1075"/>
      <c r="M338" s="1075"/>
      <c r="N338" s="1075"/>
      <c r="O338" s="1075"/>
      <c r="P338" s="1075"/>
      <c r="Q338" s="1075"/>
      <c r="R338" s="1075"/>
      <c r="S338" s="1075"/>
      <c r="T338" s="1075"/>
      <c r="U338" s="1075"/>
      <c r="V338" s="1075"/>
      <c r="W338" s="1075"/>
      <c r="X338" s="1075"/>
      <c r="Y338" s="1075"/>
      <c r="Z338" s="1075"/>
      <c r="AA338" s="1075"/>
    </row>
    <row r="339" spans="1:27" ht="12.75" customHeight="1">
      <c r="A339" s="1075"/>
      <c r="B339" s="1075"/>
      <c r="C339" s="1075"/>
      <c r="D339" s="1075"/>
      <c r="E339" s="1075"/>
      <c r="F339" s="1075"/>
      <c r="G339" s="1075"/>
      <c r="H339" s="1075"/>
      <c r="I339" s="1075"/>
      <c r="J339" s="1075"/>
      <c r="K339" s="1075"/>
      <c r="L339" s="1075"/>
      <c r="M339" s="1075"/>
      <c r="N339" s="1075"/>
      <c r="O339" s="1075"/>
      <c r="P339" s="1075"/>
      <c r="Q339" s="1075"/>
      <c r="R339" s="1075"/>
      <c r="S339" s="1075"/>
      <c r="T339" s="1075"/>
      <c r="U339" s="1075"/>
      <c r="V339" s="1075"/>
      <c r="W339" s="1075"/>
      <c r="X339" s="1075"/>
      <c r="Y339" s="1075"/>
      <c r="Z339" s="1075"/>
      <c r="AA339" s="1075"/>
    </row>
    <row r="340" spans="1:27" ht="12.75" customHeight="1">
      <c r="A340" s="1075"/>
      <c r="B340" s="1075"/>
      <c r="C340" s="1075"/>
      <c r="D340" s="1075"/>
      <c r="E340" s="1075"/>
      <c r="F340" s="1075"/>
      <c r="G340" s="1075"/>
      <c r="H340" s="1075"/>
      <c r="I340" s="1075"/>
      <c r="J340" s="1075"/>
      <c r="K340" s="1075"/>
      <c r="L340" s="1075"/>
      <c r="M340" s="1075"/>
      <c r="N340" s="1075"/>
      <c r="O340" s="1075"/>
      <c r="P340" s="1075"/>
      <c r="Q340" s="1075"/>
      <c r="R340" s="1075"/>
      <c r="S340" s="1075"/>
      <c r="T340" s="1075"/>
      <c r="U340" s="1075"/>
      <c r="V340" s="1075"/>
      <c r="W340" s="1075"/>
      <c r="X340" s="1075"/>
      <c r="Y340" s="1075"/>
      <c r="Z340" s="1075"/>
      <c r="AA340" s="1075"/>
    </row>
    <row r="341" spans="1:27" ht="12.75" customHeight="1">
      <c r="A341" s="1075"/>
      <c r="B341" s="1075"/>
      <c r="C341" s="1075"/>
      <c r="D341" s="1075"/>
      <c r="E341" s="1075"/>
      <c r="F341" s="1075"/>
      <c r="G341" s="1075"/>
      <c r="H341" s="1075"/>
      <c r="I341" s="1075"/>
      <c r="J341" s="1075"/>
      <c r="K341" s="1075"/>
      <c r="L341" s="1075"/>
      <c r="M341" s="1075"/>
      <c r="N341" s="1075"/>
      <c r="O341" s="1075"/>
      <c r="P341" s="1075"/>
      <c r="Q341" s="1075"/>
      <c r="R341" s="1075"/>
      <c r="S341" s="1075"/>
      <c r="T341" s="1075"/>
      <c r="U341" s="1075"/>
      <c r="V341" s="1075"/>
      <c r="W341" s="1075"/>
      <c r="X341" s="1075"/>
      <c r="Y341" s="1075"/>
      <c r="Z341" s="1075"/>
      <c r="AA341" s="1075"/>
    </row>
    <row r="342" spans="1:27" ht="12.75" customHeight="1">
      <c r="A342" s="1075"/>
      <c r="B342" s="1075"/>
      <c r="C342" s="1075"/>
      <c r="D342" s="1075"/>
      <c r="E342" s="1075"/>
      <c r="F342" s="1075"/>
      <c r="G342" s="1075"/>
      <c r="H342" s="1075"/>
      <c r="I342" s="1075"/>
      <c r="J342" s="1075"/>
      <c r="K342" s="1075"/>
      <c r="L342" s="1075"/>
      <c r="M342" s="1075"/>
      <c r="N342" s="1075"/>
      <c r="O342" s="1075"/>
      <c r="P342" s="1075"/>
      <c r="Q342" s="1075"/>
      <c r="R342" s="1075"/>
      <c r="S342" s="1075"/>
      <c r="T342" s="1075"/>
      <c r="U342" s="1075"/>
      <c r="V342" s="1075"/>
      <c r="W342" s="1075"/>
      <c r="X342" s="1075"/>
      <c r="Y342" s="1075"/>
      <c r="Z342" s="1075"/>
      <c r="AA342" s="1075"/>
    </row>
    <row r="343" spans="1:27" ht="12.75" customHeight="1">
      <c r="A343" s="1075"/>
      <c r="B343" s="1075"/>
      <c r="C343" s="1075"/>
      <c r="D343" s="1075"/>
      <c r="E343" s="1075"/>
      <c r="F343" s="1075"/>
      <c r="G343" s="1075"/>
      <c r="H343" s="1075"/>
      <c r="I343" s="1075"/>
      <c r="J343" s="1075"/>
      <c r="K343" s="1075"/>
      <c r="L343" s="1075"/>
      <c r="M343" s="1075"/>
      <c r="N343" s="1075"/>
      <c r="O343" s="1075"/>
      <c r="P343" s="1075"/>
      <c r="Q343" s="1075"/>
      <c r="R343" s="1075"/>
      <c r="S343" s="1075"/>
      <c r="T343" s="1075"/>
      <c r="U343" s="1075"/>
      <c r="V343" s="1075"/>
      <c r="W343" s="1075"/>
      <c r="X343" s="1075"/>
      <c r="Y343" s="1075"/>
      <c r="Z343" s="1075"/>
      <c r="AA343" s="1075"/>
    </row>
    <row r="344" spans="1:27" ht="12.75" customHeight="1">
      <c r="A344" s="1075"/>
      <c r="B344" s="1075"/>
      <c r="C344" s="1075"/>
      <c r="D344" s="1075"/>
      <c r="E344" s="1075"/>
      <c r="F344" s="1075"/>
      <c r="G344" s="1075"/>
      <c r="H344" s="1075"/>
      <c r="I344" s="1075"/>
      <c r="J344" s="1075"/>
      <c r="K344" s="1075"/>
      <c r="L344" s="1075"/>
      <c r="M344" s="1075"/>
      <c r="N344" s="1075"/>
      <c r="O344" s="1075"/>
      <c r="P344" s="1075"/>
      <c r="Q344" s="1075"/>
      <c r="R344" s="1075"/>
      <c r="S344" s="1075"/>
      <c r="T344" s="1075"/>
      <c r="U344" s="1075"/>
      <c r="V344" s="1075"/>
      <c r="W344" s="1075"/>
      <c r="X344" s="1075"/>
      <c r="Y344" s="1075"/>
      <c r="Z344" s="1075"/>
      <c r="AA344" s="1075"/>
    </row>
    <row r="345" spans="1:27" ht="12.75" customHeight="1">
      <c r="A345" s="1075"/>
      <c r="B345" s="1075"/>
      <c r="C345" s="1075"/>
      <c r="D345" s="1075"/>
      <c r="E345" s="1075"/>
      <c r="F345" s="1075"/>
      <c r="G345" s="1075"/>
      <c r="H345" s="1075"/>
      <c r="I345" s="1075"/>
      <c r="J345" s="1075"/>
      <c r="K345" s="1075"/>
      <c r="L345" s="1075"/>
      <c r="M345" s="1075"/>
      <c r="N345" s="1075"/>
      <c r="O345" s="1075"/>
      <c r="P345" s="1075"/>
      <c r="Q345" s="1075"/>
      <c r="R345" s="1075"/>
      <c r="S345" s="1075"/>
      <c r="T345" s="1075"/>
      <c r="U345" s="1075"/>
      <c r="V345" s="1075"/>
      <c r="W345" s="1075"/>
      <c r="X345" s="1075"/>
      <c r="Y345" s="1075"/>
      <c r="Z345" s="1075"/>
      <c r="AA345" s="1075"/>
    </row>
    <row r="346" spans="1:27" ht="12.75" customHeight="1">
      <c r="A346" s="1075"/>
      <c r="B346" s="1075"/>
      <c r="C346" s="1075"/>
      <c r="D346" s="1075"/>
      <c r="E346" s="1075"/>
      <c r="F346" s="1075"/>
      <c r="G346" s="1075"/>
      <c r="H346" s="1075"/>
      <c r="I346" s="1075"/>
      <c r="J346" s="1075"/>
      <c r="K346" s="1075"/>
      <c r="L346" s="1075"/>
      <c r="M346" s="1075"/>
      <c r="N346" s="1075"/>
      <c r="O346" s="1075"/>
      <c r="P346" s="1075"/>
      <c r="Q346" s="1075"/>
      <c r="R346" s="1075"/>
      <c r="S346" s="1075"/>
      <c r="T346" s="1075"/>
      <c r="U346" s="1075"/>
      <c r="V346" s="1075"/>
      <c r="W346" s="1075"/>
      <c r="X346" s="1075"/>
      <c r="Y346" s="1075"/>
      <c r="Z346" s="1075"/>
      <c r="AA346" s="1075"/>
    </row>
    <row r="347" spans="1:27" ht="12.75" customHeight="1">
      <c r="A347" s="1075"/>
      <c r="B347" s="1075"/>
      <c r="C347" s="1075"/>
      <c r="D347" s="1075"/>
      <c r="E347" s="1075"/>
      <c r="F347" s="1075"/>
      <c r="G347" s="1075"/>
      <c r="H347" s="1075"/>
      <c r="I347" s="1075"/>
      <c r="J347" s="1075"/>
      <c r="K347" s="1075"/>
      <c r="L347" s="1075"/>
      <c r="M347" s="1075"/>
      <c r="N347" s="1075"/>
      <c r="O347" s="1075"/>
      <c r="P347" s="1075"/>
      <c r="Q347" s="1075"/>
      <c r="R347" s="1075"/>
      <c r="S347" s="1075"/>
      <c r="T347" s="1075"/>
      <c r="U347" s="1075"/>
      <c r="V347" s="1075"/>
      <c r="W347" s="1075"/>
      <c r="X347" s="1075"/>
      <c r="Y347" s="1075"/>
      <c r="Z347" s="1075"/>
      <c r="AA347" s="1075"/>
    </row>
    <row r="348" spans="1:27" ht="12.75" customHeight="1">
      <c r="A348" s="1075"/>
      <c r="B348" s="1075"/>
      <c r="C348" s="1075"/>
      <c r="D348" s="1075"/>
      <c r="E348" s="1075"/>
      <c r="F348" s="1075"/>
      <c r="G348" s="1075"/>
      <c r="H348" s="1075"/>
      <c r="I348" s="1075"/>
      <c r="J348" s="1075"/>
      <c r="K348" s="1075"/>
      <c r="L348" s="1075"/>
      <c r="M348" s="1075"/>
      <c r="N348" s="1075"/>
      <c r="O348" s="1075"/>
      <c r="P348" s="1075"/>
      <c r="Q348" s="1075"/>
      <c r="R348" s="1075"/>
      <c r="S348" s="1075"/>
      <c r="T348" s="1075"/>
      <c r="U348" s="1075"/>
      <c r="V348" s="1075"/>
      <c r="W348" s="1075"/>
      <c r="X348" s="1075"/>
      <c r="Y348" s="1075"/>
      <c r="Z348" s="1075"/>
      <c r="AA348" s="1075"/>
    </row>
    <row r="349" spans="1:27" ht="12.75" customHeight="1">
      <c r="A349" s="1075"/>
      <c r="B349" s="1075"/>
      <c r="C349" s="1075"/>
      <c r="D349" s="1075"/>
      <c r="E349" s="1075"/>
      <c r="F349" s="1075"/>
      <c r="G349" s="1075"/>
      <c r="H349" s="1075"/>
      <c r="I349" s="1075"/>
      <c r="J349" s="1075"/>
      <c r="K349" s="1075"/>
      <c r="L349" s="1075"/>
      <c r="M349" s="1075"/>
      <c r="N349" s="1075"/>
      <c r="O349" s="1075"/>
      <c r="P349" s="1075"/>
      <c r="Q349" s="1075"/>
      <c r="R349" s="1075"/>
      <c r="S349" s="1075"/>
      <c r="T349" s="1075"/>
      <c r="U349" s="1075"/>
      <c r="V349" s="1075"/>
      <c r="W349" s="1075"/>
      <c r="X349" s="1075"/>
      <c r="Y349" s="1075"/>
      <c r="Z349" s="1075"/>
      <c r="AA349" s="1075"/>
    </row>
    <row r="350" spans="1:27" ht="12.75" customHeight="1">
      <c r="A350" s="1075"/>
      <c r="B350" s="1075"/>
      <c r="C350" s="1075"/>
      <c r="D350" s="1075"/>
      <c r="E350" s="1075"/>
      <c r="F350" s="1075"/>
      <c r="G350" s="1075"/>
      <c r="H350" s="1075"/>
      <c r="I350" s="1075"/>
      <c r="J350" s="1075"/>
      <c r="K350" s="1075"/>
      <c r="L350" s="1075"/>
      <c r="M350" s="1075"/>
      <c r="N350" s="1075"/>
      <c r="O350" s="1075"/>
      <c r="P350" s="1075"/>
      <c r="Q350" s="1075"/>
      <c r="R350" s="1075"/>
      <c r="S350" s="1075"/>
      <c r="T350" s="1075"/>
      <c r="U350" s="1075"/>
      <c r="V350" s="1075"/>
      <c r="W350" s="1075"/>
      <c r="X350" s="1075"/>
      <c r="Y350" s="1075"/>
      <c r="Z350" s="1075"/>
      <c r="AA350" s="1075"/>
    </row>
    <row r="351" spans="1:27" ht="12.75" customHeight="1">
      <c r="A351" s="1075"/>
      <c r="B351" s="1075"/>
      <c r="C351" s="1075"/>
      <c r="D351" s="1075"/>
      <c r="E351" s="1075"/>
      <c r="F351" s="1075"/>
      <c r="G351" s="1075"/>
      <c r="H351" s="1075"/>
      <c r="I351" s="1075"/>
      <c r="J351" s="1075"/>
      <c r="K351" s="1075"/>
      <c r="L351" s="1075"/>
      <c r="M351" s="1075"/>
      <c r="N351" s="1075"/>
      <c r="O351" s="1075"/>
      <c r="P351" s="1075"/>
      <c r="Q351" s="1075"/>
      <c r="R351" s="1075"/>
      <c r="S351" s="1075"/>
      <c r="T351" s="1075"/>
      <c r="U351" s="1075"/>
      <c r="V351" s="1075"/>
      <c r="W351" s="1075"/>
      <c r="X351" s="1075"/>
      <c r="Y351" s="1075"/>
      <c r="Z351" s="1075"/>
      <c r="AA351" s="1075"/>
    </row>
    <row r="352" spans="1:27" ht="12.75" customHeight="1">
      <c r="A352" s="1075"/>
      <c r="B352" s="1075"/>
      <c r="C352" s="1075"/>
      <c r="D352" s="1075"/>
      <c r="E352" s="1075"/>
      <c r="F352" s="1075"/>
      <c r="G352" s="1075"/>
      <c r="H352" s="1075"/>
      <c r="I352" s="1075"/>
      <c r="J352" s="1075"/>
      <c r="K352" s="1075"/>
      <c r="L352" s="1075"/>
      <c r="M352" s="1075"/>
      <c r="N352" s="1075"/>
      <c r="O352" s="1075"/>
      <c r="P352" s="1075"/>
      <c r="Q352" s="1075"/>
      <c r="R352" s="1075"/>
      <c r="S352" s="1075"/>
      <c r="T352" s="1075"/>
      <c r="U352" s="1075"/>
      <c r="V352" s="1075"/>
      <c r="W352" s="1075"/>
      <c r="X352" s="1075"/>
      <c r="Y352" s="1075"/>
      <c r="Z352" s="1075"/>
      <c r="AA352" s="1075"/>
    </row>
    <row r="353" spans="1:27" ht="12.75" customHeight="1">
      <c r="A353" s="1075"/>
      <c r="B353" s="1075"/>
      <c r="C353" s="1075"/>
      <c r="D353" s="1075"/>
      <c r="E353" s="1075"/>
      <c r="F353" s="1075"/>
      <c r="G353" s="1075"/>
      <c r="H353" s="1075"/>
      <c r="I353" s="1075"/>
      <c r="J353" s="1075"/>
      <c r="K353" s="1075"/>
      <c r="L353" s="1075"/>
      <c r="M353" s="1075"/>
      <c r="N353" s="1075"/>
      <c r="O353" s="1075"/>
      <c r="P353" s="1075"/>
      <c r="Q353" s="1075"/>
      <c r="R353" s="1075"/>
      <c r="S353" s="1075"/>
      <c r="T353" s="1075"/>
      <c r="U353" s="1075"/>
      <c r="V353" s="1075"/>
      <c r="W353" s="1075"/>
      <c r="X353" s="1075"/>
      <c r="Y353" s="1075"/>
      <c r="Z353" s="1075"/>
      <c r="AA353" s="1075"/>
    </row>
    <row r="354" spans="1:27" ht="12.75" customHeight="1">
      <c r="A354" s="1075"/>
      <c r="B354" s="1075"/>
      <c r="C354" s="1075"/>
      <c r="D354" s="1075"/>
      <c r="E354" s="1075"/>
      <c r="F354" s="1075"/>
      <c r="G354" s="1075"/>
      <c r="H354" s="1075"/>
      <c r="I354" s="1075"/>
      <c r="J354" s="1075"/>
      <c r="K354" s="1075"/>
      <c r="L354" s="1075"/>
      <c r="M354" s="1075"/>
      <c r="N354" s="1075"/>
      <c r="O354" s="1075"/>
      <c r="P354" s="1075"/>
      <c r="Q354" s="1075"/>
      <c r="R354" s="1075"/>
      <c r="S354" s="1075"/>
      <c r="T354" s="1075"/>
      <c r="U354" s="1075"/>
      <c r="V354" s="1075"/>
      <c r="W354" s="1075"/>
      <c r="X354" s="1075"/>
      <c r="Y354" s="1075"/>
      <c r="Z354" s="1075"/>
      <c r="AA354" s="1075"/>
    </row>
    <row r="355" spans="1:27" ht="12.75" customHeight="1">
      <c r="A355" s="1075"/>
      <c r="B355" s="1075"/>
      <c r="C355" s="1075"/>
      <c r="D355" s="1075"/>
      <c r="E355" s="1075"/>
      <c r="F355" s="1075"/>
      <c r="G355" s="1075"/>
      <c r="H355" s="1075"/>
      <c r="I355" s="1075"/>
      <c r="J355" s="1075"/>
      <c r="K355" s="1075"/>
      <c r="L355" s="1075"/>
      <c r="M355" s="1075"/>
      <c r="N355" s="1075"/>
      <c r="O355" s="1075"/>
      <c r="P355" s="1075"/>
      <c r="Q355" s="1075"/>
      <c r="R355" s="1075"/>
      <c r="S355" s="1075"/>
      <c r="T355" s="1075"/>
      <c r="U355" s="1075"/>
      <c r="V355" s="1075"/>
      <c r="W355" s="1075"/>
      <c r="X355" s="1075"/>
      <c r="Y355" s="1075"/>
      <c r="Z355" s="1075"/>
      <c r="AA355" s="1075"/>
    </row>
    <row r="356" spans="1:27" ht="12.75" customHeight="1">
      <c r="A356" s="1075"/>
      <c r="B356" s="1075"/>
      <c r="C356" s="1075"/>
      <c r="D356" s="1075"/>
      <c r="E356" s="1075"/>
      <c r="F356" s="1075"/>
      <c r="G356" s="1075"/>
      <c r="H356" s="1075"/>
      <c r="I356" s="1075"/>
      <c r="J356" s="1075"/>
      <c r="K356" s="1075"/>
      <c r="L356" s="1075"/>
      <c r="M356" s="1075"/>
      <c r="N356" s="1075"/>
      <c r="O356" s="1075"/>
      <c r="P356" s="1075"/>
      <c r="Q356" s="1075"/>
      <c r="R356" s="1075"/>
      <c r="S356" s="1075"/>
      <c r="T356" s="1075"/>
      <c r="U356" s="1075"/>
      <c r="V356" s="1075"/>
      <c r="W356" s="1075"/>
      <c r="X356" s="1075"/>
      <c r="Y356" s="1075"/>
      <c r="Z356" s="1075"/>
      <c r="AA356" s="1075"/>
    </row>
    <row r="357" spans="1:27" ht="12.75" customHeight="1">
      <c r="A357" s="1075"/>
      <c r="B357" s="1075"/>
      <c r="C357" s="1075"/>
      <c r="D357" s="1075"/>
      <c r="E357" s="1075"/>
      <c r="F357" s="1075"/>
      <c r="G357" s="1075"/>
      <c r="H357" s="1075"/>
      <c r="I357" s="1075"/>
      <c r="J357" s="1075"/>
      <c r="K357" s="1075"/>
      <c r="L357" s="1075"/>
      <c r="M357" s="1075"/>
      <c r="N357" s="1075"/>
      <c r="O357" s="1075"/>
      <c r="P357" s="1075"/>
      <c r="Q357" s="1075"/>
      <c r="R357" s="1075"/>
      <c r="S357" s="1075"/>
      <c r="T357" s="1075"/>
      <c r="U357" s="1075"/>
      <c r="V357" s="1075"/>
      <c r="W357" s="1075"/>
      <c r="X357" s="1075"/>
      <c r="Y357" s="1075"/>
      <c r="Z357" s="1075"/>
      <c r="AA357" s="1075"/>
    </row>
    <row r="358" spans="1:27" ht="12.75" customHeight="1">
      <c r="A358" s="1075"/>
      <c r="B358" s="1075"/>
      <c r="C358" s="1075"/>
      <c r="D358" s="1075"/>
      <c r="E358" s="1075"/>
      <c r="F358" s="1075"/>
      <c r="G358" s="1075"/>
      <c r="H358" s="1075"/>
      <c r="I358" s="1075"/>
      <c r="J358" s="1075"/>
      <c r="K358" s="1075"/>
      <c r="L358" s="1075"/>
      <c r="M358" s="1075"/>
      <c r="N358" s="1075"/>
      <c r="O358" s="1075"/>
      <c r="P358" s="1075"/>
      <c r="Q358" s="1075"/>
      <c r="R358" s="1075"/>
      <c r="S358" s="1075"/>
      <c r="T358" s="1075"/>
      <c r="U358" s="1075"/>
      <c r="V358" s="1075"/>
      <c r="W358" s="1075"/>
      <c r="X358" s="1075"/>
      <c r="Y358" s="1075"/>
      <c r="Z358" s="1075"/>
      <c r="AA358" s="1075"/>
    </row>
    <row r="359" spans="1:27" ht="12.75" customHeight="1">
      <c r="A359" s="1075"/>
      <c r="B359" s="1075"/>
      <c r="C359" s="1075"/>
      <c r="D359" s="1075"/>
      <c r="E359" s="1075"/>
      <c r="F359" s="1075"/>
      <c r="G359" s="1075"/>
      <c r="H359" s="1075"/>
      <c r="I359" s="1075"/>
      <c r="J359" s="1075"/>
      <c r="K359" s="1075"/>
      <c r="L359" s="1075"/>
      <c r="M359" s="1075"/>
      <c r="N359" s="1075"/>
      <c r="O359" s="1075"/>
      <c r="P359" s="1075"/>
      <c r="Q359" s="1075"/>
      <c r="R359" s="1075"/>
      <c r="S359" s="1075"/>
      <c r="T359" s="1075"/>
      <c r="U359" s="1075"/>
      <c r="V359" s="1075"/>
      <c r="W359" s="1075"/>
      <c r="X359" s="1075"/>
      <c r="Y359" s="1075"/>
      <c r="Z359" s="1075"/>
      <c r="AA359" s="1075"/>
    </row>
    <row r="360" spans="1:27" ht="12.75" customHeight="1">
      <c r="A360" s="1075"/>
      <c r="B360" s="1075"/>
      <c r="C360" s="1075"/>
      <c r="D360" s="1075"/>
      <c r="E360" s="1075"/>
      <c r="F360" s="1075"/>
      <c r="G360" s="1075"/>
      <c r="H360" s="1075"/>
      <c r="I360" s="1075"/>
      <c r="J360" s="1075"/>
      <c r="K360" s="1075"/>
      <c r="L360" s="1075"/>
      <c r="M360" s="1075"/>
      <c r="N360" s="1075"/>
      <c r="O360" s="1075"/>
      <c r="P360" s="1075"/>
      <c r="Q360" s="1075"/>
      <c r="R360" s="1075"/>
      <c r="S360" s="1075"/>
      <c r="T360" s="1075"/>
      <c r="U360" s="1075"/>
      <c r="V360" s="1075"/>
      <c r="W360" s="1075"/>
      <c r="X360" s="1075"/>
      <c r="Y360" s="1075"/>
      <c r="Z360" s="1075"/>
      <c r="AA360" s="1075"/>
    </row>
    <row r="361" spans="1:27" ht="12.75" customHeight="1">
      <c r="A361" s="1075"/>
      <c r="B361" s="1075"/>
      <c r="C361" s="1075"/>
      <c r="D361" s="1075"/>
      <c r="E361" s="1075"/>
      <c r="F361" s="1075"/>
      <c r="G361" s="1075"/>
      <c r="H361" s="1075"/>
      <c r="I361" s="1075"/>
      <c r="J361" s="1075"/>
      <c r="K361" s="1075"/>
      <c r="L361" s="1075"/>
      <c r="M361" s="1075"/>
      <c r="N361" s="1075"/>
      <c r="O361" s="1075"/>
      <c r="P361" s="1075"/>
      <c r="Q361" s="1075"/>
      <c r="R361" s="1075"/>
      <c r="S361" s="1075"/>
      <c r="T361" s="1075"/>
      <c r="U361" s="1075"/>
      <c r="V361" s="1075"/>
      <c r="W361" s="1075"/>
      <c r="X361" s="1075"/>
      <c r="Y361" s="1075"/>
      <c r="Z361" s="1075"/>
      <c r="AA361" s="1075"/>
    </row>
    <row r="362" spans="1:27" ht="12.75" customHeight="1">
      <c r="A362" s="1075"/>
      <c r="B362" s="1075"/>
      <c r="C362" s="1075"/>
      <c r="D362" s="1075"/>
      <c r="E362" s="1075"/>
      <c r="F362" s="1075"/>
      <c r="G362" s="1075"/>
      <c r="H362" s="1075"/>
      <c r="I362" s="1075"/>
      <c r="J362" s="1075"/>
      <c r="K362" s="1075"/>
      <c r="L362" s="1075"/>
      <c r="M362" s="1075"/>
      <c r="N362" s="1075"/>
      <c r="O362" s="1075"/>
      <c r="P362" s="1075"/>
      <c r="Q362" s="1075"/>
      <c r="R362" s="1075"/>
      <c r="S362" s="1075"/>
      <c r="T362" s="1075"/>
      <c r="U362" s="1075"/>
      <c r="V362" s="1075"/>
      <c r="W362" s="1075"/>
      <c r="X362" s="1075"/>
      <c r="Y362" s="1075"/>
      <c r="Z362" s="1075"/>
      <c r="AA362" s="1075"/>
    </row>
    <row r="363" spans="1:27" ht="12.75" customHeight="1">
      <c r="A363" s="1075"/>
      <c r="B363" s="1075"/>
      <c r="C363" s="1075"/>
      <c r="D363" s="1075"/>
      <c r="E363" s="1075"/>
      <c r="F363" s="1075"/>
      <c r="G363" s="1075"/>
      <c r="H363" s="1075"/>
      <c r="I363" s="1075"/>
      <c r="J363" s="1075"/>
      <c r="K363" s="1075"/>
      <c r="L363" s="1075"/>
      <c r="M363" s="1075"/>
      <c r="N363" s="1075"/>
      <c r="O363" s="1075"/>
      <c r="P363" s="1075"/>
      <c r="Q363" s="1075"/>
      <c r="R363" s="1075"/>
      <c r="S363" s="1075"/>
      <c r="T363" s="1075"/>
      <c r="U363" s="1075"/>
      <c r="V363" s="1075"/>
      <c r="W363" s="1075"/>
      <c r="X363" s="1075"/>
      <c r="Y363" s="1075"/>
      <c r="Z363" s="1075"/>
      <c r="AA363" s="1075"/>
    </row>
    <row r="364" spans="1:27" ht="12.75" customHeight="1">
      <c r="A364" s="1075"/>
      <c r="B364" s="1075"/>
      <c r="C364" s="1075"/>
      <c r="D364" s="1075"/>
      <c r="E364" s="1075"/>
      <c r="F364" s="1075"/>
      <c r="G364" s="1075"/>
      <c r="H364" s="1075"/>
      <c r="I364" s="1075"/>
      <c r="J364" s="1075"/>
      <c r="K364" s="1075"/>
      <c r="L364" s="1075"/>
      <c r="M364" s="1075"/>
      <c r="N364" s="1075"/>
      <c r="O364" s="1075"/>
      <c r="P364" s="1075"/>
      <c r="Q364" s="1075"/>
      <c r="R364" s="1075"/>
      <c r="S364" s="1075"/>
      <c r="T364" s="1075"/>
      <c r="U364" s="1075"/>
      <c r="V364" s="1075"/>
      <c r="W364" s="1075"/>
      <c r="X364" s="1075"/>
      <c r="Y364" s="1075"/>
      <c r="Z364" s="1075"/>
      <c r="AA364" s="1075"/>
    </row>
    <row r="365" spans="1:27" ht="12.75" customHeight="1">
      <c r="A365" s="1075"/>
      <c r="B365" s="1075"/>
      <c r="C365" s="1075"/>
      <c r="D365" s="1075"/>
      <c r="E365" s="1075"/>
      <c r="F365" s="1075"/>
      <c r="G365" s="1075"/>
      <c r="H365" s="1075"/>
      <c r="I365" s="1075"/>
      <c r="J365" s="1075"/>
      <c r="K365" s="1075"/>
      <c r="L365" s="1075"/>
      <c r="M365" s="1075"/>
      <c r="N365" s="1075"/>
      <c r="O365" s="1075"/>
      <c r="P365" s="1075"/>
      <c r="Q365" s="1075"/>
      <c r="R365" s="1075"/>
      <c r="S365" s="1075"/>
      <c r="T365" s="1075"/>
      <c r="U365" s="1075"/>
      <c r="V365" s="1075"/>
      <c r="W365" s="1075"/>
      <c r="X365" s="1075"/>
      <c r="Y365" s="1075"/>
      <c r="Z365" s="1075"/>
      <c r="AA365" s="1075"/>
    </row>
    <row r="366" spans="1:27" ht="12.75" customHeight="1">
      <c r="A366" s="1075"/>
      <c r="B366" s="1075"/>
      <c r="C366" s="1075"/>
      <c r="D366" s="1075"/>
      <c r="E366" s="1075"/>
      <c r="F366" s="1075"/>
      <c r="G366" s="1075"/>
      <c r="H366" s="1075"/>
      <c r="I366" s="1075"/>
      <c r="J366" s="1075"/>
      <c r="K366" s="1075"/>
      <c r="L366" s="1075"/>
      <c r="M366" s="1075"/>
      <c r="N366" s="1075"/>
      <c r="O366" s="1075"/>
      <c r="P366" s="1075"/>
      <c r="Q366" s="1075"/>
      <c r="R366" s="1075"/>
      <c r="S366" s="1075"/>
      <c r="T366" s="1075"/>
      <c r="U366" s="1075"/>
      <c r="V366" s="1075"/>
      <c r="W366" s="1075"/>
      <c r="X366" s="1075"/>
      <c r="Y366" s="1075"/>
      <c r="Z366" s="1075"/>
      <c r="AA366" s="1075"/>
    </row>
    <row r="367" spans="1:27" ht="12.75" customHeight="1">
      <c r="A367" s="1075"/>
      <c r="B367" s="1075"/>
      <c r="C367" s="1075"/>
      <c r="D367" s="1075"/>
      <c r="E367" s="1075"/>
      <c r="F367" s="1075"/>
      <c r="G367" s="1075"/>
      <c r="H367" s="1075"/>
      <c r="I367" s="1075"/>
      <c r="J367" s="1075"/>
      <c r="K367" s="1075"/>
      <c r="L367" s="1075"/>
      <c r="M367" s="1075"/>
      <c r="N367" s="1075"/>
      <c r="O367" s="1075"/>
      <c r="P367" s="1075"/>
      <c r="Q367" s="1075"/>
      <c r="R367" s="1075"/>
      <c r="S367" s="1075"/>
      <c r="T367" s="1075"/>
      <c r="U367" s="1075"/>
      <c r="V367" s="1075"/>
      <c r="W367" s="1075"/>
      <c r="X367" s="1075"/>
      <c r="Y367" s="1075"/>
      <c r="Z367" s="1075"/>
      <c r="AA367" s="1075"/>
    </row>
    <row r="368" spans="1:27" ht="12.75" customHeight="1">
      <c r="A368" s="1075"/>
      <c r="B368" s="1075"/>
      <c r="C368" s="1075"/>
      <c r="D368" s="1075"/>
      <c r="E368" s="1075"/>
      <c r="F368" s="1075"/>
      <c r="G368" s="1075"/>
      <c r="H368" s="1075"/>
      <c r="I368" s="1075"/>
      <c r="J368" s="1075"/>
      <c r="K368" s="1075"/>
      <c r="L368" s="1075"/>
      <c r="M368" s="1075"/>
      <c r="N368" s="1075"/>
      <c r="O368" s="1075"/>
      <c r="P368" s="1075"/>
      <c r="Q368" s="1075"/>
      <c r="R368" s="1075"/>
      <c r="S368" s="1075"/>
      <c r="T368" s="1075"/>
      <c r="U368" s="1075"/>
      <c r="V368" s="1075"/>
      <c r="W368" s="1075"/>
      <c r="X368" s="1075"/>
      <c r="Y368" s="1075"/>
      <c r="Z368" s="1075"/>
      <c r="AA368" s="1075"/>
    </row>
    <row r="369" spans="1:27" ht="12.75" customHeight="1">
      <c r="A369" s="1075"/>
      <c r="B369" s="1075"/>
      <c r="C369" s="1075"/>
      <c r="D369" s="1075"/>
      <c r="E369" s="1075"/>
      <c r="F369" s="1075"/>
      <c r="G369" s="1075"/>
      <c r="H369" s="1075"/>
      <c r="I369" s="1075"/>
      <c r="J369" s="1075"/>
      <c r="K369" s="1075"/>
      <c r="L369" s="1075"/>
      <c r="M369" s="1075"/>
      <c r="N369" s="1075"/>
      <c r="O369" s="1075"/>
      <c r="P369" s="1075"/>
      <c r="Q369" s="1075"/>
      <c r="R369" s="1075"/>
      <c r="S369" s="1075"/>
      <c r="T369" s="1075"/>
      <c r="U369" s="1075"/>
      <c r="V369" s="1075"/>
      <c r="W369" s="1075"/>
      <c r="X369" s="1075"/>
      <c r="Y369" s="1075"/>
      <c r="Z369" s="1075"/>
      <c r="AA369" s="1075"/>
    </row>
    <row r="370" spans="1:27" ht="12.75" customHeight="1">
      <c r="A370" s="1075"/>
      <c r="B370" s="1075"/>
      <c r="C370" s="1075"/>
      <c r="D370" s="1075"/>
      <c r="E370" s="1075"/>
      <c r="F370" s="1075"/>
      <c r="G370" s="1075"/>
      <c r="H370" s="1075"/>
      <c r="I370" s="1075"/>
      <c r="J370" s="1075"/>
      <c r="K370" s="1075"/>
      <c r="L370" s="1075"/>
      <c r="M370" s="1075"/>
      <c r="N370" s="1075"/>
      <c r="O370" s="1075"/>
      <c r="P370" s="1075"/>
      <c r="Q370" s="1075"/>
      <c r="R370" s="1075"/>
      <c r="S370" s="1075"/>
      <c r="T370" s="1075"/>
      <c r="U370" s="1075"/>
      <c r="V370" s="1075"/>
      <c r="W370" s="1075"/>
      <c r="X370" s="1075"/>
      <c r="Y370" s="1075"/>
      <c r="Z370" s="1075"/>
      <c r="AA370" s="1075"/>
    </row>
    <row r="371" spans="1:27" ht="12.75" customHeight="1">
      <c r="A371" s="1075"/>
      <c r="B371" s="1075"/>
      <c r="C371" s="1075"/>
      <c r="D371" s="1075"/>
      <c r="E371" s="1075"/>
      <c r="F371" s="1075"/>
      <c r="G371" s="1075"/>
      <c r="H371" s="1075"/>
      <c r="I371" s="1075"/>
      <c r="J371" s="1075"/>
      <c r="K371" s="1075"/>
      <c r="L371" s="1075"/>
      <c r="M371" s="1075"/>
      <c r="N371" s="1075"/>
      <c r="O371" s="1075"/>
      <c r="P371" s="1075"/>
      <c r="Q371" s="1075"/>
      <c r="R371" s="1075"/>
      <c r="S371" s="1075"/>
      <c r="T371" s="1075"/>
      <c r="U371" s="1075"/>
      <c r="V371" s="1075"/>
      <c r="W371" s="1075"/>
      <c r="X371" s="1075"/>
      <c r="Y371" s="1075"/>
      <c r="Z371" s="1075"/>
      <c r="AA371" s="1075"/>
    </row>
    <row r="372" spans="1:27" ht="12.75" customHeight="1">
      <c r="A372" s="1075"/>
      <c r="B372" s="1075"/>
      <c r="C372" s="1075"/>
      <c r="D372" s="1075"/>
      <c r="E372" s="1075"/>
      <c r="F372" s="1075"/>
      <c r="G372" s="1075"/>
      <c r="H372" s="1075"/>
      <c r="I372" s="1075"/>
      <c r="J372" s="1075"/>
      <c r="K372" s="1075"/>
      <c r="L372" s="1075"/>
      <c r="M372" s="1075"/>
      <c r="N372" s="1075"/>
      <c r="O372" s="1075"/>
      <c r="P372" s="1075"/>
      <c r="Q372" s="1075"/>
      <c r="R372" s="1075"/>
      <c r="S372" s="1075"/>
      <c r="T372" s="1075"/>
      <c r="U372" s="1075"/>
      <c r="V372" s="1075"/>
      <c r="W372" s="1075"/>
      <c r="X372" s="1075"/>
      <c r="Y372" s="1075"/>
      <c r="Z372" s="1075"/>
      <c r="AA372" s="1075"/>
    </row>
    <row r="373" spans="1:27" ht="12.75" customHeight="1">
      <c r="A373" s="1075"/>
      <c r="B373" s="1075"/>
      <c r="C373" s="1075"/>
      <c r="D373" s="1075"/>
      <c r="E373" s="1075"/>
      <c r="F373" s="1075"/>
      <c r="G373" s="1075"/>
      <c r="H373" s="1075"/>
      <c r="I373" s="1075"/>
      <c r="J373" s="1075"/>
      <c r="K373" s="1075"/>
      <c r="L373" s="1075"/>
      <c r="M373" s="1075"/>
      <c r="N373" s="1075"/>
      <c r="O373" s="1075"/>
      <c r="P373" s="1075"/>
      <c r="Q373" s="1075"/>
      <c r="R373" s="1075"/>
      <c r="S373" s="1075"/>
      <c r="T373" s="1075"/>
      <c r="U373" s="1075"/>
      <c r="V373" s="1075"/>
      <c r="W373" s="1075"/>
      <c r="X373" s="1075"/>
      <c r="Y373" s="1075"/>
      <c r="Z373" s="1075"/>
      <c r="AA373" s="1075"/>
    </row>
    <row r="374" spans="1:27" ht="12.75" customHeight="1">
      <c r="A374" s="1075"/>
      <c r="B374" s="1075"/>
      <c r="C374" s="1075"/>
      <c r="D374" s="1075"/>
      <c r="E374" s="1075"/>
      <c r="F374" s="1075"/>
      <c r="G374" s="1075"/>
      <c r="H374" s="1075"/>
      <c r="I374" s="1075"/>
      <c r="J374" s="1075"/>
      <c r="K374" s="1075"/>
      <c r="L374" s="1075"/>
      <c r="M374" s="1075"/>
      <c r="N374" s="1075"/>
      <c r="O374" s="1075"/>
      <c r="P374" s="1075"/>
      <c r="Q374" s="1075"/>
      <c r="R374" s="1075"/>
      <c r="S374" s="1075"/>
      <c r="T374" s="1075"/>
      <c r="U374" s="1075"/>
      <c r="V374" s="1075"/>
      <c r="W374" s="1075"/>
      <c r="X374" s="1075"/>
      <c r="Y374" s="1075"/>
      <c r="Z374" s="1075"/>
      <c r="AA374" s="1075"/>
    </row>
    <row r="375" spans="1:27" ht="12.75" customHeight="1">
      <c r="A375" s="1075"/>
      <c r="B375" s="1075"/>
      <c r="C375" s="1075"/>
      <c r="D375" s="1075"/>
      <c r="E375" s="1075"/>
      <c r="F375" s="1075"/>
      <c r="G375" s="1075"/>
      <c r="H375" s="1075"/>
      <c r="I375" s="1075"/>
      <c r="J375" s="1075"/>
      <c r="K375" s="1075"/>
      <c r="L375" s="1075"/>
      <c r="M375" s="1075"/>
      <c r="N375" s="1075"/>
      <c r="O375" s="1075"/>
      <c r="P375" s="1075"/>
      <c r="Q375" s="1075"/>
      <c r="R375" s="1075"/>
      <c r="S375" s="1075"/>
      <c r="T375" s="1075"/>
      <c r="U375" s="1075"/>
      <c r="V375" s="1075"/>
      <c r="W375" s="1075"/>
      <c r="X375" s="1075"/>
      <c r="Y375" s="1075"/>
      <c r="Z375" s="1075"/>
      <c r="AA375" s="1075"/>
    </row>
    <row r="376" spans="1:27" ht="12.75" customHeight="1">
      <c r="A376" s="1075"/>
      <c r="B376" s="1075"/>
      <c r="C376" s="1075"/>
      <c r="D376" s="1075"/>
      <c r="E376" s="1075"/>
      <c r="F376" s="1075"/>
      <c r="G376" s="1075"/>
      <c r="H376" s="1075"/>
      <c r="I376" s="1075"/>
      <c r="J376" s="1075"/>
      <c r="K376" s="1075"/>
      <c r="L376" s="1075"/>
      <c r="M376" s="1075"/>
      <c r="N376" s="1075"/>
      <c r="O376" s="1075"/>
      <c r="P376" s="1075"/>
      <c r="Q376" s="1075"/>
      <c r="R376" s="1075"/>
      <c r="S376" s="1075"/>
      <c r="T376" s="1075"/>
      <c r="U376" s="1075"/>
      <c r="V376" s="1075"/>
      <c r="W376" s="1075"/>
      <c r="X376" s="1075"/>
      <c r="Y376" s="1075"/>
      <c r="Z376" s="1075"/>
      <c r="AA376" s="1075"/>
    </row>
    <row r="377" spans="1:27" ht="12.75" customHeight="1">
      <c r="A377" s="1075"/>
      <c r="B377" s="1075"/>
      <c r="C377" s="1075"/>
      <c r="D377" s="1075"/>
      <c r="E377" s="1075"/>
      <c r="F377" s="1075"/>
      <c r="G377" s="1075"/>
      <c r="H377" s="1075"/>
      <c r="I377" s="1075"/>
      <c r="J377" s="1075"/>
      <c r="K377" s="1075"/>
      <c r="L377" s="1075"/>
      <c r="M377" s="1075"/>
      <c r="N377" s="1075"/>
      <c r="O377" s="1075"/>
      <c r="P377" s="1075"/>
      <c r="Q377" s="1075"/>
      <c r="R377" s="1075"/>
      <c r="S377" s="1075"/>
      <c r="T377" s="1075"/>
      <c r="U377" s="1075"/>
      <c r="V377" s="1075"/>
      <c r="W377" s="1075"/>
      <c r="X377" s="1075"/>
      <c r="Y377" s="1075"/>
      <c r="Z377" s="1075"/>
      <c r="AA377" s="1075"/>
    </row>
    <row r="378" spans="1:27" ht="12.75" customHeight="1">
      <c r="A378" s="1075"/>
      <c r="B378" s="1075"/>
      <c r="C378" s="1075"/>
      <c r="D378" s="1075"/>
      <c r="E378" s="1075"/>
      <c r="F378" s="1075"/>
      <c r="G378" s="1075"/>
      <c r="H378" s="1075"/>
      <c r="I378" s="1075"/>
      <c r="J378" s="1075"/>
      <c r="K378" s="1075"/>
      <c r="L378" s="1075"/>
      <c r="M378" s="1075"/>
      <c r="N378" s="1075"/>
      <c r="O378" s="1075"/>
      <c r="P378" s="1075"/>
      <c r="Q378" s="1075"/>
      <c r="R378" s="1075"/>
      <c r="S378" s="1075"/>
      <c r="T378" s="1075"/>
      <c r="U378" s="1075"/>
      <c r="V378" s="1075"/>
      <c r="W378" s="1075"/>
      <c r="X378" s="1075"/>
      <c r="Y378" s="1075"/>
      <c r="Z378" s="1075"/>
      <c r="AA378" s="1075"/>
    </row>
    <row r="379" spans="1:27" ht="12.75" customHeight="1">
      <c r="A379" s="1075"/>
      <c r="B379" s="1075"/>
      <c r="C379" s="1075"/>
      <c r="D379" s="1075"/>
      <c r="E379" s="1075"/>
      <c r="F379" s="1075"/>
      <c r="G379" s="1075"/>
      <c r="H379" s="1075"/>
      <c r="I379" s="1075"/>
      <c r="J379" s="1075"/>
      <c r="K379" s="1075"/>
      <c r="L379" s="1075"/>
      <c r="M379" s="1075"/>
      <c r="N379" s="1075"/>
      <c r="O379" s="1075"/>
      <c r="P379" s="1075"/>
      <c r="Q379" s="1075"/>
      <c r="R379" s="1075"/>
      <c r="S379" s="1075"/>
      <c r="T379" s="1075"/>
      <c r="U379" s="1075"/>
      <c r="V379" s="1075"/>
      <c r="W379" s="1075"/>
      <c r="X379" s="1075"/>
      <c r="Y379" s="1075"/>
      <c r="Z379" s="1075"/>
      <c r="AA379" s="1075"/>
    </row>
    <row r="380" spans="1:27" ht="12.75" customHeight="1">
      <c r="A380" s="1075"/>
      <c r="B380" s="1075"/>
      <c r="C380" s="1075"/>
      <c r="D380" s="1075"/>
      <c r="E380" s="1075"/>
      <c r="F380" s="1075"/>
      <c r="G380" s="1075"/>
      <c r="H380" s="1075"/>
      <c r="I380" s="1075"/>
      <c r="J380" s="1075"/>
      <c r="K380" s="1075"/>
      <c r="L380" s="1075"/>
      <c r="M380" s="1075"/>
      <c r="N380" s="1075"/>
      <c r="O380" s="1075"/>
      <c r="P380" s="1075"/>
      <c r="Q380" s="1075"/>
      <c r="R380" s="1075"/>
      <c r="S380" s="1075"/>
      <c r="T380" s="1075"/>
      <c r="U380" s="1075"/>
      <c r="V380" s="1075"/>
      <c r="W380" s="1075"/>
      <c r="X380" s="1075"/>
      <c r="Y380" s="1075"/>
      <c r="Z380" s="1075"/>
      <c r="AA380" s="1075"/>
    </row>
    <row r="381" spans="1:27" ht="12.75" customHeight="1">
      <c r="A381" s="1075"/>
      <c r="B381" s="1075"/>
      <c r="C381" s="1075"/>
      <c r="D381" s="1075"/>
      <c r="E381" s="1075"/>
      <c r="F381" s="1075"/>
      <c r="G381" s="1075"/>
      <c r="H381" s="1075"/>
      <c r="I381" s="1075"/>
      <c r="J381" s="1075"/>
      <c r="K381" s="1075"/>
      <c r="L381" s="1075"/>
      <c r="M381" s="1075"/>
      <c r="N381" s="1075"/>
      <c r="O381" s="1075"/>
      <c r="P381" s="1075"/>
      <c r="Q381" s="1075"/>
      <c r="R381" s="1075"/>
      <c r="S381" s="1075"/>
      <c r="T381" s="1075"/>
      <c r="U381" s="1075"/>
      <c r="V381" s="1075"/>
      <c r="W381" s="1075"/>
      <c r="X381" s="1075"/>
      <c r="Y381" s="1075"/>
      <c r="Z381" s="1075"/>
      <c r="AA381" s="1075"/>
    </row>
    <row r="382" spans="1:27" ht="12.75" customHeight="1">
      <c r="A382" s="1075"/>
      <c r="B382" s="1075"/>
      <c r="C382" s="1075"/>
      <c r="D382" s="1075"/>
      <c r="E382" s="1075"/>
      <c r="F382" s="1075"/>
      <c r="G382" s="1075"/>
      <c r="H382" s="1075"/>
      <c r="I382" s="1075"/>
      <c r="J382" s="1075"/>
      <c r="K382" s="1075"/>
      <c r="L382" s="1075"/>
      <c r="M382" s="1075"/>
      <c r="N382" s="1075"/>
      <c r="O382" s="1075"/>
      <c r="P382" s="1075"/>
      <c r="Q382" s="1075"/>
      <c r="R382" s="1075"/>
      <c r="S382" s="1075"/>
      <c r="T382" s="1075"/>
      <c r="U382" s="1075"/>
      <c r="V382" s="1075"/>
      <c r="W382" s="1075"/>
      <c r="X382" s="1075"/>
      <c r="Y382" s="1075"/>
      <c r="Z382" s="1075"/>
      <c r="AA382" s="1075"/>
    </row>
    <row r="383" spans="1:27" ht="12.75" customHeight="1">
      <c r="A383" s="1075"/>
      <c r="B383" s="1075"/>
      <c r="C383" s="1075"/>
      <c r="D383" s="1075"/>
      <c r="E383" s="1075"/>
      <c r="F383" s="1075"/>
      <c r="G383" s="1075"/>
      <c r="H383" s="1075"/>
      <c r="I383" s="1075"/>
      <c r="J383" s="1075"/>
      <c r="K383" s="1075"/>
      <c r="L383" s="1075"/>
      <c r="M383" s="1075"/>
      <c r="N383" s="1075"/>
      <c r="O383" s="1075"/>
      <c r="P383" s="1075"/>
      <c r="Q383" s="1075"/>
      <c r="R383" s="1075"/>
      <c r="S383" s="1075"/>
      <c r="T383" s="1075"/>
      <c r="U383" s="1075"/>
      <c r="V383" s="1075"/>
      <c r="W383" s="1075"/>
      <c r="X383" s="1075"/>
      <c r="Y383" s="1075"/>
      <c r="Z383" s="1075"/>
      <c r="AA383" s="1075"/>
    </row>
    <row r="384" spans="1:27" ht="12.75" customHeight="1">
      <c r="A384" s="1075"/>
      <c r="B384" s="1075"/>
      <c r="C384" s="1075"/>
      <c r="D384" s="1075"/>
      <c r="E384" s="1075"/>
      <c r="F384" s="1075"/>
      <c r="G384" s="1075"/>
      <c r="H384" s="1075"/>
      <c r="I384" s="1075"/>
      <c r="J384" s="1075"/>
      <c r="K384" s="1075"/>
      <c r="L384" s="1075"/>
      <c r="M384" s="1075"/>
      <c r="N384" s="1075"/>
      <c r="O384" s="1075"/>
      <c r="P384" s="1075"/>
      <c r="Q384" s="1075"/>
      <c r="R384" s="1075"/>
      <c r="S384" s="1075"/>
      <c r="T384" s="1075"/>
      <c r="U384" s="1075"/>
      <c r="V384" s="1075"/>
      <c r="W384" s="1075"/>
      <c r="X384" s="1075"/>
      <c r="Y384" s="1075"/>
      <c r="Z384" s="1075"/>
      <c r="AA384" s="1075"/>
    </row>
    <row r="385" spans="1:27" ht="12.75" customHeight="1">
      <c r="A385" s="1075"/>
      <c r="B385" s="1075"/>
      <c r="C385" s="1075"/>
      <c r="D385" s="1075"/>
      <c r="E385" s="1075"/>
      <c r="F385" s="1075"/>
      <c r="G385" s="1075"/>
      <c r="H385" s="1075"/>
      <c r="I385" s="1075"/>
      <c r="J385" s="1075"/>
      <c r="K385" s="1075"/>
      <c r="L385" s="1075"/>
      <c r="M385" s="1075"/>
      <c r="N385" s="1075"/>
      <c r="O385" s="1075"/>
      <c r="P385" s="1075"/>
      <c r="Q385" s="1075"/>
      <c r="R385" s="1075"/>
      <c r="S385" s="1075"/>
      <c r="T385" s="1075"/>
      <c r="U385" s="1075"/>
      <c r="V385" s="1075"/>
      <c r="W385" s="1075"/>
      <c r="X385" s="1075"/>
      <c r="Y385" s="1075"/>
      <c r="Z385" s="1075"/>
      <c r="AA385" s="1075"/>
    </row>
    <row r="386" spans="1:27" ht="12.75" customHeight="1">
      <c r="A386" s="1075"/>
      <c r="B386" s="1075"/>
      <c r="C386" s="1075"/>
      <c r="D386" s="1075"/>
      <c r="E386" s="1075"/>
      <c r="F386" s="1075"/>
      <c r="G386" s="1075"/>
      <c r="H386" s="1075"/>
      <c r="I386" s="1075"/>
      <c r="J386" s="1075"/>
      <c r="K386" s="1075"/>
      <c r="L386" s="1075"/>
      <c r="M386" s="1075"/>
      <c r="N386" s="1075"/>
      <c r="O386" s="1075"/>
      <c r="P386" s="1075"/>
      <c r="Q386" s="1075"/>
      <c r="R386" s="1075"/>
      <c r="S386" s="1075"/>
      <c r="T386" s="1075"/>
      <c r="U386" s="1075"/>
      <c r="V386" s="1075"/>
      <c r="W386" s="1075"/>
      <c r="X386" s="1075"/>
      <c r="Y386" s="1075"/>
      <c r="Z386" s="1075"/>
      <c r="AA386" s="1075"/>
    </row>
    <row r="387" spans="1:27" ht="12.75" customHeight="1">
      <c r="A387" s="1075"/>
      <c r="B387" s="1075"/>
      <c r="C387" s="1075"/>
      <c r="D387" s="1075"/>
      <c r="E387" s="1075"/>
      <c r="F387" s="1075"/>
      <c r="G387" s="1075"/>
      <c r="H387" s="1075"/>
      <c r="I387" s="1075"/>
      <c r="J387" s="1075"/>
      <c r="K387" s="1075"/>
      <c r="L387" s="1075"/>
      <c r="M387" s="1075"/>
      <c r="N387" s="1075"/>
      <c r="O387" s="1075"/>
      <c r="P387" s="1075"/>
      <c r="Q387" s="1075"/>
      <c r="R387" s="1075"/>
      <c r="S387" s="1075"/>
      <c r="T387" s="1075"/>
      <c r="U387" s="1075"/>
      <c r="V387" s="1075"/>
      <c r="W387" s="1075"/>
      <c r="X387" s="1075"/>
      <c r="Y387" s="1075"/>
      <c r="Z387" s="1075"/>
      <c r="AA387" s="1075"/>
    </row>
    <row r="388" spans="1:27" ht="12.75" customHeight="1">
      <c r="A388" s="1075"/>
      <c r="B388" s="1075"/>
      <c r="C388" s="1075"/>
      <c r="D388" s="1075"/>
      <c r="E388" s="1075"/>
      <c r="F388" s="1075"/>
      <c r="G388" s="1075"/>
      <c r="H388" s="1075"/>
      <c r="I388" s="1075"/>
      <c r="J388" s="1075"/>
      <c r="K388" s="1075"/>
      <c r="L388" s="1075"/>
      <c r="M388" s="1075"/>
      <c r="N388" s="1075"/>
      <c r="O388" s="1075"/>
      <c r="P388" s="1075"/>
      <c r="Q388" s="1075"/>
      <c r="R388" s="1075"/>
      <c r="S388" s="1075"/>
      <c r="T388" s="1075"/>
      <c r="U388" s="1075"/>
      <c r="V388" s="1075"/>
      <c r="W388" s="1075"/>
      <c r="X388" s="1075"/>
      <c r="Y388" s="1075"/>
      <c r="Z388" s="1075"/>
      <c r="AA388" s="1075"/>
    </row>
    <row r="389" spans="1:27" ht="12.75" customHeight="1">
      <c r="A389" s="1075"/>
      <c r="B389" s="1075"/>
      <c r="C389" s="1075"/>
      <c r="D389" s="1075"/>
      <c r="E389" s="1075"/>
      <c r="F389" s="1075"/>
      <c r="G389" s="1075"/>
      <c r="H389" s="1075"/>
      <c r="I389" s="1075"/>
      <c r="J389" s="1075"/>
      <c r="K389" s="1075"/>
      <c r="L389" s="1075"/>
      <c r="M389" s="1075"/>
      <c r="N389" s="1075"/>
      <c r="O389" s="1075"/>
      <c r="P389" s="1075"/>
      <c r="Q389" s="1075"/>
      <c r="R389" s="1075"/>
      <c r="S389" s="1075"/>
      <c r="T389" s="1075"/>
      <c r="U389" s="1075"/>
      <c r="V389" s="1075"/>
      <c r="W389" s="1075"/>
      <c r="X389" s="1075"/>
      <c r="Y389" s="1075"/>
      <c r="Z389" s="1075"/>
      <c r="AA389" s="1075"/>
    </row>
    <row r="390" spans="1:27" ht="12.75" customHeight="1">
      <c r="A390" s="1075"/>
      <c r="B390" s="1075"/>
      <c r="C390" s="1075"/>
      <c r="D390" s="1075"/>
      <c r="E390" s="1075"/>
      <c r="F390" s="1075"/>
      <c r="G390" s="1075"/>
      <c r="H390" s="1075"/>
      <c r="I390" s="1075"/>
      <c r="J390" s="1075"/>
      <c r="K390" s="1075"/>
      <c r="L390" s="1075"/>
      <c r="M390" s="1075"/>
      <c r="N390" s="1075"/>
      <c r="O390" s="1075"/>
      <c r="P390" s="1075"/>
      <c r="Q390" s="1075"/>
      <c r="R390" s="1075"/>
      <c r="S390" s="1075"/>
      <c r="T390" s="1075"/>
      <c r="U390" s="1075"/>
      <c r="V390" s="1075"/>
      <c r="W390" s="1075"/>
      <c r="X390" s="1075"/>
      <c r="Y390" s="1075"/>
      <c r="Z390" s="1075"/>
      <c r="AA390" s="1075"/>
    </row>
    <row r="391" spans="1:27" ht="12.75" customHeight="1">
      <c r="A391" s="1075"/>
      <c r="B391" s="1075"/>
      <c r="C391" s="1075"/>
      <c r="D391" s="1075"/>
      <c r="E391" s="1075"/>
      <c r="F391" s="1075"/>
      <c r="G391" s="1075"/>
      <c r="H391" s="1075"/>
      <c r="I391" s="1075"/>
      <c r="J391" s="1075"/>
      <c r="K391" s="1075"/>
      <c r="L391" s="1075"/>
      <c r="M391" s="1075"/>
      <c r="N391" s="1075"/>
      <c r="O391" s="1075"/>
      <c r="P391" s="1075"/>
      <c r="Q391" s="1075"/>
      <c r="R391" s="1075"/>
      <c r="S391" s="1075"/>
      <c r="T391" s="1075"/>
      <c r="U391" s="1075"/>
      <c r="V391" s="1075"/>
      <c r="W391" s="1075"/>
      <c r="X391" s="1075"/>
      <c r="Y391" s="1075"/>
      <c r="Z391" s="1075"/>
      <c r="AA391" s="1075"/>
    </row>
    <row r="392" spans="1:27" ht="12.75" customHeight="1">
      <c r="A392" s="1075"/>
      <c r="B392" s="1075"/>
      <c r="C392" s="1075"/>
      <c r="D392" s="1075"/>
      <c r="E392" s="1075"/>
      <c r="F392" s="1075"/>
      <c r="G392" s="1075"/>
      <c r="H392" s="1075"/>
      <c r="I392" s="1075"/>
      <c r="J392" s="1075"/>
      <c r="K392" s="1075"/>
      <c r="L392" s="1075"/>
      <c r="M392" s="1075"/>
      <c r="N392" s="1075"/>
      <c r="O392" s="1075"/>
      <c r="P392" s="1075"/>
      <c r="Q392" s="1075"/>
      <c r="R392" s="1075"/>
      <c r="S392" s="1075"/>
      <c r="T392" s="1075"/>
      <c r="U392" s="1075"/>
      <c r="V392" s="1075"/>
      <c r="W392" s="1075"/>
      <c r="X392" s="1075"/>
      <c r="Y392" s="1075"/>
      <c r="Z392" s="1075"/>
      <c r="AA392" s="1075"/>
    </row>
    <row r="393" spans="1:27" ht="12.75" customHeight="1">
      <c r="A393" s="1075"/>
      <c r="B393" s="1075"/>
      <c r="C393" s="1075"/>
      <c r="D393" s="1075"/>
      <c r="E393" s="1075"/>
      <c r="F393" s="1075"/>
      <c r="G393" s="1075"/>
      <c r="H393" s="1075"/>
      <c r="I393" s="1075"/>
      <c r="J393" s="1075"/>
      <c r="K393" s="1075"/>
      <c r="L393" s="1075"/>
      <c r="M393" s="1075"/>
      <c r="N393" s="1075"/>
      <c r="O393" s="1075"/>
      <c r="P393" s="1075"/>
      <c r="Q393" s="1075"/>
      <c r="R393" s="1075"/>
      <c r="S393" s="1075"/>
      <c r="T393" s="1075"/>
      <c r="U393" s="1075"/>
      <c r="V393" s="1075"/>
      <c r="W393" s="1075"/>
      <c r="X393" s="1075"/>
      <c r="Y393" s="1075"/>
      <c r="Z393" s="1075"/>
      <c r="AA393" s="1075"/>
    </row>
    <row r="394" spans="1:27" ht="12.75" customHeight="1">
      <c r="A394" s="1075"/>
      <c r="B394" s="1075"/>
      <c r="C394" s="1075"/>
      <c r="D394" s="1075"/>
      <c r="E394" s="1075"/>
      <c r="F394" s="1075"/>
      <c r="G394" s="1075"/>
      <c r="H394" s="1075"/>
      <c r="I394" s="1075"/>
      <c r="J394" s="1075"/>
      <c r="K394" s="1075"/>
      <c r="L394" s="1075"/>
      <c r="M394" s="1075"/>
      <c r="N394" s="1075"/>
      <c r="O394" s="1075"/>
      <c r="P394" s="1075"/>
      <c r="Q394" s="1075"/>
      <c r="R394" s="1075"/>
      <c r="S394" s="1075"/>
      <c r="T394" s="1075"/>
      <c r="U394" s="1075"/>
      <c r="V394" s="1075"/>
      <c r="W394" s="1075"/>
      <c r="X394" s="1075"/>
      <c r="Y394" s="1075"/>
      <c r="Z394" s="1075"/>
      <c r="AA394" s="1075"/>
    </row>
    <row r="395" spans="1:27" ht="12.75" customHeight="1">
      <c r="A395" s="1075"/>
      <c r="B395" s="1075"/>
      <c r="C395" s="1075"/>
      <c r="D395" s="1075"/>
      <c r="E395" s="1075"/>
      <c r="F395" s="1075"/>
      <c r="G395" s="1075"/>
      <c r="H395" s="1075"/>
      <c r="I395" s="1075"/>
      <c r="J395" s="1075"/>
      <c r="K395" s="1075"/>
      <c r="L395" s="1075"/>
      <c r="M395" s="1075"/>
      <c r="N395" s="1075"/>
      <c r="O395" s="1075"/>
      <c r="P395" s="1075"/>
      <c r="Q395" s="1075"/>
      <c r="R395" s="1075"/>
      <c r="S395" s="1075"/>
      <c r="T395" s="1075"/>
      <c r="U395" s="1075"/>
      <c r="V395" s="1075"/>
      <c r="W395" s="1075"/>
      <c r="X395" s="1075"/>
      <c r="Y395" s="1075"/>
      <c r="Z395" s="1075"/>
      <c r="AA395" s="1075"/>
    </row>
    <row r="396" spans="1:27" ht="12.75" customHeight="1">
      <c r="A396" s="1075"/>
      <c r="B396" s="1075"/>
      <c r="C396" s="1075"/>
      <c r="D396" s="1075"/>
      <c r="E396" s="1075"/>
      <c r="F396" s="1075"/>
      <c r="G396" s="1075"/>
      <c r="H396" s="1075"/>
      <c r="I396" s="1075"/>
      <c r="J396" s="1075"/>
      <c r="K396" s="1075"/>
      <c r="L396" s="1075"/>
      <c r="M396" s="1075"/>
      <c r="N396" s="1075"/>
      <c r="O396" s="1075"/>
      <c r="P396" s="1075"/>
      <c r="Q396" s="1075"/>
      <c r="R396" s="1075"/>
      <c r="S396" s="1075"/>
      <c r="T396" s="1075"/>
      <c r="U396" s="1075"/>
      <c r="V396" s="1075"/>
      <c r="W396" s="1075"/>
      <c r="X396" s="1075"/>
      <c r="Y396" s="1075"/>
      <c r="Z396" s="1075"/>
      <c r="AA396" s="1075"/>
    </row>
    <row r="397" spans="1:27" ht="12.75" customHeight="1">
      <c r="A397" s="1075"/>
      <c r="B397" s="1075"/>
      <c r="C397" s="1075"/>
      <c r="D397" s="1075"/>
      <c r="E397" s="1075"/>
      <c r="F397" s="1075"/>
      <c r="G397" s="1075"/>
      <c r="H397" s="1075"/>
      <c r="I397" s="1075"/>
      <c r="J397" s="1075"/>
      <c r="K397" s="1075"/>
      <c r="L397" s="1075"/>
      <c r="M397" s="1075"/>
      <c r="N397" s="1075"/>
      <c r="O397" s="1075"/>
      <c r="P397" s="1075"/>
      <c r="Q397" s="1075"/>
      <c r="R397" s="1075"/>
      <c r="S397" s="1075"/>
      <c r="T397" s="1075"/>
      <c r="U397" s="1075"/>
      <c r="V397" s="1075"/>
      <c r="W397" s="1075"/>
      <c r="X397" s="1075"/>
      <c r="Y397" s="1075"/>
      <c r="Z397" s="1075"/>
      <c r="AA397" s="1075"/>
    </row>
    <row r="398" spans="1:27" ht="12.75" customHeight="1">
      <c r="A398" s="1075"/>
      <c r="B398" s="1075"/>
      <c r="C398" s="1075"/>
      <c r="D398" s="1075"/>
      <c r="E398" s="1075"/>
      <c r="F398" s="1075"/>
      <c r="G398" s="1075"/>
      <c r="H398" s="1075"/>
      <c r="I398" s="1075"/>
      <c r="J398" s="1075"/>
      <c r="K398" s="1075"/>
      <c r="L398" s="1075"/>
      <c r="M398" s="1075"/>
      <c r="N398" s="1075"/>
      <c r="O398" s="1075"/>
      <c r="P398" s="1075"/>
      <c r="Q398" s="1075"/>
      <c r="R398" s="1075"/>
      <c r="S398" s="1075"/>
      <c r="T398" s="1075"/>
      <c r="U398" s="1075"/>
      <c r="V398" s="1075"/>
      <c r="W398" s="1075"/>
      <c r="X398" s="1075"/>
      <c r="Y398" s="1075"/>
      <c r="Z398" s="1075"/>
      <c r="AA398" s="1075"/>
    </row>
    <row r="399" spans="1:27" ht="12.75" customHeight="1">
      <c r="A399" s="1075"/>
      <c r="B399" s="1075"/>
      <c r="C399" s="1075"/>
      <c r="D399" s="1075"/>
      <c r="E399" s="1075"/>
      <c r="F399" s="1075"/>
      <c r="G399" s="1075"/>
      <c r="H399" s="1075"/>
      <c r="I399" s="1075"/>
      <c r="J399" s="1075"/>
      <c r="K399" s="1075"/>
      <c r="L399" s="1075"/>
      <c r="M399" s="1075"/>
      <c r="N399" s="1075"/>
      <c r="O399" s="1075"/>
      <c r="P399" s="1075"/>
      <c r="Q399" s="1075"/>
      <c r="R399" s="1075"/>
      <c r="S399" s="1075"/>
      <c r="T399" s="1075"/>
      <c r="U399" s="1075"/>
      <c r="V399" s="1075"/>
      <c r="W399" s="1075"/>
      <c r="X399" s="1075"/>
      <c r="Y399" s="1075"/>
      <c r="Z399" s="1075"/>
      <c r="AA399" s="1075"/>
    </row>
    <row r="400" spans="1:27" ht="12.75" customHeight="1">
      <c r="A400" s="1075"/>
      <c r="B400" s="1075"/>
      <c r="C400" s="1075"/>
      <c r="D400" s="1075"/>
      <c r="E400" s="1075"/>
      <c r="F400" s="1075"/>
      <c r="G400" s="1075"/>
      <c r="H400" s="1075"/>
      <c r="I400" s="1075"/>
      <c r="J400" s="1075"/>
      <c r="K400" s="1075"/>
      <c r="L400" s="1075"/>
      <c r="M400" s="1075"/>
      <c r="N400" s="1075"/>
      <c r="O400" s="1075"/>
      <c r="P400" s="1075"/>
      <c r="Q400" s="1075"/>
      <c r="R400" s="1075"/>
      <c r="S400" s="1075"/>
      <c r="T400" s="1075"/>
      <c r="U400" s="1075"/>
      <c r="V400" s="1075"/>
      <c r="W400" s="1075"/>
      <c r="X400" s="1075"/>
      <c r="Y400" s="1075"/>
      <c r="Z400" s="1075"/>
      <c r="AA400" s="1075"/>
    </row>
    <row r="401" spans="1:27" ht="12.75" customHeight="1">
      <c r="A401" s="1075"/>
      <c r="B401" s="1075"/>
      <c r="C401" s="1075"/>
      <c r="D401" s="1075"/>
      <c r="E401" s="1075"/>
      <c r="F401" s="1075"/>
      <c r="G401" s="1075"/>
      <c r="H401" s="1075"/>
      <c r="I401" s="1075"/>
      <c r="J401" s="1075"/>
      <c r="K401" s="1075"/>
      <c r="L401" s="1075"/>
      <c r="M401" s="1075"/>
      <c r="N401" s="1075"/>
      <c r="O401" s="1075"/>
      <c r="P401" s="1075"/>
      <c r="Q401" s="1075"/>
      <c r="R401" s="1075"/>
      <c r="S401" s="1075"/>
      <c r="T401" s="1075"/>
      <c r="U401" s="1075"/>
      <c r="V401" s="1075"/>
      <c r="W401" s="1075"/>
      <c r="X401" s="1075"/>
      <c r="Y401" s="1075"/>
      <c r="Z401" s="1075"/>
      <c r="AA401" s="1075"/>
    </row>
    <row r="402" spans="1:27" ht="12.75" customHeight="1">
      <c r="A402" s="1075"/>
      <c r="B402" s="1075"/>
      <c r="C402" s="1075"/>
      <c r="D402" s="1075"/>
      <c r="E402" s="1075"/>
      <c r="F402" s="1075"/>
      <c r="G402" s="1075"/>
      <c r="H402" s="1075"/>
      <c r="I402" s="1075"/>
      <c r="J402" s="1075"/>
      <c r="K402" s="1075"/>
      <c r="L402" s="1075"/>
      <c r="M402" s="1075"/>
      <c r="N402" s="1075"/>
      <c r="O402" s="1075"/>
      <c r="P402" s="1075"/>
      <c r="Q402" s="1075"/>
      <c r="R402" s="1075"/>
      <c r="S402" s="1075"/>
      <c r="T402" s="1075"/>
      <c r="U402" s="1075"/>
      <c r="V402" s="1075"/>
      <c r="W402" s="1075"/>
      <c r="X402" s="1075"/>
      <c r="Y402" s="1075"/>
      <c r="Z402" s="1075"/>
      <c r="AA402" s="1075"/>
    </row>
    <row r="403" spans="1:27" ht="12.75" customHeight="1">
      <c r="A403" s="1075"/>
      <c r="B403" s="1075"/>
      <c r="C403" s="1075"/>
      <c r="D403" s="1075"/>
      <c r="E403" s="1075"/>
      <c r="F403" s="1075"/>
      <c r="G403" s="1075"/>
      <c r="H403" s="1075"/>
      <c r="I403" s="1075"/>
      <c r="J403" s="1075"/>
      <c r="K403" s="1075"/>
      <c r="L403" s="1075"/>
      <c r="M403" s="1075"/>
      <c r="N403" s="1075"/>
      <c r="O403" s="1075"/>
      <c r="P403" s="1075"/>
      <c r="Q403" s="1075"/>
      <c r="R403" s="1075"/>
      <c r="S403" s="1075"/>
      <c r="T403" s="1075"/>
      <c r="U403" s="1075"/>
      <c r="V403" s="1075"/>
      <c r="W403" s="1075"/>
      <c r="X403" s="1075"/>
      <c r="Y403" s="1075"/>
      <c r="Z403" s="1075"/>
      <c r="AA403" s="1075"/>
    </row>
    <row r="404" spans="1:27" ht="12.75" customHeight="1">
      <c r="A404" s="1075"/>
      <c r="B404" s="1075"/>
      <c r="C404" s="1075"/>
      <c r="D404" s="1075"/>
      <c r="E404" s="1075"/>
      <c r="F404" s="1075"/>
      <c r="G404" s="1075"/>
      <c r="H404" s="1075"/>
      <c r="I404" s="1075"/>
      <c r="J404" s="1075"/>
      <c r="K404" s="1075"/>
      <c r="L404" s="1075"/>
      <c r="M404" s="1075"/>
      <c r="N404" s="1075"/>
      <c r="O404" s="1075"/>
      <c r="P404" s="1075"/>
      <c r="Q404" s="1075"/>
      <c r="R404" s="1075"/>
      <c r="S404" s="1075"/>
      <c r="T404" s="1075"/>
      <c r="U404" s="1075"/>
      <c r="V404" s="1075"/>
      <c r="W404" s="1075"/>
      <c r="X404" s="1075"/>
      <c r="Y404" s="1075"/>
      <c r="Z404" s="1075"/>
      <c r="AA404" s="1075"/>
    </row>
    <row r="405" spans="1:27" ht="12.75" customHeight="1">
      <c r="A405" s="1075"/>
      <c r="B405" s="1075"/>
      <c r="C405" s="1075"/>
      <c r="D405" s="1075"/>
      <c r="E405" s="1075"/>
      <c r="F405" s="1075"/>
      <c r="G405" s="1075"/>
      <c r="H405" s="1075"/>
      <c r="I405" s="1075"/>
      <c r="J405" s="1075"/>
      <c r="K405" s="1075"/>
      <c r="L405" s="1075"/>
      <c r="M405" s="1075"/>
      <c r="N405" s="1075"/>
      <c r="O405" s="1075"/>
      <c r="P405" s="1075"/>
      <c r="Q405" s="1075"/>
      <c r="R405" s="1075"/>
      <c r="S405" s="1075"/>
      <c r="T405" s="1075"/>
      <c r="U405" s="1075"/>
      <c r="V405" s="1075"/>
      <c r="W405" s="1075"/>
      <c r="X405" s="1075"/>
      <c r="Y405" s="1075"/>
      <c r="Z405" s="1075"/>
      <c r="AA405" s="1075"/>
    </row>
    <row r="406" spans="1:27" ht="12.75" customHeight="1">
      <c r="A406" s="1075"/>
      <c r="B406" s="1075"/>
      <c r="C406" s="1075"/>
      <c r="D406" s="1075"/>
      <c r="E406" s="1075"/>
      <c r="F406" s="1075"/>
      <c r="G406" s="1075"/>
      <c r="H406" s="1075"/>
      <c r="I406" s="1075"/>
      <c r="J406" s="1075"/>
      <c r="K406" s="1075"/>
      <c r="L406" s="1075"/>
      <c r="M406" s="1075"/>
      <c r="N406" s="1075"/>
      <c r="O406" s="1075"/>
      <c r="P406" s="1075"/>
      <c r="Q406" s="1075"/>
      <c r="R406" s="1075"/>
      <c r="S406" s="1075"/>
      <c r="T406" s="1075"/>
      <c r="U406" s="1075"/>
      <c r="V406" s="1075"/>
      <c r="W406" s="1075"/>
      <c r="X406" s="1075"/>
      <c r="Y406" s="1075"/>
      <c r="Z406" s="1075"/>
      <c r="AA406" s="1075"/>
    </row>
    <row r="407" spans="1:27" ht="12.75" customHeight="1">
      <c r="A407" s="1075"/>
      <c r="B407" s="1075"/>
      <c r="C407" s="1075"/>
      <c r="D407" s="1075"/>
      <c r="E407" s="1075"/>
      <c r="F407" s="1075"/>
      <c r="G407" s="1075"/>
      <c r="H407" s="1075"/>
      <c r="I407" s="1075"/>
      <c r="J407" s="1075"/>
      <c r="K407" s="1075"/>
      <c r="L407" s="1075"/>
      <c r="M407" s="1075"/>
      <c r="N407" s="1075"/>
      <c r="O407" s="1075"/>
      <c r="P407" s="1075"/>
      <c r="Q407" s="1075"/>
      <c r="R407" s="1075"/>
      <c r="S407" s="1075"/>
      <c r="T407" s="1075"/>
      <c r="U407" s="1075"/>
      <c r="V407" s="1075"/>
      <c r="W407" s="1075"/>
      <c r="X407" s="1075"/>
      <c r="Y407" s="1075"/>
      <c r="Z407" s="1075"/>
      <c r="AA407" s="1075"/>
    </row>
    <row r="408" spans="1:27" ht="12.75" customHeight="1">
      <c r="A408" s="1075"/>
      <c r="B408" s="1075"/>
      <c r="C408" s="1075"/>
      <c r="D408" s="1075"/>
      <c r="E408" s="1075"/>
      <c r="F408" s="1075"/>
      <c r="G408" s="1075"/>
      <c r="H408" s="1075"/>
      <c r="I408" s="1075"/>
      <c r="J408" s="1075"/>
      <c r="K408" s="1075"/>
      <c r="L408" s="1075"/>
      <c r="M408" s="1075"/>
      <c r="N408" s="1075"/>
      <c r="O408" s="1075"/>
      <c r="P408" s="1075"/>
      <c r="Q408" s="1075"/>
      <c r="R408" s="1075"/>
      <c r="S408" s="1075"/>
      <c r="T408" s="1075"/>
      <c r="U408" s="1075"/>
      <c r="V408" s="1075"/>
      <c r="W408" s="1075"/>
      <c r="X408" s="1075"/>
      <c r="Y408" s="1075"/>
      <c r="Z408" s="1075"/>
      <c r="AA408" s="1075"/>
    </row>
    <row r="409" spans="1:27" ht="12.75" customHeight="1">
      <c r="A409" s="1075"/>
      <c r="B409" s="1075"/>
      <c r="C409" s="1075"/>
      <c r="D409" s="1075"/>
      <c r="E409" s="1075"/>
      <c r="F409" s="1075"/>
      <c r="G409" s="1075"/>
      <c r="H409" s="1075"/>
      <c r="I409" s="1075"/>
      <c r="J409" s="1075"/>
      <c r="K409" s="1075"/>
      <c r="L409" s="1075"/>
      <c r="M409" s="1075"/>
      <c r="N409" s="1075"/>
      <c r="O409" s="1075"/>
      <c r="P409" s="1075"/>
      <c r="Q409" s="1075"/>
      <c r="R409" s="1075"/>
      <c r="S409" s="1075"/>
      <c r="T409" s="1075"/>
      <c r="U409" s="1075"/>
      <c r="V409" s="1075"/>
      <c r="W409" s="1075"/>
      <c r="X409" s="1075"/>
      <c r="Y409" s="1075"/>
      <c r="Z409" s="1075"/>
      <c r="AA409" s="1075"/>
    </row>
    <row r="410" spans="1:27" ht="12.75" customHeight="1">
      <c r="A410" s="1075"/>
      <c r="B410" s="1075"/>
      <c r="C410" s="1075"/>
      <c r="D410" s="1075"/>
      <c r="E410" s="1075"/>
      <c r="F410" s="1075"/>
      <c r="G410" s="1075"/>
      <c r="H410" s="1075"/>
      <c r="I410" s="1075"/>
      <c r="J410" s="1075"/>
      <c r="K410" s="1075"/>
      <c r="L410" s="1075"/>
      <c r="M410" s="1075"/>
      <c r="N410" s="1075"/>
      <c r="O410" s="1075"/>
      <c r="P410" s="1075"/>
      <c r="Q410" s="1075"/>
      <c r="R410" s="1075"/>
      <c r="S410" s="1075"/>
      <c r="T410" s="1075"/>
      <c r="U410" s="1075"/>
      <c r="V410" s="1075"/>
      <c r="W410" s="1075"/>
      <c r="X410" s="1075"/>
      <c r="Y410" s="1075"/>
      <c r="Z410" s="1075"/>
      <c r="AA410" s="1075"/>
    </row>
    <row r="411" spans="1:27" ht="12.75" customHeight="1">
      <c r="A411" s="1075"/>
      <c r="B411" s="1075"/>
      <c r="C411" s="1075"/>
      <c r="D411" s="1075"/>
      <c r="E411" s="1075"/>
      <c r="F411" s="1075"/>
      <c r="G411" s="1075"/>
      <c r="H411" s="1075"/>
      <c r="I411" s="1075"/>
      <c r="J411" s="1075"/>
      <c r="K411" s="1075"/>
      <c r="L411" s="1075"/>
      <c r="M411" s="1075"/>
      <c r="N411" s="1075"/>
      <c r="O411" s="1075"/>
      <c r="P411" s="1075"/>
      <c r="Q411" s="1075"/>
      <c r="R411" s="1075"/>
      <c r="S411" s="1075"/>
      <c r="T411" s="1075"/>
      <c r="U411" s="1075"/>
      <c r="V411" s="1075"/>
      <c r="W411" s="1075"/>
      <c r="X411" s="1075"/>
      <c r="Y411" s="1075"/>
      <c r="Z411" s="1075"/>
      <c r="AA411" s="1075"/>
    </row>
    <row r="412" spans="1:27" ht="12.75" customHeight="1">
      <c r="A412" s="1075"/>
      <c r="B412" s="1075"/>
      <c r="C412" s="1075"/>
      <c r="D412" s="1075"/>
      <c r="E412" s="1075"/>
      <c r="F412" s="1075"/>
      <c r="G412" s="1075"/>
      <c r="H412" s="1075"/>
      <c r="I412" s="1075"/>
      <c r="J412" s="1075"/>
      <c r="K412" s="1075"/>
      <c r="L412" s="1075"/>
      <c r="M412" s="1075"/>
      <c r="N412" s="1075"/>
      <c r="O412" s="1075"/>
      <c r="P412" s="1075"/>
      <c r="Q412" s="1075"/>
      <c r="R412" s="1075"/>
      <c r="S412" s="1075"/>
      <c r="T412" s="1075"/>
      <c r="U412" s="1075"/>
      <c r="V412" s="1075"/>
      <c r="W412" s="1075"/>
      <c r="X412" s="1075"/>
      <c r="Y412" s="1075"/>
      <c r="Z412" s="1075"/>
      <c r="AA412" s="1075"/>
    </row>
    <row r="413" spans="1:27" ht="12.75" customHeight="1">
      <c r="A413" s="1075"/>
      <c r="B413" s="1075"/>
      <c r="C413" s="1075"/>
      <c r="D413" s="1075"/>
      <c r="E413" s="1075"/>
      <c r="F413" s="1075"/>
      <c r="G413" s="1075"/>
      <c r="H413" s="1075"/>
      <c r="I413" s="1075"/>
      <c r="J413" s="1075"/>
      <c r="K413" s="1075"/>
      <c r="L413" s="1075"/>
      <c r="M413" s="1075"/>
      <c r="N413" s="1075"/>
      <c r="O413" s="1075"/>
      <c r="P413" s="1075"/>
      <c r="Q413" s="1075"/>
      <c r="R413" s="1075"/>
      <c r="S413" s="1075"/>
      <c r="T413" s="1075"/>
      <c r="U413" s="1075"/>
      <c r="V413" s="1075"/>
      <c r="W413" s="1075"/>
      <c r="X413" s="1075"/>
      <c r="Y413" s="1075"/>
      <c r="Z413" s="1075"/>
      <c r="AA413" s="1075"/>
    </row>
    <row r="414" spans="1:27" ht="12.75" customHeight="1">
      <c r="A414" s="1075"/>
      <c r="B414" s="1075"/>
      <c r="C414" s="1075"/>
      <c r="D414" s="1075"/>
      <c r="E414" s="1075"/>
      <c r="F414" s="1075"/>
      <c r="G414" s="1075"/>
      <c r="H414" s="1075"/>
      <c r="I414" s="1075"/>
      <c r="J414" s="1075"/>
      <c r="K414" s="1075"/>
      <c r="L414" s="1075"/>
      <c r="M414" s="1075"/>
      <c r="N414" s="1075"/>
      <c r="O414" s="1075"/>
      <c r="P414" s="1075"/>
      <c r="Q414" s="1075"/>
      <c r="R414" s="1075"/>
      <c r="S414" s="1075"/>
      <c r="T414" s="1075"/>
      <c r="U414" s="1075"/>
      <c r="V414" s="1075"/>
      <c r="W414" s="1075"/>
      <c r="X414" s="1075"/>
      <c r="Y414" s="1075"/>
      <c r="Z414" s="1075"/>
      <c r="AA414" s="1075"/>
    </row>
    <row r="415" spans="1:27" ht="12.75" customHeight="1">
      <c r="A415" s="1075"/>
      <c r="B415" s="1075"/>
      <c r="C415" s="1075"/>
      <c r="D415" s="1075"/>
      <c r="E415" s="1075"/>
      <c r="F415" s="1075"/>
      <c r="G415" s="1075"/>
      <c r="H415" s="1075"/>
      <c r="I415" s="1075"/>
      <c r="J415" s="1075"/>
      <c r="K415" s="1075"/>
      <c r="L415" s="1075"/>
      <c r="M415" s="1075"/>
      <c r="N415" s="1075"/>
      <c r="O415" s="1075"/>
      <c r="P415" s="1075"/>
      <c r="Q415" s="1075"/>
      <c r="R415" s="1075"/>
      <c r="S415" s="1075"/>
      <c r="T415" s="1075"/>
      <c r="U415" s="1075"/>
      <c r="V415" s="1075"/>
      <c r="W415" s="1075"/>
      <c r="X415" s="1075"/>
      <c r="Y415" s="1075"/>
      <c r="Z415" s="1075"/>
      <c r="AA415" s="1075"/>
    </row>
    <row r="416" spans="1:27" ht="12.75" customHeight="1">
      <c r="A416" s="1075"/>
      <c r="B416" s="1075"/>
      <c r="C416" s="1075"/>
      <c r="D416" s="1075"/>
      <c r="E416" s="1075"/>
      <c r="F416" s="1075"/>
      <c r="G416" s="1075"/>
      <c r="H416" s="1075"/>
      <c r="I416" s="1075"/>
      <c r="J416" s="1075"/>
      <c r="K416" s="1075"/>
      <c r="L416" s="1075"/>
      <c r="M416" s="1075"/>
      <c r="N416" s="1075"/>
      <c r="O416" s="1075"/>
      <c r="P416" s="1075"/>
      <c r="Q416" s="1075"/>
      <c r="R416" s="1075"/>
      <c r="S416" s="1075"/>
      <c r="T416" s="1075"/>
      <c r="U416" s="1075"/>
      <c r="V416" s="1075"/>
      <c r="W416" s="1075"/>
      <c r="X416" s="1075"/>
      <c r="Y416" s="1075"/>
      <c r="Z416" s="1075"/>
      <c r="AA416" s="1075"/>
    </row>
    <row r="417" spans="1:27" ht="12.75" customHeight="1">
      <c r="A417" s="1075"/>
      <c r="B417" s="1075"/>
      <c r="C417" s="1075"/>
      <c r="D417" s="1075"/>
      <c r="E417" s="1075"/>
      <c r="F417" s="1075"/>
      <c r="G417" s="1075"/>
      <c r="H417" s="1075"/>
      <c r="I417" s="1075"/>
      <c r="J417" s="1075"/>
      <c r="K417" s="1075"/>
      <c r="L417" s="1075"/>
      <c r="M417" s="1075"/>
      <c r="N417" s="1075"/>
      <c r="O417" s="1075"/>
      <c r="P417" s="1075"/>
      <c r="Q417" s="1075"/>
      <c r="R417" s="1075"/>
      <c r="S417" s="1075"/>
      <c r="T417" s="1075"/>
      <c r="U417" s="1075"/>
      <c r="V417" s="1075"/>
      <c r="W417" s="1075"/>
      <c r="X417" s="1075"/>
      <c r="Y417" s="1075"/>
      <c r="Z417" s="1075"/>
      <c r="AA417" s="1075"/>
    </row>
    <row r="418" spans="1:27" ht="12.75" customHeight="1">
      <c r="A418" s="1075"/>
      <c r="B418" s="1075"/>
      <c r="C418" s="1075"/>
      <c r="D418" s="1075"/>
      <c r="E418" s="1075"/>
      <c r="F418" s="1075"/>
      <c r="G418" s="1075"/>
      <c r="H418" s="1075"/>
      <c r="I418" s="1075"/>
      <c r="J418" s="1075"/>
      <c r="K418" s="1075"/>
      <c r="L418" s="1075"/>
      <c r="M418" s="1075"/>
      <c r="N418" s="1075"/>
      <c r="O418" s="1075"/>
      <c r="P418" s="1075"/>
      <c r="Q418" s="1075"/>
      <c r="R418" s="1075"/>
      <c r="S418" s="1075"/>
      <c r="T418" s="1075"/>
      <c r="U418" s="1075"/>
      <c r="V418" s="1075"/>
      <c r="W418" s="1075"/>
      <c r="X418" s="1075"/>
      <c r="Y418" s="1075"/>
      <c r="Z418" s="1075"/>
      <c r="AA418" s="1075"/>
    </row>
    <row r="419" spans="1:27" ht="12.75" customHeight="1">
      <c r="A419" s="1075"/>
      <c r="B419" s="1075"/>
      <c r="C419" s="1075"/>
      <c r="D419" s="1075"/>
      <c r="E419" s="1075"/>
      <c r="F419" s="1075"/>
      <c r="G419" s="1075"/>
      <c r="H419" s="1075"/>
      <c r="I419" s="1075"/>
      <c r="J419" s="1075"/>
      <c r="K419" s="1075"/>
      <c r="L419" s="1075"/>
      <c r="M419" s="1075"/>
      <c r="N419" s="1075"/>
      <c r="O419" s="1075"/>
      <c r="P419" s="1075"/>
      <c r="Q419" s="1075"/>
      <c r="R419" s="1075"/>
      <c r="S419" s="1075"/>
      <c r="T419" s="1075"/>
      <c r="U419" s="1075"/>
      <c r="V419" s="1075"/>
      <c r="W419" s="1075"/>
      <c r="X419" s="1075"/>
      <c r="Y419" s="1075"/>
      <c r="Z419" s="1075"/>
      <c r="AA419" s="1075"/>
    </row>
    <row r="420" spans="1:27" ht="12.75" customHeight="1">
      <c r="A420" s="1075"/>
      <c r="B420" s="1075"/>
      <c r="C420" s="1075"/>
      <c r="D420" s="1075"/>
      <c r="E420" s="1075"/>
      <c r="F420" s="1075"/>
      <c r="G420" s="1075"/>
      <c r="H420" s="1075"/>
      <c r="I420" s="1075"/>
      <c r="J420" s="1075"/>
      <c r="K420" s="1075"/>
      <c r="L420" s="1075"/>
      <c r="M420" s="1075"/>
      <c r="N420" s="1075"/>
      <c r="O420" s="1075"/>
      <c r="P420" s="1075"/>
      <c r="Q420" s="1075"/>
      <c r="R420" s="1075"/>
      <c r="S420" s="1075"/>
      <c r="T420" s="1075"/>
      <c r="U420" s="1075"/>
      <c r="V420" s="1075"/>
      <c r="W420" s="1075"/>
      <c r="X420" s="1075"/>
      <c r="Y420" s="1075"/>
      <c r="Z420" s="1075"/>
      <c r="AA420" s="1075"/>
    </row>
    <row r="421" spans="1:27" ht="12.75" customHeight="1">
      <c r="A421" s="1075"/>
      <c r="B421" s="1075"/>
      <c r="C421" s="1075"/>
      <c r="D421" s="1075"/>
      <c r="E421" s="1075"/>
      <c r="F421" s="1075"/>
      <c r="G421" s="1075"/>
      <c r="H421" s="1075"/>
      <c r="I421" s="1075"/>
      <c r="J421" s="1075"/>
      <c r="K421" s="1075"/>
      <c r="L421" s="1075"/>
      <c r="M421" s="1075"/>
      <c r="N421" s="1075"/>
      <c r="O421" s="1075"/>
      <c r="P421" s="1075"/>
      <c r="Q421" s="1075"/>
      <c r="R421" s="1075"/>
      <c r="S421" s="1075"/>
      <c r="T421" s="1075"/>
      <c r="U421" s="1075"/>
      <c r="V421" s="1075"/>
      <c r="W421" s="1075"/>
      <c r="X421" s="1075"/>
      <c r="Y421" s="1075"/>
      <c r="Z421" s="1075"/>
      <c r="AA421" s="1075"/>
    </row>
    <row r="422" spans="1:27" ht="12.75" customHeight="1">
      <c r="A422" s="1075"/>
      <c r="B422" s="1075"/>
      <c r="C422" s="1075"/>
      <c r="D422" s="1075"/>
      <c r="E422" s="1075"/>
      <c r="F422" s="1075"/>
      <c r="G422" s="1075"/>
      <c r="H422" s="1075"/>
      <c r="I422" s="1075"/>
      <c r="J422" s="1075"/>
      <c r="K422" s="1075"/>
      <c r="L422" s="1075"/>
      <c r="M422" s="1075"/>
      <c r="N422" s="1075"/>
      <c r="O422" s="1075"/>
      <c r="P422" s="1075"/>
      <c r="Q422" s="1075"/>
      <c r="R422" s="1075"/>
      <c r="S422" s="1075"/>
      <c r="T422" s="1075"/>
      <c r="U422" s="1075"/>
      <c r="V422" s="1075"/>
      <c r="W422" s="1075"/>
      <c r="X422" s="1075"/>
      <c r="Y422" s="1075"/>
      <c r="Z422" s="1075"/>
      <c r="AA422" s="1075"/>
    </row>
    <row r="423" spans="1:27" ht="12.75" customHeight="1">
      <c r="A423" s="1075"/>
      <c r="B423" s="1075"/>
      <c r="C423" s="1075"/>
      <c r="D423" s="1075"/>
      <c r="E423" s="1075"/>
      <c r="F423" s="1075"/>
      <c r="G423" s="1075"/>
      <c r="H423" s="1075"/>
      <c r="I423" s="1075"/>
      <c r="J423" s="1075"/>
      <c r="K423" s="1075"/>
      <c r="L423" s="1075"/>
      <c r="M423" s="1075"/>
      <c r="N423" s="1075"/>
      <c r="O423" s="1075"/>
      <c r="P423" s="1075"/>
      <c r="Q423" s="1075"/>
      <c r="R423" s="1075"/>
      <c r="S423" s="1075"/>
      <c r="T423" s="1075"/>
      <c r="U423" s="1075"/>
      <c r="V423" s="1075"/>
      <c r="W423" s="1075"/>
      <c r="X423" s="1075"/>
      <c r="Y423" s="1075"/>
      <c r="Z423" s="1075"/>
      <c r="AA423" s="1075"/>
    </row>
    <row r="424" spans="1:27" ht="12.75" customHeight="1">
      <c r="A424" s="1075"/>
      <c r="B424" s="1075"/>
      <c r="C424" s="1075"/>
      <c r="D424" s="1075"/>
      <c r="E424" s="1075"/>
      <c r="F424" s="1075"/>
      <c r="G424" s="1075"/>
      <c r="H424" s="1075"/>
      <c r="I424" s="1075"/>
      <c r="J424" s="1075"/>
      <c r="K424" s="1075"/>
      <c r="L424" s="1075"/>
      <c r="M424" s="1075"/>
      <c r="N424" s="1075"/>
      <c r="O424" s="1075"/>
      <c r="P424" s="1075"/>
      <c r="Q424" s="1075"/>
      <c r="R424" s="1075"/>
      <c r="S424" s="1075"/>
      <c r="T424" s="1075"/>
      <c r="U424" s="1075"/>
      <c r="V424" s="1075"/>
      <c r="W424" s="1075"/>
      <c r="X424" s="1075"/>
      <c r="Y424" s="1075"/>
      <c r="Z424" s="1075"/>
      <c r="AA424" s="1075"/>
    </row>
    <row r="425" spans="1:27" ht="12.75" customHeight="1">
      <c r="A425" s="1075"/>
      <c r="B425" s="1075"/>
      <c r="C425" s="1075"/>
      <c r="D425" s="1075"/>
      <c r="E425" s="1075"/>
      <c r="F425" s="1075"/>
      <c r="G425" s="1075"/>
      <c r="H425" s="1075"/>
      <c r="I425" s="1075"/>
      <c r="J425" s="1075"/>
      <c r="K425" s="1075"/>
      <c r="L425" s="1075"/>
      <c r="M425" s="1075"/>
      <c r="N425" s="1075"/>
      <c r="O425" s="1075"/>
      <c r="P425" s="1075"/>
      <c r="Q425" s="1075"/>
      <c r="R425" s="1075"/>
      <c r="S425" s="1075"/>
      <c r="T425" s="1075"/>
      <c r="U425" s="1075"/>
      <c r="V425" s="1075"/>
      <c r="W425" s="1075"/>
      <c r="X425" s="1075"/>
      <c r="Y425" s="1075"/>
      <c r="Z425" s="1075"/>
      <c r="AA425" s="1075"/>
    </row>
    <row r="426" spans="1:27" ht="12.75" customHeight="1">
      <c r="A426" s="1075"/>
      <c r="B426" s="1075"/>
      <c r="C426" s="1075"/>
      <c r="D426" s="1075"/>
      <c r="E426" s="1075"/>
      <c r="F426" s="1075"/>
      <c r="G426" s="1075"/>
      <c r="H426" s="1075"/>
      <c r="I426" s="1075"/>
      <c r="J426" s="1075"/>
      <c r="K426" s="1075"/>
      <c r="L426" s="1075"/>
      <c r="M426" s="1075"/>
      <c r="N426" s="1075"/>
      <c r="O426" s="1075"/>
      <c r="P426" s="1075"/>
      <c r="Q426" s="1075"/>
      <c r="R426" s="1075"/>
      <c r="S426" s="1075"/>
      <c r="T426" s="1075"/>
      <c r="U426" s="1075"/>
      <c r="V426" s="1075"/>
      <c r="W426" s="1075"/>
      <c r="X426" s="1075"/>
      <c r="Y426" s="1075"/>
      <c r="Z426" s="1075"/>
      <c r="AA426" s="1075"/>
    </row>
    <row r="427" spans="1:27" ht="12.75" customHeight="1">
      <c r="A427" s="1075"/>
      <c r="B427" s="1075"/>
      <c r="C427" s="1075"/>
      <c r="D427" s="1075"/>
      <c r="E427" s="1075"/>
      <c r="F427" s="1075"/>
      <c r="G427" s="1075"/>
      <c r="H427" s="1075"/>
      <c r="I427" s="1075"/>
      <c r="J427" s="1075"/>
      <c r="K427" s="1075"/>
      <c r="L427" s="1075"/>
      <c r="M427" s="1075"/>
      <c r="N427" s="1075"/>
      <c r="O427" s="1075"/>
      <c r="P427" s="1075"/>
      <c r="Q427" s="1075"/>
      <c r="R427" s="1075"/>
      <c r="S427" s="1075"/>
      <c r="T427" s="1075"/>
      <c r="U427" s="1075"/>
      <c r="V427" s="1075"/>
      <c r="W427" s="1075"/>
      <c r="X427" s="1075"/>
      <c r="Y427" s="1075"/>
      <c r="Z427" s="1075"/>
      <c r="AA427" s="1075"/>
    </row>
    <row r="428" spans="1:27" ht="12.75" customHeight="1">
      <c r="A428" s="1075"/>
      <c r="B428" s="1075"/>
      <c r="C428" s="1075"/>
      <c r="D428" s="1075"/>
      <c r="E428" s="1075"/>
      <c r="F428" s="1075"/>
      <c r="G428" s="1075"/>
      <c r="H428" s="1075"/>
      <c r="I428" s="1075"/>
      <c r="J428" s="1075"/>
      <c r="K428" s="1075"/>
      <c r="L428" s="1075"/>
      <c r="M428" s="1075"/>
      <c r="N428" s="1075"/>
      <c r="O428" s="1075"/>
      <c r="P428" s="1075"/>
      <c r="Q428" s="1075"/>
      <c r="R428" s="1075"/>
      <c r="S428" s="1075"/>
      <c r="T428" s="1075"/>
      <c r="U428" s="1075"/>
      <c r="V428" s="1075"/>
      <c r="W428" s="1075"/>
      <c r="X428" s="1075"/>
      <c r="Y428" s="1075"/>
      <c r="Z428" s="1075"/>
      <c r="AA428" s="1075"/>
    </row>
    <row r="429" spans="1:27" ht="12.75" customHeight="1">
      <c r="A429" s="1075"/>
      <c r="B429" s="1075"/>
      <c r="C429" s="1075"/>
      <c r="D429" s="1075"/>
      <c r="E429" s="1075"/>
      <c r="F429" s="1075"/>
      <c r="G429" s="1075"/>
      <c r="H429" s="1075"/>
      <c r="I429" s="1075"/>
      <c r="J429" s="1075"/>
      <c r="K429" s="1075"/>
      <c r="L429" s="1075"/>
      <c r="M429" s="1075"/>
      <c r="N429" s="1075"/>
      <c r="O429" s="1075"/>
      <c r="P429" s="1075"/>
      <c r="Q429" s="1075"/>
      <c r="R429" s="1075"/>
      <c r="S429" s="1075"/>
      <c r="T429" s="1075"/>
      <c r="U429" s="1075"/>
      <c r="V429" s="1075"/>
      <c r="W429" s="1075"/>
      <c r="X429" s="1075"/>
      <c r="Y429" s="1075"/>
      <c r="Z429" s="1075"/>
      <c r="AA429" s="1075"/>
    </row>
    <row r="430" spans="1:27" ht="12.75" customHeight="1">
      <c r="A430" s="1075"/>
      <c r="B430" s="1075"/>
      <c r="C430" s="1075"/>
      <c r="D430" s="1075"/>
      <c r="E430" s="1075"/>
      <c r="F430" s="1075"/>
      <c r="G430" s="1075"/>
      <c r="H430" s="1075"/>
      <c r="I430" s="1075"/>
      <c r="J430" s="1075"/>
      <c r="K430" s="1075"/>
      <c r="L430" s="1075"/>
      <c r="M430" s="1075"/>
      <c r="N430" s="1075"/>
      <c r="O430" s="1075"/>
      <c r="P430" s="1075"/>
      <c r="Q430" s="1075"/>
      <c r="R430" s="1075"/>
      <c r="S430" s="1075"/>
      <c r="T430" s="1075"/>
      <c r="U430" s="1075"/>
      <c r="V430" s="1075"/>
      <c r="W430" s="1075"/>
      <c r="X430" s="1075"/>
      <c r="Y430" s="1075"/>
      <c r="Z430" s="1075"/>
      <c r="AA430" s="1075"/>
    </row>
    <row r="431" spans="1:27" ht="12.75" customHeight="1">
      <c r="A431" s="1075"/>
      <c r="B431" s="1075"/>
      <c r="C431" s="1075"/>
      <c r="D431" s="1075"/>
      <c r="E431" s="1075"/>
      <c r="F431" s="1075"/>
      <c r="G431" s="1075"/>
      <c r="H431" s="1075"/>
      <c r="I431" s="1075"/>
      <c r="J431" s="1075"/>
      <c r="K431" s="1075"/>
      <c r="L431" s="1075"/>
      <c r="M431" s="1075"/>
      <c r="N431" s="1075"/>
      <c r="O431" s="1075"/>
      <c r="P431" s="1075"/>
      <c r="Q431" s="1075"/>
      <c r="R431" s="1075"/>
      <c r="S431" s="1075"/>
      <c r="T431" s="1075"/>
      <c r="U431" s="1075"/>
      <c r="V431" s="1075"/>
      <c r="W431" s="1075"/>
      <c r="X431" s="1075"/>
      <c r="Y431" s="1075"/>
      <c r="Z431" s="1075"/>
      <c r="AA431" s="1075"/>
    </row>
    <row r="432" spans="1:27" ht="12.75" customHeight="1">
      <c r="A432" s="1075"/>
      <c r="B432" s="1075"/>
      <c r="C432" s="1075"/>
      <c r="D432" s="1075"/>
      <c r="E432" s="1075"/>
      <c r="F432" s="1075"/>
      <c r="G432" s="1075"/>
      <c r="H432" s="1075"/>
      <c r="I432" s="1075"/>
      <c r="J432" s="1075"/>
      <c r="K432" s="1075"/>
      <c r="L432" s="1075"/>
      <c r="M432" s="1075"/>
      <c r="N432" s="1075"/>
      <c r="O432" s="1075"/>
      <c r="P432" s="1075"/>
      <c r="Q432" s="1075"/>
      <c r="R432" s="1075"/>
      <c r="S432" s="1075"/>
      <c r="T432" s="1075"/>
      <c r="U432" s="1075"/>
      <c r="V432" s="1075"/>
      <c r="W432" s="1075"/>
      <c r="X432" s="1075"/>
      <c r="Y432" s="1075"/>
      <c r="Z432" s="1075"/>
      <c r="AA432" s="1075"/>
    </row>
    <row r="433" spans="1:27" ht="12.75" customHeight="1">
      <c r="A433" s="1075"/>
      <c r="B433" s="1075"/>
      <c r="C433" s="1075"/>
      <c r="D433" s="1075"/>
      <c r="E433" s="1075"/>
      <c r="F433" s="1075"/>
      <c r="G433" s="1075"/>
      <c r="H433" s="1075"/>
      <c r="I433" s="1075"/>
      <c r="J433" s="1075"/>
      <c r="K433" s="1075"/>
      <c r="L433" s="1075"/>
      <c r="M433" s="1075"/>
      <c r="N433" s="1075"/>
      <c r="O433" s="1075"/>
      <c r="P433" s="1075"/>
      <c r="Q433" s="1075"/>
      <c r="R433" s="1075"/>
      <c r="S433" s="1075"/>
      <c r="T433" s="1075"/>
      <c r="U433" s="1075"/>
      <c r="V433" s="1075"/>
      <c r="W433" s="1075"/>
      <c r="X433" s="1075"/>
      <c r="Y433" s="1075"/>
      <c r="Z433" s="1075"/>
      <c r="AA433" s="1075"/>
    </row>
    <row r="434" spans="1:27" ht="12.75" customHeight="1">
      <c r="A434" s="1075"/>
      <c r="B434" s="1075"/>
      <c r="C434" s="1075"/>
      <c r="D434" s="1075"/>
      <c r="E434" s="1075"/>
      <c r="F434" s="1075"/>
      <c r="G434" s="1075"/>
      <c r="H434" s="1075"/>
      <c r="I434" s="1075"/>
      <c r="J434" s="1075"/>
      <c r="K434" s="1075"/>
      <c r="L434" s="1075"/>
      <c r="M434" s="1075"/>
      <c r="N434" s="1075"/>
      <c r="O434" s="1075"/>
      <c r="P434" s="1075"/>
      <c r="Q434" s="1075"/>
      <c r="R434" s="1075"/>
      <c r="S434" s="1075"/>
      <c r="T434" s="1075"/>
      <c r="U434" s="1075"/>
      <c r="V434" s="1075"/>
      <c r="W434" s="1075"/>
      <c r="X434" s="1075"/>
      <c r="Y434" s="1075"/>
      <c r="Z434" s="1075"/>
      <c r="AA434" s="1075"/>
    </row>
    <row r="435" spans="1:27" ht="12.75" customHeight="1">
      <c r="A435" s="1075"/>
      <c r="B435" s="1075"/>
      <c r="C435" s="1075"/>
      <c r="D435" s="1075"/>
      <c r="E435" s="1075"/>
      <c r="F435" s="1075"/>
      <c r="G435" s="1075"/>
      <c r="H435" s="1075"/>
      <c r="I435" s="1075"/>
      <c r="J435" s="1075"/>
      <c r="K435" s="1075"/>
      <c r="L435" s="1075"/>
      <c r="M435" s="1075"/>
      <c r="N435" s="1075"/>
      <c r="O435" s="1075"/>
      <c r="P435" s="1075"/>
      <c r="Q435" s="1075"/>
      <c r="R435" s="1075"/>
      <c r="S435" s="1075"/>
      <c r="T435" s="1075"/>
      <c r="U435" s="1075"/>
      <c r="V435" s="1075"/>
      <c r="W435" s="1075"/>
      <c r="X435" s="1075"/>
      <c r="Y435" s="1075"/>
      <c r="Z435" s="1075"/>
      <c r="AA435" s="1075"/>
    </row>
    <row r="436" spans="1:27" ht="12.75" customHeight="1">
      <c r="A436" s="1075"/>
      <c r="B436" s="1075"/>
      <c r="C436" s="1075"/>
      <c r="D436" s="1075"/>
      <c r="E436" s="1075"/>
      <c r="F436" s="1075"/>
      <c r="G436" s="1075"/>
      <c r="H436" s="1075"/>
      <c r="I436" s="1075"/>
      <c r="J436" s="1075"/>
      <c r="K436" s="1075"/>
      <c r="L436" s="1075"/>
      <c r="M436" s="1075"/>
      <c r="N436" s="1075"/>
      <c r="O436" s="1075"/>
      <c r="P436" s="1075"/>
      <c r="Q436" s="1075"/>
      <c r="R436" s="1075"/>
      <c r="S436" s="1075"/>
      <c r="T436" s="1075"/>
      <c r="U436" s="1075"/>
      <c r="V436" s="1075"/>
      <c r="W436" s="1075"/>
      <c r="X436" s="1075"/>
      <c r="Y436" s="1075"/>
      <c r="Z436" s="1075"/>
      <c r="AA436" s="1075"/>
    </row>
    <row r="437" spans="1:27" ht="12.75" customHeight="1">
      <c r="A437" s="1075"/>
      <c r="B437" s="1075"/>
      <c r="C437" s="1075"/>
      <c r="D437" s="1075"/>
      <c r="E437" s="1075"/>
      <c r="F437" s="1075"/>
      <c r="G437" s="1075"/>
      <c r="H437" s="1075"/>
      <c r="I437" s="1075"/>
      <c r="J437" s="1075"/>
      <c r="K437" s="1075"/>
      <c r="L437" s="1075"/>
      <c r="M437" s="1075"/>
      <c r="N437" s="1075"/>
      <c r="O437" s="1075"/>
      <c r="P437" s="1075"/>
      <c r="Q437" s="1075"/>
      <c r="R437" s="1075"/>
      <c r="S437" s="1075"/>
      <c r="T437" s="1075"/>
      <c r="U437" s="1075"/>
      <c r="V437" s="1075"/>
      <c r="W437" s="1075"/>
      <c r="X437" s="1075"/>
      <c r="Y437" s="1075"/>
      <c r="Z437" s="1075"/>
      <c r="AA437" s="1075"/>
    </row>
    <row r="438" spans="1:27" ht="12.75" customHeight="1">
      <c r="A438" s="1075"/>
      <c r="B438" s="1075"/>
      <c r="C438" s="1075"/>
      <c r="D438" s="1075"/>
      <c r="E438" s="1075"/>
      <c r="F438" s="1075"/>
      <c r="G438" s="1075"/>
      <c r="H438" s="1075"/>
      <c r="I438" s="1075"/>
      <c r="J438" s="1075"/>
      <c r="K438" s="1075"/>
      <c r="L438" s="1075"/>
      <c r="M438" s="1075"/>
      <c r="N438" s="1075"/>
      <c r="O438" s="1075"/>
      <c r="P438" s="1075"/>
      <c r="Q438" s="1075"/>
      <c r="R438" s="1075"/>
      <c r="S438" s="1075"/>
      <c r="T438" s="1075"/>
      <c r="U438" s="1075"/>
      <c r="V438" s="1075"/>
      <c r="W438" s="1075"/>
      <c r="X438" s="1075"/>
      <c r="Y438" s="1075"/>
      <c r="Z438" s="1075"/>
      <c r="AA438" s="1075"/>
    </row>
    <row r="439" spans="1:27" ht="12.75" customHeight="1">
      <c r="A439" s="1075"/>
      <c r="B439" s="1075"/>
      <c r="C439" s="1075"/>
      <c r="D439" s="1075"/>
      <c r="E439" s="1075"/>
      <c r="F439" s="1075"/>
      <c r="G439" s="1075"/>
      <c r="H439" s="1075"/>
      <c r="I439" s="1075"/>
      <c r="J439" s="1075"/>
      <c r="K439" s="1075"/>
      <c r="L439" s="1075"/>
      <c r="M439" s="1075"/>
      <c r="N439" s="1075"/>
      <c r="O439" s="1075"/>
      <c r="P439" s="1075"/>
      <c r="Q439" s="1075"/>
      <c r="R439" s="1075"/>
      <c r="S439" s="1075"/>
      <c r="T439" s="1075"/>
      <c r="U439" s="1075"/>
      <c r="V439" s="1075"/>
      <c r="W439" s="1075"/>
      <c r="X439" s="1075"/>
      <c r="Y439" s="1075"/>
      <c r="Z439" s="1075"/>
      <c r="AA439" s="1075"/>
    </row>
    <row r="440" spans="1:27" ht="12.75" customHeight="1">
      <c r="A440" s="1075"/>
      <c r="B440" s="1075"/>
      <c r="C440" s="1075"/>
      <c r="D440" s="1075"/>
      <c r="E440" s="1075"/>
      <c r="F440" s="1075"/>
      <c r="G440" s="1075"/>
      <c r="H440" s="1075"/>
      <c r="I440" s="1075"/>
      <c r="J440" s="1075"/>
      <c r="K440" s="1075"/>
      <c r="L440" s="1075"/>
      <c r="M440" s="1075"/>
      <c r="N440" s="1075"/>
      <c r="O440" s="1075"/>
      <c r="P440" s="1075"/>
      <c r="Q440" s="1075"/>
      <c r="R440" s="1075"/>
      <c r="S440" s="1075"/>
      <c r="T440" s="1075"/>
      <c r="U440" s="1075"/>
      <c r="V440" s="1075"/>
      <c r="W440" s="1075"/>
      <c r="X440" s="1075"/>
      <c r="Y440" s="1075"/>
      <c r="Z440" s="1075"/>
      <c r="AA440" s="1075"/>
    </row>
    <row r="441" spans="1:27" ht="12.75" customHeight="1">
      <c r="A441" s="1075"/>
      <c r="B441" s="1075"/>
      <c r="C441" s="1075"/>
      <c r="D441" s="1075"/>
      <c r="E441" s="1075"/>
      <c r="F441" s="1075"/>
      <c r="G441" s="1075"/>
      <c r="H441" s="1075"/>
      <c r="I441" s="1075"/>
      <c r="J441" s="1075"/>
      <c r="K441" s="1075"/>
      <c r="L441" s="1075"/>
      <c r="M441" s="1075"/>
      <c r="N441" s="1075"/>
      <c r="O441" s="1075"/>
      <c r="P441" s="1075"/>
      <c r="Q441" s="1075"/>
      <c r="R441" s="1075"/>
      <c r="S441" s="1075"/>
      <c r="T441" s="1075"/>
      <c r="U441" s="1075"/>
      <c r="V441" s="1075"/>
      <c r="W441" s="1075"/>
      <c r="X441" s="1075"/>
      <c r="Y441" s="1075"/>
      <c r="Z441" s="1075"/>
      <c r="AA441" s="1075"/>
    </row>
    <row r="442" spans="1:27" ht="12.75" customHeight="1">
      <c r="A442" s="1075"/>
      <c r="B442" s="1075"/>
      <c r="C442" s="1075"/>
      <c r="D442" s="1075"/>
      <c r="E442" s="1075"/>
      <c r="F442" s="1075"/>
      <c r="G442" s="1075"/>
      <c r="H442" s="1075"/>
      <c r="I442" s="1075"/>
      <c r="J442" s="1075"/>
      <c r="K442" s="1075"/>
      <c r="L442" s="1075"/>
      <c r="M442" s="1075"/>
      <c r="N442" s="1075"/>
      <c r="O442" s="1075"/>
      <c r="P442" s="1075"/>
      <c r="Q442" s="1075"/>
      <c r="R442" s="1075"/>
      <c r="S442" s="1075"/>
      <c r="T442" s="1075"/>
      <c r="U442" s="1075"/>
      <c r="V442" s="1075"/>
      <c r="W442" s="1075"/>
      <c r="X442" s="1075"/>
      <c r="Y442" s="1075"/>
      <c r="Z442" s="1075"/>
      <c r="AA442" s="1075"/>
    </row>
    <row r="443" spans="1:27" ht="12.75" customHeight="1">
      <c r="A443" s="1075"/>
      <c r="B443" s="1075"/>
      <c r="C443" s="1075"/>
      <c r="D443" s="1075"/>
      <c r="E443" s="1075"/>
      <c r="F443" s="1075"/>
      <c r="G443" s="1075"/>
      <c r="H443" s="1075"/>
      <c r="I443" s="1075"/>
      <c r="J443" s="1075"/>
      <c r="K443" s="1075"/>
      <c r="L443" s="1075"/>
      <c r="M443" s="1075"/>
      <c r="N443" s="1075"/>
      <c r="O443" s="1075"/>
      <c r="P443" s="1075"/>
      <c r="Q443" s="1075"/>
      <c r="R443" s="1075"/>
      <c r="S443" s="1075"/>
      <c r="T443" s="1075"/>
      <c r="U443" s="1075"/>
      <c r="V443" s="1075"/>
      <c r="W443" s="1075"/>
      <c r="X443" s="1075"/>
      <c r="Y443" s="1075"/>
      <c r="Z443" s="1075"/>
      <c r="AA443" s="1075"/>
    </row>
    <row r="444" spans="1:27" ht="12.75" customHeight="1">
      <c r="A444" s="1075"/>
      <c r="B444" s="1075"/>
      <c r="C444" s="1075"/>
      <c r="D444" s="1075"/>
      <c r="E444" s="1075"/>
      <c r="F444" s="1075"/>
      <c r="G444" s="1075"/>
      <c r="H444" s="1075"/>
      <c r="I444" s="1075"/>
      <c r="J444" s="1075"/>
      <c r="K444" s="1075"/>
      <c r="L444" s="1075"/>
      <c r="M444" s="1075"/>
      <c r="N444" s="1075"/>
      <c r="O444" s="1075"/>
      <c r="P444" s="1075"/>
      <c r="Q444" s="1075"/>
      <c r="R444" s="1075"/>
      <c r="S444" s="1075"/>
      <c r="T444" s="1075"/>
      <c r="U444" s="1075"/>
      <c r="V444" s="1075"/>
      <c r="W444" s="1075"/>
      <c r="X444" s="1075"/>
      <c r="Y444" s="1075"/>
      <c r="Z444" s="1075"/>
      <c r="AA444" s="1075"/>
    </row>
    <row r="445" spans="1:27" ht="12.75" customHeight="1">
      <c r="A445" s="1075"/>
      <c r="B445" s="1075"/>
      <c r="C445" s="1075"/>
      <c r="D445" s="1075"/>
      <c r="E445" s="1075"/>
      <c r="F445" s="1075"/>
      <c r="G445" s="1075"/>
      <c r="H445" s="1075"/>
      <c r="I445" s="1075"/>
      <c r="J445" s="1075"/>
      <c r="K445" s="1075"/>
      <c r="L445" s="1075"/>
      <c r="M445" s="1075"/>
      <c r="N445" s="1075"/>
      <c r="O445" s="1075"/>
      <c r="P445" s="1075"/>
      <c r="Q445" s="1075"/>
      <c r="R445" s="1075"/>
      <c r="S445" s="1075"/>
      <c r="T445" s="1075"/>
      <c r="U445" s="1075"/>
      <c r="V445" s="1075"/>
      <c r="W445" s="1075"/>
      <c r="X445" s="1075"/>
      <c r="Y445" s="1075"/>
      <c r="Z445" s="1075"/>
      <c r="AA445" s="1075"/>
    </row>
    <row r="446" spans="1:27" ht="12.75" customHeight="1">
      <c r="A446" s="1075"/>
      <c r="B446" s="1075"/>
      <c r="C446" s="1075"/>
      <c r="D446" s="1075"/>
      <c r="E446" s="1075"/>
      <c r="F446" s="1075"/>
      <c r="G446" s="1075"/>
      <c r="H446" s="1075"/>
      <c r="I446" s="1075"/>
      <c r="J446" s="1075"/>
      <c r="K446" s="1075"/>
      <c r="L446" s="1075"/>
      <c r="M446" s="1075"/>
      <c r="N446" s="1075"/>
      <c r="O446" s="1075"/>
      <c r="P446" s="1075"/>
      <c r="Q446" s="1075"/>
      <c r="R446" s="1075"/>
      <c r="S446" s="1075"/>
      <c r="T446" s="1075"/>
      <c r="U446" s="1075"/>
      <c r="V446" s="1075"/>
      <c r="W446" s="1075"/>
      <c r="X446" s="1075"/>
      <c r="Y446" s="1075"/>
      <c r="Z446" s="1075"/>
      <c r="AA446" s="1075"/>
    </row>
    <row r="447" spans="1:27" ht="12.75" customHeight="1">
      <c r="A447" s="1075"/>
      <c r="B447" s="1075"/>
      <c r="C447" s="1075"/>
      <c r="D447" s="1075"/>
      <c r="E447" s="1075"/>
      <c r="F447" s="1075"/>
      <c r="G447" s="1075"/>
      <c r="H447" s="1075"/>
      <c r="I447" s="1075"/>
      <c r="J447" s="1075"/>
      <c r="K447" s="1075"/>
      <c r="L447" s="1075"/>
      <c r="M447" s="1075"/>
      <c r="N447" s="1075"/>
      <c r="O447" s="1075"/>
      <c r="P447" s="1075"/>
      <c r="Q447" s="1075"/>
      <c r="R447" s="1075"/>
      <c r="S447" s="1075"/>
      <c r="T447" s="1075"/>
      <c r="U447" s="1075"/>
      <c r="V447" s="1075"/>
      <c r="W447" s="1075"/>
      <c r="X447" s="1075"/>
      <c r="Y447" s="1075"/>
      <c r="Z447" s="1075"/>
      <c r="AA447" s="1075"/>
    </row>
    <row r="448" spans="1:27" ht="12.75" customHeight="1">
      <c r="A448" s="1075"/>
      <c r="B448" s="1075"/>
      <c r="C448" s="1075"/>
      <c r="D448" s="1075"/>
      <c r="E448" s="1075"/>
      <c r="F448" s="1075"/>
      <c r="G448" s="1075"/>
      <c r="H448" s="1075"/>
      <c r="I448" s="1075"/>
      <c r="J448" s="1075"/>
      <c r="K448" s="1075"/>
      <c r="L448" s="1075"/>
      <c r="M448" s="1075"/>
      <c r="N448" s="1075"/>
      <c r="O448" s="1075"/>
      <c r="P448" s="1075"/>
      <c r="Q448" s="1075"/>
      <c r="R448" s="1075"/>
      <c r="S448" s="1075"/>
      <c r="T448" s="1075"/>
      <c r="U448" s="1075"/>
      <c r="V448" s="1075"/>
      <c r="W448" s="1075"/>
      <c r="X448" s="1075"/>
      <c r="Y448" s="1075"/>
      <c r="Z448" s="1075"/>
      <c r="AA448" s="1075"/>
    </row>
    <row r="449" spans="1:27" ht="12.75" customHeight="1">
      <c r="A449" s="1075"/>
      <c r="B449" s="1075"/>
      <c r="C449" s="1075"/>
      <c r="D449" s="1075"/>
      <c r="E449" s="1075"/>
      <c r="F449" s="1075"/>
      <c r="G449" s="1075"/>
      <c r="H449" s="1075"/>
      <c r="I449" s="1075"/>
      <c r="J449" s="1075"/>
      <c r="K449" s="1075"/>
      <c r="L449" s="1075"/>
      <c r="M449" s="1075"/>
      <c r="N449" s="1075"/>
      <c r="O449" s="1075"/>
      <c r="P449" s="1075"/>
      <c r="Q449" s="1075"/>
      <c r="R449" s="1075"/>
      <c r="S449" s="1075"/>
      <c r="T449" s="1075"/>
      <c r="U449" s="1075"/>
      <c r="V449" s="1075"/>
      <c r="W449" s="1075"/>
      <c r="X449" s="1075"/>
      <c r="Y449" s="1075"/>
      <c r="Z449" s="1075"/>
      <c r="AA449" s="1075"/>
    </row>
    <row r="450" spans="1:27" ht="12.75" customHeight="1">
      <c r="A450" s="1075"/>
      <c r="B450" s="1075"/>
      <c r="C450" s="1075"/>
      <c r="D450" s="1075"/>
      <c r="E450" s="1075"/>
      <c r="F450" s="1075"/>
      <c r="G450" s="1075"/>
      <c r="H450" s="1075"/>
      <c r="I450" s="1075"/>
      <c r="J450" s="1075"/>
      <c r="K450" s="1075"/>
      <c r="L450" s="1075"/>
      <c r="M450" s="1075"/>
      <c r="N450" s="1075"/>
      <c r="O450" s="1075"/>
      <c r="P450" s="1075"/>
      <c r="Q450" s="1075"/>
      <c r="R450" s="1075"/>
      <c r="S450" s="1075"/>
      <c r="T450" s="1075"/>
      <c r="U450" s="1075"/>
      <c r="V450" s="1075"/>
      <c r="W450" s="1075"/>
      <c r="X450" s="1075"/>
      <c r="Y450" s="1075"/>
      <c r="Z450" s="1075"/>
      <c r="AA450" s="1075"/>
    </row>
    <row r="451" spans="1:27" ht="12.75" customHeight="1">
      <c r="A451" s="1075"/>
      <c r="B451" s="1075"/>
      <c r="C451" s="1075"/>
      <c r="D451" s="1075"/>
      <c r="E451" s="1075"/>
      <c r="F451" s="1075"/>
      <c r="G451" s="1075"/>
      <c r="H451" s="1075"/>
      <c r="I451" s="1075"/>
      <c r="J451" s="1075"/>
      <c r="K451" s="1075"/>
      <c r="L451" s="1075"/>
      <c r="M451" s="1075"/>
      <c r="N451" s="1075"/>
      <c r="O451" s="1075"/>
      <c r="P451" s="1075"/>
      <c r="Q451" s="1075"/>
      <c r="R451" s="1075"/>
      <c r="S451" s="1075"/>
      <c r="T451" s="1075"/>
      <c r="U451" s="1075"/>
      <c r="V451" s="1075"/>
      <c r="W451" s="1075"/>
      <c r="X451" s="1075"/>
      <c r="Y451" s="1075"/>
      <c r="Z451" s="1075"/>
      <c r="AA451" s="1075"/>
    </row>
    <row r="452" spans="1:27" ht="12.75" customHeight="1">
      <c r="A452" s="1075"/>
      <c r="B452" s="1075"/>
      <c r="C452" s="1075"/>
      <c r="D452" s="1075"/>
      <c r="E452" s="1075"/>
      <c r="F452" s="1075"/>
      <c r="G452" s="1075"/>
      <c r="H452" s="1075"/>
      <c r="I452" s="1075"/>
      <c r="J452" s="1075"/>
      <c r="K452" s="1075"/>
      <c r="L452" s="1075"/>
      <c r="M452" s="1075"/>
      <c r="N452" s="1075"/>
      <c r="O452" s="1075"/>
      <c r="P452" s="1075"/>
      <c r="Q452" s="1075"/>
      <c r="R452" s="1075"/>
      <c r="S452" s="1075"/>
      <c r="T452" s="1075"/>
      <c r="U452" s="1075"/>
      <c r="V452" s="1075"/>
      <c r="W452" s="1075"/>
      <c r="X452" s="1075"/>
      <c r="Y452" s="1075"/>
      <c r="Z452" s="1075"/>
      <c r="AA452" s="1075"/>
    </row>
    <row r="453" spans="1:27" ht="12.75" customHeight="1">
      <c r="A453" s="1075"/>
      <c r="B453" s="1075"/>
      <c r="C453" s="1075"/>
      <c r="D453" s="1075"/>
      <c r="E453" s="1075"/>
      <c r="F453" s="1075"/>
      <c r="G453" s="1075"/>
      <c r="H453" s="1075"/>
      <c r="I453" s="1075"/>
      <c r="J453" s="1075"/>
      <c r="K453" s="1075"/>
      <c r="L453" s="1075"/>
      <c r="M453" s="1075"/>
      <c r="N453" s="1075"/>
      <c r="O453" s="1075"/>
      <c r="P453" s="1075"/>
      <c r="Q453" s="1075"/>
      <c r="R453" s="1075"/>
      <c r="S453" s="1075"/>
      <c r="T453" s="1075"/>
      <c r="U453" s="1075"/>
      <c r="V453" s="1075"/>
      <c r="W453" s="1075"/>
      <c r="X453" s="1075"/>
      <c r="Y453" s="1075"/>
      <c r="Z453" s="1075"/>
      <c r="AA453" s="1075"/>
    </row>
    <row r="454" spans="1:27" ht="12.75" customHeight="1">
      <c r="A454" s="1075"/>
      <c r="B454" s="1075"/>
      <c r="C454" s="1075"/>
      <c r="D454" s="1075"/>
      <c r="E454" s="1075"/>
      <c r="F454" s="1075"/>
      <c r="G454" s="1075"/>
      <c r="H454" s="1075"/>
      <c r="I454" s="1075"/>
      <c r="J454" s="1075"/>
      <c r="K454" s="1075"/>
      <c r="L454" s="1075"/>
      <c r="M454" s="1075"/>
      <c r="N454" s="1075"/>
      <c r="O454" s="1075"/>
      <c r="P454" s="1075"/>
      <c r="Q454" s="1075"/>
      <c r="R454" s="1075"/>
      <c r="S454" s="1075"/>
      <c r="T454" s="1075"/>
      <c r="U454" s="1075"/>
      <c r="V454" s="1075"/>
      <c r="W454" s="1075"/>
      <c r="X454" s="1075"/>
      <c r="Y454" s="1075"/>
      <c r="Z454" s="1075"/>
      <c r="AA454" s="1075"/>
    </row>
    <row r="455" spans="1:27" ht="12.75" customHeight="1">
      <c r="A455" s="1075"/>
      <c r="B455" s="1075"/>
      <c r="C455" s="1075"/>
      <c r="D455" s="1075"/>
      <c r="E455" s="1075"/>
      <c r="F455" s="1075"/>
      <c r="G455" s="1075"/>
      <c r="H455" s="1075"/>
      <c r="I455" s="1075"/>
      <c r="J455" s="1075"/>
      <c r="K455" s="1075"/>
      <c r="L455" s="1075"/>
      <c r="M455" s="1075"/>
      <c r="N455" s="1075"/>
      <c r="O455" s="1075"/>
      <c r="P455" s="1075"/>
      <c r="Q455" s="1075"/>
      <c r="R455" s="1075"/>
      <c r="S455" s="1075"/>
      <c r="T455" s="1075"/>
      <c r="U455" s="1075"/>
      <c r="V455" s="1075"/>
      <c r="W455" s="1075"/>
      <c r="X455" s="1075"/>
      <c r="Y455" s="1075"/>
      <c r="Z455" s="1075"/>
      <c r="AA455" s="1075"/>
    </row>
    <row r="456" spans="1:27" ht="12.75" customHeight="1">
      <c r="A456" s="1075"/>
      <c r="B456" s="1075"/>
      <c r="C456" s="1075"/>
      <c r="D456" s="1075"/>
      <c r="E456" s="1075"/>
      <c r="F456" s="1075"/>
      <c r="G456" s="1075"/>
      <c r="H456" s="1075"/>
      <c r="I456" s="1075"/>
      <c r="J456" s="1075"/>
      <c r="K456" s="1075"/>
      <c r="L456" s="1075"/>
      <c r="M456" s="1075"/>
      <c r="N456" s="1075"/>
      <c r="O456" s="1075"/>
      <c r="P456" s="1075"/>
      <c r="Q456" s="1075"/>
      <c r="R456" s="1075"/>
      <c r="S456" s="1075"/>
      <c r="T456" s="1075"/>
      <c r="U456" s="1075"/>
      <c r="V456" s="1075"/>
      <c r="W456" s="1075"/>
      <c r="X456" s="1075"/>
      <c r="Y456" s="1075"/>
      <c r="Z456" s="1075"/>
      <c r="AA456" s="1075"/>
    </row>
    <row r="457" spans="1:27" ht="12.75" customHeight="1">
      <c r="A457" s="1075"/>
      <c r="B457" s="1075"/>
      <c r="C457" s="1075"/>
      <c r="D457" s="1075"/>
      <c r="E457" s="1075"/>
      <c r="F457" s="1075"/>
      <c r="G457" s="1075"/>
      <c r="H457" s="1075"/>
      <c r="I457" s="1075"/>
      <c r="J457" s="1075"/>
      <c r="K457" s="1075"/>
      <c r="L457" s="1075"/>
      <c r="M457" s="1075"/>
      <c r="N457" s="1075"/>
      <c r="O457" s="1075"/>
      <c r="P457" s="1075"/>
      <c r="Q457" s="1075"/>
      <c r="R457" s="1075"/>
      <c r="S457" s="1075"/>
      <c r="T457" s="1075"/>
      <c r="U457" s="1075"/>
      <c r="V457" s="1075"/>
      <c r="W457" s="1075"/>
      <c r="X457" s="1075"/>
      <c r="Y457" s="1075"/>
      <c r="Z457" s="1075"/>
      <c r="AA457" s="1075"/>
    </row>
    <row r="458" spans="1:27" ht="12.75" customHeight="1">
      <c r="A458" s="1075"/>
      <c r="B458" s="1075"/>
      <c r="C458" s="1075"/>
      <c r="D458" s="1075"/>
      <c r="E458" s="1075"/>
      <c r="F458" s="1075"/>
      <c r="G458" s="1075"/>
      <c r="H458" s="1075"/>
      <c r="I458" s="1075"/>
      <c r="J458" s="1075"/>
      <c r="K458" s="1075"/>
      <c r="L458" s="1075"/>
      <c r="M458" s="1075"/>
      <c r="N458" s="1075"/>
      <c r="O458" s="1075"/>
      <c r="P458" s="1075"/>
      <c r="Q458" s="1075"/>
      <c r="R458" s="1075"/>
      <c r="S458" s="1075"/>
      <c r="T458" s="1075"/>
      <c r="U458" s="1075"/>
      <c r="V458" s="1075"/>
      <c r="W458" s="1075"/>
      <c r="X458" s="1075"/>
      <c r="Y458" s="1075"/>
      <c r="Z458" s="1075"/>
      <c r="AA458" s="1075"/>
    </row>
    <row r="459" spans="1:27" ht="12.75" customHeight="1">
      <c r="A459" s="1075"/>
      <c r="B459" s="1075"/>
      <c r="C459" s="1075"/>
      <c r="D459" s="1075"/>
      <c r="E459" s="1075"/>
      <c r="F459" s="1075"/>
      <c r="G459" s="1075"/>
      <c r="H459" s="1075"/>
      <c r="I459" s="1075"/>
      <c r="J459" s="1075"/>
      <c r="K459" s="1075"/>
      <c r="L459" s="1075"/>
      <c r="M459" s="1075"/>
      <c r="N459" s="1075"/>
      <c r="O459" s="1075"/>
      <c r="P459" s="1075"/>
      <c r="Q459" s="1075"/>
      <c r="R459" s="1075"/>
      <c r="S459" s="1075"/>
      <c r="T459" s="1075"/>
      <c r="U459" s="1075"/>
      <c r="V459" s="1075"/>
      <c r="W459" s="1075"/>
      <c r="X459" s="1075"/>
      <c r="Y459" s="1075"/>
      <c r="Z459" s="1075"/>
      <c r="AA459" s="1075"/>
    </row>
    <row r="460" spans="1:27" ht="12.75" customHeight="1">
      <c r="A460" s="1075"/>
      <c r="B460" s="1075"/>
      <c r="C460" s="1075"/>
      <c r="D460" s="1075"/>
      <c r="E460" s="1075"/>
      <c r="F460" s="1075"/>
      <c r="G460" s="1075"/>
      <c r="H460" s="1075"/>
      <c r="I460" s="1075"/>
      <c r="J460" s="1075"/>
      <c r="K460" s="1075"/>
      <c r="L460" s="1075"/>
      <c r="M460" s="1075"/>
      <c r="N460" s="1075"/>
      <c r="O460" s="1075"/>
      <c r="P460" s="1075"/>
      <c r="Q460" s="1075"/>
      <c r="R460" s="1075"/>
      <c r="S460" s="1075"/>
      <c r="T460" s="1075"/>
      <c r="U460" s="1075"/>
      <c r="V460" s="1075"/>
      <c r="W460" s="1075"/>
      <c r="X460" s="1075"/>
      <c r="Y460" s="1075"/>
      <c r="Z460" s="1075"/>
      <c r="AA460" s="1075"/>
    </row>
    <row r="461" spans="1:27" ht="12.75" customHeight="1">
      <c r="A461" s="1075"/>
      <c r="B461" s="1075"/>
      <c r="C461" s="1075"/>
      <c r="D461" s="1075"/>
      <c r="E461" s="1075"/>
      <c r="F461" s="1075"/>
      <c r="G461" s="1075"/>
      <c r="H461" s="1075"/>
      <c r="I461" s="1075"/>
      <c r="J461" s="1075"/>
      <c r="K461" s="1075"/>
      <c r="L461" s="1075"/>
      <c r="M461" s="1075"/>
      <c r="N461" s="1075"/>
      <c r="O461" s="1075"/>
      <c r="P461" s="1075"/>
      <c r="Q461" s="1075"/>
      <c r="R461" s="1075"/>
      <c r="S461" s="1075"/>
      <c r="T461" s="1075"/>
      <c r="U461" s="1075"/>
      <c r="V461" s="1075"/>
      <c r="W461" s="1075"/>
      <c r="X461" s="1075"/>
      <c r="Y461" s="1075"/>
      <c r="Z461" s="1075"/>
      <c r="AA461" s="1075"/>
    </row>
    <row r="462" spans="1:27" ht="12.75" customHeight="1">
      <c r="A462" s="1075"/>
      <c r="B462" s="1075"/>
      <c r="C462" s="1075"/>
      <c r="D462" s="1075"/>
      <c r="E462" s="1075"/>
      <c r="F462" s="1075"/>
      <c r="G462" s="1075"/>
      <c r="H462" s="1075"/>
      <c r="I462" s="1075"/>
      <c r="J462" s="1075"/>
      <c r="K462" s="1075"/>
      <c r="L462" s="1075"/>
      <c r="M462" s="1075"/>
      <c r="N462" s="1075"/>
      <c r="O462" s="1075"/>
      <c r="P462" s="1075"/>
      <c r="Q462" s="1075"/>
      <c r="R462" s="1075"/>
      <c r="S462" s="1075"/>
      <c r="T462" s="1075"/>
      <c r="U462" s="1075"/>
      <c r="V462" s="1075"/>
      <c r="W462" s="1075"/>
      <c r="X462" s="1075"/>
      <c r="Y462" s="1075"/>
      <c r="Z462" s="1075"/>
      <c r="AA462" s="1075"/>
    </row>
    <row r="463" spans="1:27" ht="12.75" customHeight="1">
      <c r="A463" s="1075"/>
      <c r="B463" s="1075"/>
      <c r="C463" s="1075"/>
      <c r="D463" s="1075"/>
      <c r="E463" s="1075"/>
      <c r="F463" s="1075"/>
      <c r="G463" s="1075"/>
      <c r="H463" s="1075"/>
      <c r="I463" s="1075"/>
      <c r="J463" s="1075"/>
      <c r="K463" s="1075"/>
      <c r="L463" s="1075"/>
      <c r="M463" s="1075"/>
      <c r="N463" s="1075"/>
      <c r="O463" s="1075"/>
      <c r="P463" s="1075"/>
      <c r="Q463" s="1075"/>
      <c r="R463" s="1075"/>
      <c r="S463" s="1075"/>
      <c r="T463" s="1075"/>
      <c r="U463" s="1075"/>
      <c r="V463" s="1075"/>
      <c r="W463" s="1075"/>
      <c r="X463" s="1075"/>
      <c r="Y463" s="1075"/>
      <c r="Z463" s="1075"/>
      <c r="AA463" s="1075"/>
    </row>
    <row r="464" spans="1:27" ht="12.75" customHeight="1">
      <c r="A464" s="1075"/>
      <c r="B464" s="1075"/>
      <c r="C464" s="1075"/>
      <c r="D464" s="1075"/>
      <c r="E464" s="1075"/>
      <c r="F464" s="1075"/>
      <c r="G464" s="1075"/>
      <c r="H464" s="1075"/>
      <c r="I464" s="1075"/>
      <c r="J464" s="1075"/>
      <c r="K464" s="1075"/>
      <c r="L464" s="1075"/>
      <c r="M464" s="1075"/>
      <c r="N464" s="1075"/>
      <c r="O464" s="1075"/>
      <c r="P464" s="1075"/>
      <c r="Q464" s="1075"/>
      <c r="R464" s="1075"/>
      <c r="S464" s="1075"/>
      <c r="T464" s="1075"/>
      <c r="U464" s="1075"/>
      <c r="V464" s="1075"/>
      <c r="W464" s="1075"/>
      <c r="X464" s="1075"/>
      <c r="Y464" s="1075"/>
      <c r="Z464" s="1075"/>
      <c r="AA464" s="1075"/>
    </row>
    <row r="465" spans="1:27" ht="12.75" customHeight="1">
      <c r="A465" s="1075"/>
      <c r="B465" s="1075"/>
      <c r="C465" s="1075"/>
      <c r="D465" s="1075"/>
      <c r="E465" s="1075"/>
      <c r="F465" s="1075"/>
      <c r="G465" s="1075"/>
      <c r="H465" s="1075"/>
      <c r="I465" s="1075"/>
      <c r="J465" s="1075"/>
      <c r="K465" s="1075"/>
      <c r="L465" s="1075"/>
      <c r="M465" s="1075"/>
      <c r="N465" s="1075"/>
      <c r="O465" s="1075"/>
      <c r="P465" s="1075"/>
      <c r="Q465" s="1075"/>
      <c r="R465" s="1075"/>
      <c r="S465" s="1075"/>
      <c r="T465" s="1075"/>
      <c r="U465" s="1075"/>
      <c r="V465" s="1075"/>
      <c r="W465" s="1075"/>
      <c r="X465" s="1075"/>
      <c r="Y465" s="1075"/>
      <c r="Z465" s="1075"/>
      <c r="AA465" s="1075"/>
    </row>
    <row r="466" spans="1:27" ht="12.75" customHeight="1">
      <c r="A466" s="1075"/>
      <c r="B466" s="1075"/>
      <c r="C466" s="1075"/>
      <c r="D466" s="1075"/>
      <c r="E466" s="1075"/>
      <c r="F466" s="1075"/>
      <c r="G466" s="1075"/>
      <c r="H466" s="1075"/>
      <c r="I466" s="1075"/>
      <c r="J466" s="1075"/>
      <c r="K466" s="1075"/>
      <c r="L466" s="1075"/>
      <c r="M466" s="1075"/>
      <c r="N466" s="1075"/>
      <c r="O466" s="1075"/>
      <c r="P466" s="1075"/>
      <c r="Q466" s="1075"/>
      <c r="R466" s="1075"/>
      <c r="S466" s="1075"/>
      <c r="T466" s="1075"/>
      <c r="U466" s="1075"/>
      <c r="V466" s="1075"/>
      <c r="W466" s="1075"/>
      <c r="X466" s="1075"/>
      <c r="Y466" s="1075"/>
      <c r="Z466" s="1075"/>
      <c r="AA466" s="1075"/>
    </row>
    <row r="467" spans="1:27" ht="12.75" customHeight="1">
      <c r="A467" s="1075"/>
      <c r="B467" s="1075"/>
      <c r="C467" s="1075"/>
      <c r="D467" s="1075"/>
      <c r="E467" s="1075"/>
      <c r="F467" s="1075"/>
      <c r="G467" s="1075"/>
      <c r="H467" s="1075"/>
      <c r="I467" s="1075"/>
      <c r="J467" s="1075"/>
      <c r="K467" s="1075"/>
      <c r="L467" s="1075"/>
      <c r="M467" s="1075"/>
      <c r="N467" s="1075"/>
      <c r="O467" s="1075"/>
      <c r="P467" s="1075"/>
      <c r="Q467" s="1075"/>
      <c r="R467" s="1075"/>
      <c r="S467" s="1075"/>
      <c r="T467" s="1075"/>
      <c r="U467" s="1075"/>
      <c r="V467" s="1075"/>
      <c r="W467" s="1075"/>
      <c r="X467" s="1075"/>
      <c r="Y467" s="1075"/>
      <c r="Z467" s="1075"/>
      <c r="AA467" s="1075"/>
    </row>
    <row r="468" spans="1:27" ht="12.75" customHeight="1">
      <c r="A468" s="1075"/>
      <c r="B468" s="1075"/>
      <c r="C468" s="1075"/>
      <c r="D468" s="1075"/>
      <c r="E468" s="1075"/>
      <c r="F468" s="1075"/>
      <c r="G468" s="1075"/>
      <c r="H468" s="1075"/>
      <c r="I468" s="1075"/>
      <c r="J468" s="1075"/>
      <c r="K468" s="1075"/>
      <c r="L468" s="1075"/>
      <c r="M468" s="1075"/>
      <c r="N468" s="1075"/>
      <c r="O468" s="1075"/>
      <c r="P468" s="1075"/>
      <c r="Q468" s="1075"/>
      <c r="R468" s="1075"/>
      <c r="S468" s="1075"/>
      <c r="T468" s="1075"/>
      <c r="U468" s="1075"/>
      <c r="V468" s="1075"/>
      <c r="W468" s="1075"/>
      <c r="X468" s="1075"/>
      <c r="Y468" s="1075"/>
      <c r="Z468" s="1075"/>
      <c r="AA468" s="1075"/>
    </row>
    <row r="469" spans="1:27" ht="12.75" customHeight="1">
      <c r="A469" s="1075"/>
      <c r="B469" s="1075"/>
      <c r="C469" s="1075"/>
      <c r="D469" s="1075"/>
      <c r="E469" s="1075"/>
      <c r="F469" s="1075"/>
      <c r="G469" s="1075"/>
      <c r="H469" s="1075"/>
      <c r="I469" s="1075"/>
      <c r="J469" s="1075"/>
      <c r="K469" s="1075"/>
      <c r="L469" s="1075"/>
      <c r="M469" s="1075"/>
      <c r="N469" s="1075"/>
      <c r="O469" s="1075"/>
      <c r="P469" s="1075"/>
      <c r="Q469" s="1075"/>
      <c r="R469" s="1075"/>
      <c r="S469" s="1075"/>
      <c r="T469" s="1075"/>
      <c r="U469" s="1075"/>
      <c r="V469" s="1075"/>
      <c r="W469" s="1075"/>
      <c r="X469" s="1075"/>
      <c r="Y469" s="1075"/>
      <c r="Z469" s="1075"/>
      <c r="AA469" s="1075"/>
    </row>
    <row r="470" spans="1:27" ht="12.75" customHeight="1">
      <c r="A470" s="1075"/>
      <c r="B470" s="1075"/>
      <c r="C470" s="1075"/>
      <c r="D470" s="1075"/>
      <c r="E470" s="1075"/>
      <c r="F470" s="1075"/>
      <c r="G470" s="1075"/>
      <c r="H470" s="1075"/>
      <c r="I470" s="1075"/>
      <c r="J470" s="1075"/>
      <c r="K470" s="1075"/>
      <c r="L470" s="1075"/>
      <c r="M470" s="1075"/>
      <c r="N470" s="1075"/>
      <c r="O470" s="1075"/>
      <c r="P470" s="1075"/>
      <c r="Q470" s="1075"/>
      <c r="R470" s="1075"/>
      <c r="S470" s="1075"/>
      <c r="T470" s="1075"/>
      <c r="U470" s="1075"/>
      <c r="V470" s="1075"/>
      <c r="W470" s="1075"/>
      <c r="X470" s="1075"/>
      <c r="Y470" s="1075"/>
      <c r="Z470" s="1075"/>
      <c r="AA470" s="1075"/>
    </row>
    <row r="471" spans="1:27" ht="12.75" customHeight="1">
      <c r="A471" s="1075"/>
      <c r="B471" s="1075"/>
      <c r="C471" s="1075"/>
      <c r="D471" s="1075"/>
      <c r="E471" s="1075"/>
      <c r="F471" s="1075"/>
      <c r="G471" s="1075"/>
      <c r="H471" s="1075"/>
      <c r="I471" s="1075"/>
      <c r="J471" s="1075"/>
      <c r="K471" s="1075"/>
      <c r="L471" s="1075"/>
      <c r="M471" s="1075"/>
      <c r="N471" s="1075"/>
      <c r="O471" s="1075"/>
      <c r="P471" s="1075"/>
      <c r="Q471" s="1075"/>
      <c r="R471" s="1075"/>
      <c r="S471" s="1075"/>
      <c r="T471" s="1075"/>
      <c r="U471" s="1075"/>
      <c r="V471" s="1075"/>
      <c r="W471" s="1075"/>
      <c r="X471" s="1075"/>
      <c r="Y471" s="1075"/>
      <c r="Z471" s="1075"/>
      <c r="AA471" s="1075"/>
    </row>
    <row r="472" spans="1:27" ht="12.75" customHeight="1">
      <c r="A472" s="1075"/>
      <c r="B472" s="1075"/>
      <c r="C472" s="1075"/>
      <c r="D472" s="1075"/>
      <c r="E472" s="1075"/>
      <c r="F472" s="1075"/>
      <c r="G472" s="1075"/>
      <c r="H472" s="1075"/>
      <c r="I472" s="1075"/>
      <c r="J472" s="1075"/>
      <c r="K472" s="1075"/>
      <c r="L472" s="1075"/>
      <c r="M472" s="1075"/>
      <c r="N472" s="1075"/>
      <c r="O472" s="1075"/>
      <c r="P472" s="1075"/>
      <c r="Q472" s="1075"/>
      <c r="R472" s="1075"/>
      <c r="S472" s="1075"/>
      <c r="T472" s="1075"/>
      <c r="U472" s="1075"/>
      <c r="V472" s="1075"/>
      <c r="W472" s="1075"/>
      <c r="X472" s="1075"/>
      <c r="Y472" s="1075"/>
      <c r="Z472" s="1075"/>
      <c r="AA472" s="1075"/>
    </row>
    <row r="473" spans="1:27" ht="12.75" customHeight="1">
      <c r="A473" s="1075"/>
      <c r="B473" s="1075"/>
      <c r="C473" s="1075"/>
      <c r="D473" s="1075"/>
      <c r="E473" s="1075"/>
      <c r="F473" s="1075"/>
      <c r="G473" s="1075"/>
      <c r="H473" s="1075"/>
      <c r="I473" s="1075"/>
      <c r="J473" s="1075"/>
      <c r="K473" s="1075"/>
      <c r="L473" s="1075"/>
      <c r="M473" s="1075"/>
      <c r="N473" s="1075"/>
      <c r="O473" s="1075"/>
      <c r="P473" s="1075"/>
      <c r="Q473" s="1075"/>
      <c r="R473" s="1075"/>
      <c r="S473" s="1075"/>
      <c r="T473" s="1075"/>
      <c r="U473" s="1075"/>
      <c r="V473" s="1075"/>
      <c r="W473" s="1075"/>
      <c r="X473" s="1075"/>
      <c r="Y473" s="1075"/>
      <c r="Z473" s="1075"/>
      <c r="AA473" s="1075"/>
    </row>
    <row r="474" spans="1:27" ht="12.75" customHeight="1">
      <c r="A474" s="1075"/>
      <c r="B474" s="1075"/>
      <c r="C474" s="1075"/>
      <c r="D474" s="1075"/>
      <c r="E474" s="1075"/>
      <c r="F474" s="1075"/>
      <c r="G474" s="1075"/>
      <c r="H474" s="1075"/>
      <c r="I474" s="1075"/>
      <c r="J474" s="1075"/>
      <c r="K474" s="1075"/>
      <c r="L474" s="1075"/>
      <c r="M474" s="1075"/>
      <c r="N474" s="1075"/>
      <c r="O474" s="1075"/>
      <c r="P474" s="1075"/>
      <c r="Q474" s="1075"/>
      <c r="R474" s="1075"/>
      <c r="S474" s="1075"/>
      <c r="T474" s="1075"/>
      <c r="U474" s="1075"/>
      <c r="V474" s="1075"/>
      <c r="W474" s="1075"/>
      <c r="X474" s="1075"/>
      <c r="Y474" s="1075"/>
      <c r="Z474" s="1075"/>
      <c r="AA474" s="1075"/>
    </row>
    <row r="475" spans="1:27" ht="12.75" customHeight="1">
      <c r="A475" s="1075"/>
      <c r="B475" s="1075"/>
      <c r="C475" s="1075"/>
      <c r="D475" s="1075"/>
      <c r="E475" s="1075"/>
      <c r="F475" s="1075"/>
      <c r="G475" s="1075"/>
      <c r="H475" s="1075"/>
      <c r="I475" s="1075"/>
      <c r="J475" s="1075"/>
      <c r="K475" s="1075"/>
      <c r="L475" s="1075"/>
      <c r="M475" s="1075"/>
      <c r="N475" s="1075"/>
      <c r="O475" s="1075"/>
      <c r="P475" s="1075"/>
      <c r="Q475" s="1075"/>
      <c r="R475" s="1075"/>
      <c r="S475" s="1075"/>
      <c r="T475" s="1075"/>
      <c r="U475" s="1075"/>
      <c r="V475" s="1075"/>
      <c r="W475" s="1075"/>
      <c r="X475" s="1075"/>
      <c r="Y475" s="1075"/>
      <c r="Z475" s="1075"/>
      <c r="AA475" s="1075"/>
    </row>
    <row r="476" spans="1:27" ht="12.75" customHeight="1">
      <c r="A476" s="1075"/>
      <c r="B476" s="1075"/>
      <c r="C476" s="1075"/>
      <c r="D476" s="1075"/>
      <c r="E476" s="1075"/>
      <c r="F476" s="1075"/>
      <c r="G476" s="1075"/>
      <c r="H476" s="1075"/>
      <c r="I476" s="1075"/>
      <c r="J476" s="1075"/>
      <c r="K476" s="1075"/>
      <c r="L476" s="1075"/>
      <c r="M476" s="1075"/>
      <c r="N476" s="1075"/>
      <c r="O476" s="1075"/>
      <c r="P476" s="1075"/>
      <c r="Q476" s="1075"/>
      <c r="R476" s="1075"/>
      <c r="S476" s="1075"/>
      <c r="T476" s="1075"/>
      <c r="U476" s="1075"/>
      <c r="V476" s="1075"/>
      <c r="W476" s="1075"/>
      <c r="X476" s="1075"/>
      <c r="Y476" s="1075"/>
      <c r="Z476" s="1075"/>
      <c r="AA476" s="1075"/>
    </row>
    <row r="477" spans="1:27" ht="12.75" customHeight="1">
      <c r="A477" s="1075"/>
      <c r="B477" s="1075"/>
      <c r="C477" s="1075"/>
      <c r="D477" s="1075"/>
      <c r="E477" s="1075"/>
      <c r="F477" s="1075"/>
      <c r="G477" s="1075"/>
      <c r="H477" s="1075"/>
      <c r="I477" s="1075"/>
      <c r="J477" s="1075"/>
      <c r="K477" s="1075"/>
      <c r="L477" s="1075"/>
      <c r="M477" s="1075"/>
      <c r="N477" s="1075"/>
      <c r="O477" s="1075"/>
      <c r="P477" s="1075"/>
      <c r="Q477" s="1075"/>
      <c r="R477" s="1075"/>
      <c r="S477" s="1075"/>
      <c r="T477" s="1075"/>
      <c r="U477" s="1075"/>
      <c r="V477" s="1075"/>
      <c r="W477" s="1075"/>
      <c r="X477" s="1075"/>
      <c r="Y477" s="1075"/>
      <c r="Z477" s="1075"/>
      <c r="AA477" s="1075"/>
    </row>
    <row r="478" spans="1:27" ht="12.75" customHeight="1">
      <c r="A478" s="1075"/>
      <c r="B478" s="1075"/>
      <c r="C478" s="1075"/>
      <c r="D478" s="1075"/>
      <c r="E478" s="1075"/>
      <c r="F478" s="1075"/>
      <c r="G478" s="1075"/>
      <c r="H478" s="1075"/>
      <c r="I478" s="1075"/>
      <c r="J478" s="1075"/>
      <c r="K478" s="1075"/>
      <c r="L478" s="1075"/>
      <c r="M478" s="1075"/>
      <c r="N478" s="1075"/>
      <c r="O478" s="1075"/>
      <c r="P478" s="1075"/>
      <c r="Q478" s="1075"/>
      <c r="R478" s="1075"/>
      <c r="S478" s="1075"/>
      <c r="T478" s="1075"/>
      <c r="U478" s="1075"/>
      <c r="V478" s="1075"/>
      <c r="W478" s="1075"/>
      <c r="X478" s="1075"/>
      <c r="Y478" s="1075"/>
      <c r="Z478" s="1075"/>
      <c r="AA478" s="1075"/>
    </row>
    <row r="479" spans="1:27" ht="12.75" customHeight="1">
      <c r="A479" s="1075"/>
      <c r="B479" s="1075"/>
      <c r="C479" s="1075"/>
      <c r="D479" s="1075"/>
      <c r="E479" s="1075"/>
      <c r="F479" s="1075"/>
      <c r="G479" s="1075"/>
      <c r="H479" s="1075"/>
      <c r="I479" s="1075"/>
      <c r="J479" s="1075"/>
      <c r="K479" s="1075"/>
      <c r="L479" s="1075"/>
      <c r="M479" s="1075"/>
      <c r="N479" s="1075"/>
      <c r="O479" s="1075"/>
      <c r="P479" s="1075"/>
      <c r="Q479" s="1075"/>
      <c r="R479" s="1075"/>
      <c r="S479" s="1075"/>
      <c r="T479" s="1075"/>
      <c r="U479" s="1075"/>
      <c r="V479" s="1075"/>
      <c r="W479" s="1075"/>
      <c r="X479" s="1075"/>
      <c r="Y479" s="1075"/>
      <c r="Z479" s="1075"/>
      <c r="AA479" s="1075"/>
    </row>
    <row r="480" spans="1:27" ht="12.75" customHeight="1">
      <c r="A480" s="1075"/>
      <c r="B480" s="1075"/>
      <c r="C480" s="1075"/>
      <c r="D480" s="1075"/>
      <c r="E480" s="1075"/>
      <c r="F480" s="1075"/>
      <c r="G480" s="1075"/>
      <c r="H480" s="1075"/>
      <c r="I480" s="1075"/>
      <c r="J480" s="1075"/>
      <c r="K480" s="1075"/>
      <c r="L480" s="1075"/>
      <c r="M480" s="1075"/>
      <c r="N480" s="1075"/>
      <c r="O480" s="1075"/>
      <c r="P480" s="1075"/>
      <c r="Q480" s="1075"/>
      <c r="R480" s="1075"/>
      <c r="S480" s="1075"/>
      <c r="T480" s="1075"/>
      <c r="U480" s="1075"/>
      <c r="V480" s="1075"/>
      <c r="W480" s="1075"/>
      <c r="X480" s="1075"/>
      <c r="Y480" s="1075"/>
      <c r="Z480" s="1075"/>
      <c r="AA480" s="1075"/>
    </row>
    <row r="481" spans="1:27" ht="12.75" customHeight="1">
      <c r="A481" s="1075"/>
      <c r="B481" s="1075"/>
      <c r="C481" s="1075"/>
      <c r="D481" s="1075"/>
      <c r="E481" s="1075"/>
      <c r="F481" s="1075"/>
      <c r="G481" s="1075"/>
      <c r="H481" s="1075"/>
      <c r="I481" s="1075"/>
      <c r="J481" s="1075"/>
      <c r="K481" s="1075"/>
      <c r="L481" s="1075"/>
      <c r="M481" s="1075"/>
      <c r="N481" s="1075"/>
      <c r="O481" s="1075"/>
      <c r="P481" s="1075"/>
      <c r="Q481" s="1075"/>
      <c r="R481" s="1075"/>
      <c r="S481" s="1075"/>
      <c r="T481" s="1075"/>
      <c r="U481" s="1075"/>
      <c r="V481" s="1075"/>
      <c r="W481" s="1075"/>
      <c r="X481" s="1075"/>
      <c r="Y481" s="1075"/>
      <c r="Z481" s="1075"/>
      <c r="AA481" s="1075"/>
    </row>
    <row r="482" spans="1:27" ht="12.75" customHeight="1">
      <c r="A482" s="1075"/>
      <c r="B482" s="1075"/>
      <c r="C482" s="1075"/>
      <c r="D482" s="1075"/>
      <c r="E482" s="1075"/>
      <c r="F482" s="1075"/>
      <c r="G482" s="1075"/>
      <c r="H482" s="1075"/>
      <c r="I482" s="1075"/>
      <c r="J482" s="1075"/>
      <c r="K482" s="1075"/>
      <c r="L482" s="1075"/>
      <c r="M482" s="1075"/>
      <c r="N482" s="1075"/>
      <c r="O482" s="1075"/>
      <c r="P482" s="1075"/>
      <c r="Q482" s="1075"/>
      <c r="R482" s="1075"/>
      <c r="S482" s="1075"/>
      <c r="T482" s="1075"/>
      <c r="U482" s="1075"/>
      <c r="V482" s="1075"/>
      <c r="W482" s="1075"/>
      <c r="X482" s="1075"/>
      <c r="Y482" s="1075"/>
      <c r="Z482" s="1075"/>
      <c r="AA482" s="1075"/>
    </row>
    <row r="483" spans="1:27" ht="12.75" customHeight="1">
      <c r="A483" s="1075"/>
      <c r="B483" s="1075"/>
      <c r="C483" s="1075"/>
      <c r="D483" s="1075"/>
      <c r="E483" s="1075"/>
      <c r="F483" s="1075"/>
      <c r="G483" s="1075"/>
      <c r="H483" s="1075"/>
      <c r="I483" s="1075"/>
      <c r="J483" s="1075"/>
      <c r="K483" s="1075"/>
      <c r="L483" s="1075"/>
      <c r="M483" s="1075"/>
      <c r="N483" s="1075"/>
      <c r="O483" s="1075"/>
      <c r="P483" s="1075"/>
      <c r="Q483" s="1075"/>
      <c r="R483" s="1075"/>
      <c r="S483" s="1075"/>
      <c r="T483" s="1075"/>
      <c r="U483" s="1075"/>
      <c r="V483" s="1075"/>
      <c r="W483" s="1075"/>
      <c r="X483" s="1075"/>
      <c r="Y483" s="1075"/>
      <c r="Z483" s="1075"/>
      <c r="AA483" s="1075"/>
    </row>
    <row r="484" spans="1:27" ht="12.75" customHeight="1">
      <c r="A484" s="1075"/>
      <c r="B484" s="1075"/>
      <c r="C484" s="1075"/>
      <c r="D484" s="1075"/>
      <c r="E484" s="1075"/>
      <c r="F484" s="1075"/>
      <c r="G484" s="1075"/>
      <c r="H484" s="1075"/>
      <c r="I484" s="1075"/>
      <c r="J484" s="1075"/>
      <c r="K484" s="1075"/>
      <c r="L484" s="1075"/>
      <c r="M484" s="1075"/>
      <c r="N484" s="1075"/>
      <c r="O484" s="1075"/>
      <c r="P484" s="1075"/>
      <c r="Q484" s="1075"/>
      <c r="R484" s="1075"/>
      <c r="S484" s="1075"/>
      <c r="T484" s="1075"/>
      <c r="U484" s="1075"/>
      <c r="V484" s="1075"/>
      <c r="W484" s="1075"/>
      <c r="X484" s="1075"/>
      <c r="Y484" s="1075"/>
      <c r="Z484" s="1075"/>
      <c r="AA484" s="1075"/>
    </row>
    <row r="485" spans="1:27" ht="12.75" customHeight="1">
      <c r="A485" s="1075"/>
      <c r="B485" s="1075"/>
      <c r="C485" s="1075"/>
      <c r="D485" s="1075"/>
      <c r="E485" s="1075"/>
      <c r="F485" s="1075"/>
      <c r="G485" s="1075"/>
      <c r="H485" s="1075"/>
      <c r="I485" s="1075"/>
      <c r="J485" s="1075"/>
      <c r="K485" s="1075"/>
      <c r="L485" s="1075"/>
      <c r="M485" s="1075"/>
      <c r="N485" s="1075"/>
      <c r="O485" s="1075"/>
      <c r="P485" s="1075"/>
      <c r="Q485" s="1075"/>
      <c r="R485" s="1075"/>
      <c r="S485" s="1075"/>
      <c r="T485" s="1075"/>
      <c r="U485" s="1075"/>
      <c r="V485" s="1075"/>
      <c r="W485" s="1075"/>
      <c r="X485" s="1075"/>
      <c r="Y485" s="1075"/>
      <c r="Z485" s="1075"/>
      <c r="AA485" s="1075"/>
    </row>
    <row r="486" spans="1:27" ht="12.75" customHeight="1">
      <c r="A486" s="1075"/>
      <c r="B486" s="1075"/>
      <c r="C486" s="1075"/>
      <c r="D486" s="1075"/>
      <c r="E486" s="1075"/>
      <c r="F486" s="1075"/>
      <c r="G486" s="1075"/>
      <c r="H486" s="1075"/>
      <c r="I486" s="1075"/>
      <c r="J486" s="1075"/>
      <c r="K486" s="1075"/>
      <c r="L486" s="1075"/>
      <c r="M486" s="1075"/>
      <c r="N486" s="1075"/>
      <c r="O486" s="1075"/>
      <c r="P486" s="1075"/>
      <c r="Q486" s="1075"/>
      <c r="R486" s="1075"/>
      <c r="S486" s="1075"/>
      <c r="T486" s="1075"/>
      <c r="U486" s="1075"/>
      <c r="V486" s="1075"/>
      <c r="W486" s="1075"/>
      <c r="X486" s="1075"/>
      <c r="Y486" s="1075"/>
      <c r="Z486" s="1075"/>
      <c r="AA486" s="1075"/>
    </row>
    <row r="487" spans="1:27" ht="12.75" customHeight="1">
      <c r="A487" s="1075"/>
      <c r="B487" s="1075"/>
      <c r="C487" s="1075"/>
      <c r="D487" s="1075"/>
      <c r="E487" s="1075"/>
      <c r="F487" s="1075"/>
      <c r="G487" s="1075"/>
      <c r="H487" s="1075"/>
      <c r="I487" s="1075"/>
      <c r="J487" s="1075"/>
      <c r="K487" s="1075"/>
      <c r="L487" s="1075"/>
      <c r="M487" s="1075"/>
      <c r="N487" s="1075"/>
      <c r="O487" s="1075"/>
      <c r="P487" s="1075"/>
      <c r="Q487" s="1075"/>
      <c r="R487" s="1075"/>
      <c r="S487" s="1075"/>
      <c r="T487" s="1075"/>
      <c r="U487" s="1075"/>
      <c r="V487" s="1075"/>
      <c r="W487" s="1075"/>
      <c r="X487" s="1075"/>
      <c r="Y487" s="1075"/>
      <c r="Z487" s="1075"/>
      <c r="AA487" s="1075"/>
    </row>
    <row r="488" spans="1:27" ht="12.75" customHeight="1">
      <c r="A488" s="1075"/>
      <c r="B488" s="1075"/>
      <c r="C488" s="1075"/>
      <c r="D488" s="1075"/>
      <c r="E488" s="1075"/>
      <c r="F488" s="1075"/>
      <c r="G488" s="1075"/>
      <c r="H488" s="1075"/>
      <c r="I488" s="1075"/>
      <c r="J488" s="1075"/>
      <c r="K488" s="1075"/>
      <c r="L488" s="1075"/>
      <c r="M488" s="1075"/>
      <c r="N488" s="1075"/>
      <c r="O488" s="1075"/>
      <c r="P488" s="1075"/>
      <c r="Q488" s="1075"/>
      <c r="R488" s="1075"/>
      <c r="S488" s="1075"/>
      <c r="T488" s="1075"/>
      <c r="U488" s="1075"/>
      <c r="V488" s="1075"/>
      <c r="W488" s="1075"/>
      <c r="X488" s="1075"/>
      <c r="Y488" s="1075"/>
      <c r="Z488" s="1075"/>
      <c r="AA488" s="1075"/>
    </row>
    <row r="489" spans="1:27" ht="12.75" customHeight="1">
      <c r="A489" s="1075"/>
      <c r="B489" s="1075"/>
      <c r="C489" s="1075"/>
      <c r="D489" s="1075"/>
      <c r="E489" s="1075"/>
      <c r="F489" s="1075"/>
      <c r="G489" s="1075"/>
      <c r="H489" s="1075"/>
      <c r="I489" s="1075"/>
      <c r="J489" s="1075"/>
      <c r="K489" s="1075"/>
      <c r="L489" s="1075"/>
      <c r="M489" s="1075"/>
      <c r="N489" s="1075"/>
      <c r="O489" s="1075"/>
      <c r="P489" s="1075"/>
      <c r="Q489" s="1075"/>
      <c r="R489" s="1075"/>
      <c r="S489" s="1075"/>
      <c r="T489" s="1075"/>
      <c r="U489" s="1075"/>
      <c r="V489" s="1075"/>
      <c r="W489" s="1075"/>
      <c r="X489" s="1075"/>
      <c r="Y489" s="1075"/>
      <c r="Z489" s="1075"/>
      <c r="AA489" s="1075"/>
    </row>
    <row r="490" spans="1:27" ht="12.75" customHeight="1">
      <c r="A490" s="1075"/>
      <c r="B490" s="1075"/>
      <c r="C490" s="1075"/>
      <c r="D490" s="1075"/>
      <c r="E490" s="1075"/>
      <c r="F490" s="1075"/>
      <c r="G490" s="1075"/>
      <c r="H490" s="1075"/>
      <c r="I490" s="1075"/>
      <c r="J490" s="1075"/>
      <c r="K490" s="1075"/>
      <c r="L490" s="1075"/>
      <c r="M490" s="1075"/>
      <c r="N490" s="1075"/>
      <c r="O490" s="1075"/>
      <c r="P490" s="1075"/>
      <c r="Q490" s="1075"/>
      <c r="R490" s="1075"/>
      <c r="S490" s="1075"/>
      <c r="T490" s="1075"/>
      <c r="U490" s="1075"/>
      <c r="V490" s="1075"/>
      <c r="W490" s="1075"/>
      <c r="X490" s="1075"/>
      <c r="Y490" s="1075"/>
      <c r="Z490" s="1075"/>
      <c r="AA490" s="1075"/>
    </row>
    <row r="491" spans="1:27" ht="12.75" customHeight="1">
      <c r="A491" s="1075"/>
      <c r="B491" s="1075"/>
      <c r="C491" s="1075"/>
      <c r="D491" s="1075"/>
      <c r="E491" s="1075"/>
      <c r="F491" s="1075"/>
      <c r="G491" s="1075"/>
      <c r="H491" s="1075"/>
      <c r="I491" s="1075"/>
      <c r="J491" s="1075"/>
      <c r="K491" s="1075"/>
      <c r="L491" s="1075"/>
      <c r="M491" s="1075"/>
      <c r="N491" s="1075"/>
      <c r="O491" s="1075"/>
      <c r="P491" s="1075"/>
      <c r="Q491" s="1075"/>
      <c r="R491" s="1075"/>
      <c r="S491" s="1075"/>
      <c r="T491" s="1075"/>
      <c r="U491" s="1075"/>
      <c r="V491" s="1075"/>
      <c r="W491" s="1075"/>
      <c r="X491" s="1075"/>
      <c r="Y491" s="1075"/>
      <c r="Z491" s="1075"/>
      <c r="AA491" s="1075"/>
    </row>
    <row r="492" spans="1:27" ht="12.75" customHeight="1">
      <c r="A492" s="1075"/>
      <c r="B492" s="1075"/>
      <c r="C492" s="1075"/>
      <c r="D492" s="1075"/>
      <c r="E492" s="1075"/>
      <c r="F492" s="1075"/>
      <c r="G492" s="1075"/>
      <c r="H492" s="1075"/>
      <c r="I492" s="1075"/>
      <c r="J492" s="1075"/>
      <c r="K492" s="1075"/>
      <c r="L492" s="1075"/>
      <c r="M492" s="1075"/>
      <c r="N492" s="1075"/>
      <c r="O492" s="1075"/>
      <c r="P492" s="1075"/>
      <c r="Q492" s="1075"/>
      <c r="R492" s="1075"/>
      <c r="S492" s="1075"/>
      <c r="T492" s="1075"/>
      <c r="U492" s="1075"/>
      <c r="V492" s="1075"/>
      <c r="W492" s="1075"/>
      <c r="X492" s="1075"/>
      <c r="Y492" s="1075"/>
      <c r="Z492" s="1075"/>
      <c r="AA492" s="1075"/>
    </row>
    <row r="493" spans="1:27" ht="12.75" customHeight="1">
      <c r="A493" s="1075"/>
      <c r="B493" s="1075"/>
      <c r="C493" s="1075"/>
      <c r="D493" s="1075"/>
      <c r="E493" s="1075"/>
      <c r="F493" s="1075"/>
      <c r="G493" s="1075"/>
      <c r="H493" s="1075"/>
      <c r="I493" s="1075"/>
      <c r="J493" s="1075"/>
      <c r="K493" s="1075"/>
      <c r="L493" s="1075"/>
      <c r="M493" s="1075"/>
      <c r="N493" s="1075"/>
      <c r="O493" s="1075"/>
      <c r="P493" s="1075"/>
      <c r="Q493" s="1075"/>
      <c r="R493" s="1075"/>
      <c r="S493" s="1075"/>
      <c r="T493" s="1075"/>
      <c r="U493" s="1075"/>
      <c r="V493" s="1075"/>
      <c r="W493" s="1075"/>
      <c r="X493" s="1075"/>
      <c r="Y493" s="1075"/>
      <c r="Z493" s="1075"/>
      <c r="AA493" s="1075"/>
    </row>
    <row r="494" spans="1:27" ht="12.75" customHeight="1">
      <c r="A494" s="1075"/>
      <c r="B494" s="1075"/>
      <c r="C494" s="1075"/>
      <c r="D494" s="1075"/>
      <c r="E494" s="1075"/>
      <c r="F494" s="1075"/>
      <c r="G494" s="1075"/>
      <c r="H494" s="1075"/>
      <c r="I494" s="1075"/>
      <c r="J494" s="1075"/>
      <c r="K494" s="1075"/>
      <c r="L494" s="1075"/>
      <c r="M494" s="1075"/>
      <c r="N494" s="1075"/>
      <c r="O494" s="1075"/>
      <c r="P494" s="1075"/>
      <c r="Q494" s="1075"/>
      <c r="R494" s="1075"/>
      <c r="S494" s="1075"/>
      <c r="T494" s="1075"/>
      <c r="U494" s="1075"/>
      <c r="V494" s="1075"/>
      <c r="W494" s="1075"/>
      <c r="X494" s="1075"/>
      <c r="Y494" s="1075"/>
      <c r="Z494" s="1075"/>
      <c r="AA494" s="1075"/>
    </row>
    <row r="495" spans="1:27" ht="12.75" customHeight="1">
      <c r="A495" s="1075"/>
      <c r="B495" s="1075"/>
      <c r="C495" s="1075"/>
      <c r="D495" s="1075"/>
      <c r="E495" s="1075"/>
      <c r="F495" s="1075"/>
      <c r="G495" s="1075"/>
      <c r="H495" s="1075"/>
      <c r="I495" s="1075"/>
      <c r="J495" s="1075"/>
      <c r="K495" s="1075"/>
      <c r="L495" s="1075"/>
      <c r="M495" s="1075"/>
      <c r="N495" s="1075"/>
      <c r="O495" s="1075"/>
      <c r="P495" s="1075"/>
      <c r="Q495" s="1075"/>
      <c r="R495" s="1075"/>
      <c r="S495" s="1075"/>
      <c r="T495" s="1075"/>
      <c r="U495" s="1075"/>
      <c r="V495" s="1075"/>
      <c r="W495" s="1075"/>
      <c r="X495" s="1075"/>
      <c r="Y495" s="1075"/>
      <c r="Z495" s="1075"/>
      <c r="AA495" s="1075"/>
    </row>
    <row r="496" spans="1:27" ht="12.75" customHeight="1">
      <c r="A496" s="1075"/>
      <c r="B496" s="1075"/>
      <c r="C496" s="1075"/>
      <c r="D496" s="1075"/>
      <c r="E496" s="1075"/>
      <c r="F496" s="1075"/>
      <c r="G496" s="1075"/>
      <c r="H496" s="1075"/>
      <c r="I496" s="1075"/>
      <c r="J496" s="1075"/>
      <c r="K496" s="1075"/>
      <c r="L496" s="1075"/>
      <c r="M496" s="1075"/>
      <c r="N496" s="1075"/>
      <c r="O496" s="1075"/>
      <c r="P496" s="1075"/>
      <c r="Q496" s="1075"/>
      <c r="R496" s="1075"/>
      <c r="S496" s="1075"/>
      <c r="T496" s="1075"/>
      <c r="U496" s="1075"/>
      <c r="V496" s="1075"/>
      <c r="W496" s="1075"/>
      <c r="X496" s="1075"/>
      <c r="Y496" s="1075"/>
      <c r="Z496" s="1075"/>
      <c r="AA496" s="1075"/>
    </row>
    <row r="497" spans="1:27" ht="12.75" customHeight="1">
      <c r="A497" s="1075"/>
      <c r="B497" s="1075"/>
      <c r="C497" s="1075"/>
      <c r="D497" s="1075"/>
      <c r="E497" s="1075"/>
      <c r="F497" s="1075"/>
      <c r="G497" s="1075"/>
      <c r="H497" s="1075"/>
      <c r="I497" s="1075"/>
      <c r="J497" s="1075"/>
      <c r="K497" s="1075"/>
      <c r="L497" s="1075"/>
      <c r="M497" s="1075"/>
      <c r="N497" s="1075"/>
      <c r="O497" s="1075"/>
      <c r="P497" s="1075"/>
      <c r="Q497" s="1075"/>
      <c r="R497" s="1075"/>
      <c r="S497" s="1075"/>
      <c r="T497" s="1075"/>
      <c r="U497" s="1075"/>
      <c r="V497" s="1075"/>
      <c r="W497" s="1075"/>
      <c r="X497" s="1075"/>
      <c r="Y497" s="1075"/>
      <c r="Z497" s="1075"/>
      <c r="AA497" s="1075"/>
    </row>
    <row r="498" spans="1:27" ht="12.75" customHeight="1">
      <c r="A498" s="1075"/>
      <c r="B498" s="1075"/>
      <c r="C498" s="1075"/>
      <c r="D498" s="1075"/>
      <c r="E498" s="1075"/>
      <c r="F498" s="1075"/>
      <c r="G498" s="1075"/>
      <c r="H498" s="1075"/>
      <c r="I498" s="1075"/>
      <c r="J498" s="1075"/>
      <c r="K498" s="1075"/>
      <c r="L498" s="1075"/>
      <c r="M498" s="1075"/>
      <c r="N498" s="1075"/>
      <c r="O498" s="1075"/>
      <c r="P498" s="1075"/>
      <c r="Q498" s="1075"/>
      <c r="R498" s="1075"/>
      <c r="S498" s="1075"/>
      <c r="T498" s="1075"/>
      <c r="U498" s="1075"/>
      <c r="V498" s="1075"/>
      <c r="W498" s="1075"/>
      <c r="X498" s="1075"/>
      <c r="Y498" s="1075"/>
      <c r="Z498" s="1075"/>
      <c r="AA498" s="1075"/>
    </row>
    <row r="499" spans="1:27" ht="12.75" customHeight="1">
      <c r="A499" s="1075"/>
      <c r="B499" s="1075"/>
      <c r="C499" s="1075"/>
      <c r="D499" s="1075"/>
      <c r="E499" s="1075"/>
      <c r="F499" s="1075"/>
      <c r="G499" s="1075"/>
      <c r="H499" s="1075"/>
      <c r="I499" s="1075"/>
      <c r="J499" s="1075"/>
      <c r="K499" s="1075"/>
      <c r="L499" s="1075"/>
      <c r="M499" s="1075"/>
      <c r="N499" s="1075"/>
      <c r="O499" s="1075"/>
      <c r="P499" s="1075"/>
      <c r="Q499" s="1075"/>
      <c r="R499" s="1075"/>
      <c r="S499" s="1075"/>
      <c r="T499" s="1075"/>
      <c r="U499" s="1075"/>
      <c r="V499" s="1075"/>
      <c r="W499" s="1075"/>
      <c r="X499" s="1075"/>
      <c r="Y499" s="1075"/>
      <c r="Z499" s="1075"/>
      <c r="AA499" s="1075"/>
    </row>
    <row r="500" spans="1:27" ht="12.75" customHeight="1">
      <c r="A500" s="1075"/>
      <c r="B500" s="1075"/>
      <c r="C500" s="1075"/>
      <c r="D500" s="1075"/>
      <c r="E500" s="1075"/>
      <c r="F500" s="1075"/>
      <c r="G500" s="1075"/>
      <c r="H500" s="1075"/>
      <c r="I500" s="1075"/>
      <c r="J500" s="1075"/>
      <c r="K500" s="1075"/>
      <c r="L500" s="1075"/>
      <c r="M500" s="1075"/>
      <c r="N500" s="1075"/>
      <c r="O500" s="1075"/>
      <c r="P500" s="1075"/>
      <c r="Q500" s="1075"/>
      <c r="R500" s="1075"/>
      <c r="S500" s="1075"/>
      <c r="T500" s="1075"/>
      <c r="U500" s="1075"/>
      <c r="V500" s="1075"/>
      <c r="W500" s="1075"/>
      <c r="X500" s="1075"/>
      <c r="Y500" s="1075"/>
      <c r="Z500" s="1075"/>
      <c r="AA500" s="1075"/>
    </row>
    <row r="501" spans="1:27" ht="12.75" customHeight="1">
      <c r="A501" s="1075"/>
      <c r="B501" s="1075"/>
      <c r="C501" s="1075"/>
      <c r="D501" s="1075"/>
      <c r="E501" s="1075"/>
      <c r="F501" s="1075"/>
      <c r="G501" s="1075"/>
      <c r="H501" s="1075"/>
      <c r="I501" s="1075"/>
      <c r="J501" s="1075"/>
      <c r="K501" s="1075"/>
      <c r="L501" s="1075"/>
      <c r="M501" s="1075"/>
      <c r="N501" s="1075"/>
      <c r="O501" s="1075"/>
      <c r="P501" s="1075"/>
      <c r="Q501" s="1075"/>
      <c r="R501" s="1075"/>
      <c r="S501" s="1075"/>
      <c r="T501" s="1075"/>
      <c r="U501" s="1075"/>
      <c r="V501" s="1075"/>
      <c r="W501" s="1075"/>
      <c r="X501" s="1075"/>
      <c r="Y501" s="1075"/>
      <c r="Z501" s="1075"/>
      <c r="AA501" s="1075"/>
    </row>
    <row r="502" spans="1:27" ht="12.75" customHeight="1">
      <c r="A502" s="1075"/>
      <c r="B502" s="1075"/>
      <c r="C502" s="1075"/>
      <c r="D502" s="1075"/>
      <c r="E502" s="1075"/>
      <c r="F502" s="1075"/>
      <c r="G502" s="1075"/>
      <c r="H502" s="1075"/>
      <c r="I502" s="1075"/>
      <c r="J502" s="1075"/>
      <c r="K502" s="1075"/>
      <c r="L502" s="1075"/>
      <c r="M502" s="1075"/>
      <c r="N502" s="1075"/>
      <c r="O502" s="1075"/>
      <c r="P502" s="1075"/>
      <c r="Q502" s="1075"/>
      <c r="R502" s="1075"/>
      <c r="S502" s="1075"/>
      <c r="T502" s="1075"/>
      <c r="U502" s="1075"/>
      <c r="V502" s="1075"/>
      <c r="W502" s="1075"/>
      <c r="X502" s="1075"/>
      <c r="Y502" s="1075"/>
      <c r="Z502" s="1075"/>
      <c r="AA502" s="1075"/>
    </row>
    <row r="503" spans="1:27" ht="12.75" customHeight="1">
      <c r="A503" s="1075"/>
      <c r="B503" s="1075"/>
      <c r="C503" s="1075"/>
      <c r="D503" s="1075"/>
      <c r="E503" s="1075"/>
      <c r="F503" s="1075"/>
      <c r="G503" s="1075"/>
      <c r="H503" s="1075"/>
      <c r="I503" s="1075"/>
      <c r="J503" s="1075"/>
      <c r="K503" s="1075"/>
      <c r="L503" s="1075"/>
      <c r="M503" s="1075"/>
      <c r="N503" s="1075"/>
      <c r="O503" s="1075"/>
      <c r="P503" s="1075"/>
      <c r="Q503" s="1075"/>
      <c r="R503" s="1075"/>
      <c r="S503" s="1075"/>
      <c r="T503" s="1075"/>
      <c r="U503" s="1075"/>
      <c r="V503" s="1075"/>
      <c r="W503" s="1075"/>
      <c r="X503" s="1075"/>
      <c r="Y503" s="1075"/>
      <c r="Z503" s="1075"/>
      <c r="AA503" s="1075"/>
    </row>
    <row r="504" spans="1:27" ht="12.75" customHeight="1">
      <c r="A504" s="1075"/>
      <c r="B504" s="1075"/>
      <c r="C504" s="1075"/>
      <c r="D504" s="1075"/>
      <c r="E504" s="1075"/>
      <c r="F504" s="1075"/>
      <c r="G504" s="1075"/>
      <c r="H504" s="1075"/>
      <c r="I504" s="1075"/>
      <c r="J504" s="1075"/>
      <c r="K504" s="1075"/>
      <c r="L504" s="1075"/>
      <c r="M504" s="1075"/>
      <c r="N504" s="1075"/>
      <c r="O504" s="1075"/>
      <c r="P504" s="1075"/>
      <c r="Q504" s="1075"/>
      <c r="R504" s="1075"/>
      <c r="S504" s="1075"/>
      <c r="T504" s="1075"/>
      <c r="U504" s="1075"/>
      <c r="V504" s="1075"/>
      <c r="W504" s="1075"/>
      <c r="X504" s="1075"/>
      <c r="Y504" s="1075"/>
      <c r="Z504" s="1075"/>
      <c r="AA504" s="1075"/>
    </row>
    <row r="505" spans="1:27" ht="12.75" customHeight="1">
      <c r="A505" s="1075"/>
      <c r="B505" s="1075"/>
      <c r="C505" s="1075"/>
      <c r="D505" s="1075"/>
      <c r="E505" s="1075"/>
      <c r="F505" s="1075"/>
      <c r="G505" s="1075"/>
      <c r="H505" s="1075"/>
      <c r="I505" s="1075"/>
      <c r="J505" s="1075"/>
      <c r="K505" s="1075"/>
      <c r="L505" s="1075"/>
      <c r="M505" s="1075"/>
      <c r="N505" s="1075"/>
      <c r="O505" s="1075"/>
      <c r="P505" s="1075"/>
      <c r="Q505" s="1075"/>
      <c r="R505" s="1075"/>
      <c r="S505" s="1075"/>
      <c r="T505" s="1075"/>
      <c r="U505" s="1075"/>
      <c r="V505" s="1075"/>
      <c r="W505" s="1075"/>
      <c r="X505" s="1075"/>
      <c r="Y505" s="1075"/>
      <c r="Z505" s="1075"/>
      <c r="AA505" s="1075"/>
    </row>
    <row r="506" spans="1:27" ht="12.75" customHeight="1">
      <c r="A506" s="1075"/>
      <c r="B506" s="1075"/>
      <c r="C506" s="1075"/>
      <c r="D506" s="1075"/>
      <c r="E506" s="1075"/>
      <c r="F506" s="1075"/>
      <c r="G506" s="1075"/>
      <c r="H506" s="1075"/>
      <c r="I506" s="1075"/>
      <c r="J506" s="1075"/>
      <c r="K506" s="1075"/>
      <c r="L506" s="1075"/>
      <c r="M506" s="1075"/>
      <c r="N506" s="1075"/>
      <c r="O506" s="1075"/>
      <c r="P506" s="1075"/>
      <c r="Q506" s="1075"/>
      <c r="R506" s="1075"/>
      <c r="S506" s="1075"/>
      <c r="T506" s="1075"/>
      <c r="U506" s="1075"/>
      <c r="V506" s="1075"/>
      <c r="W506" s="1075"/>
      <c r="X506" s="1075"/>
      <c r="Y506" s="1075"/>
      <c r="Z506" s="1075"/>
      <c r="AA506" s="1075"/>
    </row>
    <row r="507" spans="1:27" ht="12.75" customHeight="1">
      <c r="A507" s="1075"/>
      <c r="B507" s="1075"/>
      <c r="C507" s="1075"/>
      <c r="D507" s="1075"/>
      <c r="E507" s="1075"/>
      <c r="F507" s="1075"/>
      <c r="G507" s="1075"/>
      <c r="H507" s="1075"/>
      <c r="I507" s="1075"/>
      <c r="J507" s="1075"/>
      <c r="K507" s="1075"/>
      <c r="L507" s="1075"/>
      <c r="M507" s="1075"/>
      <c r="N507" s="1075"/>
      <c r="O507" s="1075"/>
      <c r="P507" s="1075"/>
      <c r="Q507" s="1075"/>
      <c r="R507" s="1075"/>
      <c r="S507" s="1075"/>
      <c r="T507" s="1075"/>
      <c r="U507" s="1075"/>
      <c r="V507" s="1075"/>
      <c r="W507" s="1075"/>
      <c r="X507" s="1075"/>
      <c r="Y507" s="1075"/>
      <c r="Z507" s="1075"/>
      <c r="AA507" s="1075"/>
    </row>
    <row r="508" spans="1:27" ht="12.75" customHeight="1">
      <c r="A508" s="1075"/>
      <c r="B508" s="1075"/>
      <c r="C508" s="1075"/>
      <c r="D508" s="1075"/>
      <c r="E508" s="1075"/>
      <c r="F508" s="1075"/>
      <c r="G508" s="1075"/>
      <c r="H508" s="1075"/>
      <c r="I508" s="1075"/>
      <c r="J508" s="1075"/>
      <c r="K508" s="1075"/>
      <c r="L508" s="1075"/>
      <c r="M508" s="1075"/>
      <c r="N508" s="1075"/>
      <c r="O508" s="1075"/>
      <c r="P508" s="1075"/>
      <c r="Q508" s="1075"/>
      <c r="R508" s="1075"/>
      <c r="S508" s="1075"/>
      <c r="T508" s="1075"/>
      <c r="U508" s="1075"/>
      <c r="V508" s="1075"/>
      <c r="W508" s="1075"/>
      <c r="X508" s="1075"/>
      <c r="Y508" s="1075"/>
      <c r="Z508" s="1075"/>
      <c r="AA508" s="1075"/>
    </row>
    <row r="509" spans="1:27" ht="12.75" customHeight="1">
      <c r="A509" s="1075"/>
      <c r="B509" s="1075"/>
      <c r="C509" s="1075"/>
      <c r="D509" s="1075"/>
      <c r="E509" s="1075"/>
      <c r="F509" s="1075"/>
      <c r="G509" s="1075"/>
      <c r="H509" s="1075"/>
      <c r="I509" s="1075"/>
      <c r="J509" s="1075"/>
      <c r="K509" s="1075"/>
      <c r="L509" s="1075"/>
      <c r="M509" s="1075"/>
      <c r="N509" s="1075"/>
      <c r="O509" s="1075"/>
      <c r="P509" s="1075"/>
      <c r="Q509" s="1075"/>
      <c r="R509" s="1075"/>
      <c r="S509" s="1075"/>
      <c r="T509" s="1075"/>
      <c r="U509" s="1075"/>
      <c r="V509" s="1075"/>
      <c r="W509" s="1075"/>
      <c r="X509" s="1075"/>
      <c r="Y509" s="1075"/>
      <c r="Z509" s="1075"/>
      <c r="AA509" s="1075"/>
    </row>
    <row r="510" spans="1:27" ht="12.75" customHeight="1">
      <c r="A510" s="1075"/>
      <c r="B510" s="1075"/>
      <c r="C510" s="1075"/>
      <c r="D510" s="1075"/>
      <c r="E510" s="1075"/>
      <c r="F510" s="1075"/>
      <c r="G510" s="1075"/>
      <c r="H510" s="1075"/>
      <c r="I510" s="1075"/>
      <c r="J510" s="1075"/>
      <c r="K510" s="1075"/>
      <c r="L510" s="1075"/>
      <c r="M510" s="1075"/>
      <c r="N510" s="1075"/>
      <c r="O510" s="1075"/>
      <c r="P510" s="1075"/>
      <c r="Q510" s="1075"/>
      <c r="R510" s="1075"/>
      <c r="S510" s="1075"/>
      <c r="T510" s="1075"/>
      <c r="U510" s="1075"/>
      <c r="V510" s="1075"/>
      <c r="W510" s="1075"/>
      <c r="X510" s="1075"/>
      <c r="Y510" s="1075"/>
      <c r="Z510" s="1075"/>
      <c r="AA510" s="1075"/>
    </row>
    <row r="511" spans="1:27" ht="12.75" customHeight="1">
      <c r="A511" s="1075"/>
      <c r="B511" s="1075"/>
      <c r="C511" s="1075"/>
      <c r="D511" s="1075"/>
      <c r="E511" s="1075"/>
      <c r="F511" s="1075"/>
      <c r="G511" s="1075"/>
      <c r="H511" s="1075"/>
      <c r="I511" s="1075"/>
      <c r="J511" s="1075"/>
      <c r="K511" s="1075"/>
      <c r="L511" s="1075"/>
      <c r="M511" s="1075"/>
      <c r="N511" s="1075"/>
      <c r="O511" s="1075"/>
      <c r="P511" s="1075"/>
      <c r="Q511" s="1075"/>
      <c r="R511" s="1075"/>
      <c r="S511" s="1075"/>
      <c r="T511" s="1075"/>
      <c r="U511" s="1075"/>
      <c r="V511" s="1075"/>
      <c r="W511" s="1075"/>
      <c r="X511" s="1075"/>
      <c r="Y511" s="1075"/>
      <c r="Z511" s="1075"/>
      <c r="AA511" s="1075"/>
    </row>
    <row r="512" spans="1:27" ht="12.75" customHeight="1">
      <c r="A512" s="1075"/>
      <c r="B512" s="1075"/>
      <c r="C512" s="1075"/>
      <c r="D512" s="1075"/>
      <c r="E512" s="1075"/>
      <c r="F512" s="1075"/>
      <c r="G512" s="1075"/>
      <c r="H512" s="1075"/>
      <c r="I512" s="1075"/>
      <c r="J512" s="1075"/>
      <c r="K512" s="1075"/>
      <c r="L512" s="1075"/>
      <c r="M512" s="1075"/>
      <c r="N512" s="1075"/>
      <c r="O512" s="1075"/>
      <c r="P512" s="1075"/>
      <c r="Q512" s="1075"/>
      <c r="R512" s="1075"/>
      <c r="S512" s="1075"/>
      <c r="T512" s="1075"/>
      <c r="U512" s="1075"/>
      <c r="V512" s="1075"/>
      <c r="W512" s="1075"/>
      <c r="X512" s="1075"/>
      <c r="Y512" s="1075"/>
      <c r="Z512" s="1075"/>
      <c r="AA512" s="1075"/>
    </row>
    <row r="513" spans="1:27" ht="12.75" customHeight="1">
      <c r="A513" s="1075"/>
      <c r="B513" s="1075"/>
      <c r="C513" s="1075"/>
      <c r="D513" s="1075"/>
      <c r="E513" s="1075"/>
      <c r="F513" s="1075"/>
      <c r="G513" s="1075"/>
      <c r="H513" s="1075"/>
      <c r="I513" s="1075"/>
      <c r="J513" s="1075"/>
      <c r="K513" s="1075"/>
      <c r="L513" s="1075"/>
      <c r="M513" s="1075"/>
      <c r="N513" s="1075"/>
      <c r="O513" s="1075"/>
      <c r="P513" s="1075"/>
      <c r="Q513" s="1075"/>
      <c r="R513" s="1075"/>
      <c r="S513" s="1075"/>
      <c r="T513" s="1075"/>
      <c r="U513" s="1075"/>
      <c r="V513" s="1075"/>
      <c r="W513" s="1075"/>
      <c r="X513" s="1075"/>
      <c r="Y513" s="1075"/>
      <c r="Z513" s="1075"/>
      <c r="AA513" s="1075"/>
    </row>
    <row r="514" spans="1:27" ht="12.75" customHeight="1">
      <c r="A514" s="1075"/>
      <c r="B514" s="1075"/>
      <c r="C514" s="1075"/>
      <c r="D514" s="1075"/>
      <c r="E514" s="1075"/>
      <c r="F514" s="1075"/>
      <c r="G514" s="1075"/>
      <c r="H514" s="1075"/>
      <c r="I514" s="1075"/>
      <c r="J514" s="1075"/>
      <c r="K514" s="1075"/>
      <c r="L514" s="1075"/>
      <c r="M514" s="1075"/>
      <c r="N514" s="1075"/>
      <c r="O514" s="1075"/>
      <c r="P514" s="1075"/>
      <c r="Q514" s="1075"/>
      <c r="R514" s="1075"/>
      <c r="S514" s="1075"/>
      <c r="T514" s="1075"/>
      <c r="U514" s="1075"/>
      <c r="V514" s="1075"/>
      <c r="W514" s="1075"/>
      <c r="X514" s="1075"/>
      <c r="Y514" s="1075"/>
      <c r="Z514" s="1075"/>
      <c r="AA514" s="1075"/>
    </row>
    <row r="515" spans="1:27" ht="12.75" customHeight="1">
      <c r="A515" s="1075"/>
      <c r="B515" s="1075"/>
      <c r="C515" s="1075"/>
      <c r="D515" s="1075"/>
      <c r="E515" s="1075"/>
      <c r="F515" s="1075"/>
      <c r="G515" s="1075"/>
      <c r="H515" s="1075"/>
      <c r="I515" s="1075"/>
      <c r="J515" s="1075"/>
      <c r="K515" s="1075"/>
      <c r="L515" s="1075"/>
      <c r="M515" s="1075"/>
      <c r="N515" s="1075"/>
      <c r="O515" s="1075"/>
      <c r="P515" s="1075"/>
      <c r="Q515" s="1075"/>
      <c r="R515" s="1075"/>
      <c r="S515" s="1075"/>
      <c r="T515" s="1075"/>
      <c r="U515" s="1075"/>
      <c r="V515" s="1075"/>
      <c r="W515" s="1075"/>
      <c r="X515" s="1075"/>
      <c r="Y515" s="1075"/>
      <c r="Z515" s="1075"/>
      <c r="AA515" s="1075"/>
    </row>
    <row r="516" spans="1:27" ht="12.75" customHeight="1">
      <c r="A516" s="1075"/>
      <c r="B516" s="1075"/>
      <c r="C516" s="1075"/>
      <c r="D516" s="1075"/>
      <c r="E516" s="1075"/>
      <c r="F516" s="1075"/>
      <c r="G516" s="1075"/>
      <c r="H516" s="1075"/>
      <c r="I516" s="1075"/>
      <c r="J516" s="1075"/>
      <c r="K516" s="1075"/>
      <c r="L516" s="1075"/>
      <c r="M516" s="1075"/>
      <c r="N516" s="1075"/>
      <c r="O516" s="1075"/>
      <c r="P516" s="1075"/>
      <c r="Q516" s="1075"/>
      <c r="R516" s="1075"/>
      <c r="S516" s="1075"/>
      <c r="T516" s="1075"/>
      <c r="U516" s="1075"/>
      <c r="V516" s="1075"/>
      <c r="W516" s="1075"/>
      <c r="X516" s="1075"/>
      <c r="Y516" s="1075"/>
      <c r="Z516" s="1075"/>
      <c r="AA516" s="1075"/>
    </row>
    <row r="517" spans="1:27" ht="12.75" customHeight="1">
      <c r="A517" s="1075"/>
      <c r="B517" s="1075"/>
      <c r="C517" s="1075"/>
      <c r="D517" s="1075"/>
      <c r="E517" s="1075"/>
      <c r="F517" s="1075"/>
      <c r="G517" s="1075"/>
      <c r="H517" s="1075"/>
      <c r="I517" s="1075"/>
      <c r="J517" s="1075"/>
      <c r="K517" s="1075"/>
      <c r="L517" s="1075"/>
      <c r="M517" s="1075"/>
      <c r="N517" s="1075"/>
      <c r="O517" s="1075"/>
      <c r="P517" s="1075"/>
      <c r="Q517" s="1075"/>
      <c r="R517" s="1075"/>
      <c r="S517" s="1075"/>
      <c r="T517" s="1075"/>
      <c r="U517" s="1075"/>
      <c r="V517" s="1075"/>
      <c r="W517" s="1075"/>
      <c r="X517" s="1075"/>
      <c r="Y517" s="1075"/>
      <c r="Z517" s="1075"/>
      <c r="AA517" s="1075"/>
    </row>
    <row r="518" spans="1:27" ht="12.75" customHeight="1">
      <c r="A518" s="1075"/>
      <c r="B518" s="1075"/>
      <c r="C518" s="1075"/>
      <c r="D518" s="1075"/>
      <c r="E518" s="1075"/>
      <c r="F518" s="1075"/>
      <c r="G518" s="1075"/>
      <c r="H518" s="1075"/>
      <c r="I518" s="1075"/>
      <c r="J518" s="1075"/>
      <c r="K518" s="1075"/>
      <c r="L518" s="1075"/>
      <c r="M518" s="1075"/>
      <c r="N518" s="1075"/>
      <c r="O518" s="1075"/>
      <c r="P518" s="1075"/>
      <c r="Q518" s="1075"/>
      <c r="R518" s="1075"/>
      <c r="S518" s="1075"/>
      <c r="T518" s="1075"/>
      <c r="U518" s="1075"/>
      <c r="V518" s="1075"/>
      <c r="W518" s="1075"/>
      <c r="X518" s="1075"/>
      <c r="Y518" s="1075"/>
      <c r="Z518" s="1075"/>
      <c r="AA518" s="1075"/>
    </row>
    <row r="519" spans="1:27" ht="12.75" customHeight="1">
      <c r="A519" s="1075"/>
      <c r="B519" s="1075"/>
      <c r="C519" s="1075"/>
      <c r="D519" s="1075"/>
      <c r="E519" s="1075"/>
      <c r="F519" s="1075"/>
      <c r="G519" s="1075"/>
      <c r="H519" s="1075"/>
      <c r="I519" s="1075"/>
      <c r="J519" s="1075"/>
      <c r="K519" s="1075"/>
      <c r="L519" s="1075"/>
      <c r="M519" s="1075"/>
      <c r="N519" s="1075"/>
      <c r="O519" s="1075"/>
      <c r="P519" s="1075"/>
      <c r="Q519" s="1075"/>
      <c r="R519" s="1075"/>
      <c r="S519" s="1075"/>
      <c r="T519" s="1075"/>
      <c r="U519" s="1075"/>
      <c r="V519" s="1075"/>
      <c r="W519" s="1075"/>
      <c r="X519" s="1075"/>
      <c r="Y519" s="1075"/>
      <c r="Z519" s="1075"/>
      <c r="AA519" s="1075"/>
    </row>
    <row r="520" spans="1:27" ht="12.75" customHeight="1">
      <c r="A520" s="1075"/>
      <c r="B520" s="1075"/>
      <c r="C520" s="1075"/>
      <c r="D520" s="1075"/>
      <c r="E520" s="1075"/>
      <c r="F520" s="1075"/>
      <c r="G520" s="1075"/>
      <c r="H520" s="1075"/>
      <c r="I520" s="1075"/>
      <c r="J520" s="1075"/>
      <c r="K520" s="1075"/>
      <c r="L520" s="1075"/>
      <c r="M520" s="1075"/>
      <c r="N520" s="1075"/>
      <c r="O520" s="1075"/>
      <c r="P520" s="1075"/>
      <c r="Q520" s="1075"/>
      <c r="R520" s="1075"/>
      <c r="S520" s="1075"/>
      <c r="T520" s="1075"/>
      <c r="U520" s="1075"/>
      <c r="V520" s="1075"/>
      <c r="W520" s="1075"/>
      <c r="X520" s="1075"/>
      <c r="Y520" s="1075"/>
      <c r="Z520" s="1075"/>
      <c r="AA520" s="1075"/>
    </row>
    <row r="521" spans="1:27" ht="12.75" customHeight="1">
      <c r="A521" s="1075"/>
      <c r="B521" s="1075"/>
      <c r="C521" s="1075"/>
      <c r="D521" s="1075"/>
      <c r="E521" s="1075"/>
      <c r="F521" s="1075"/>
      <c r="G521" s="1075"/>
      <c r="H521" s="1075"/>
      <c r="I521" s="1075"/>
      <c r="J521" s="1075"/>
      <c r="K521" s="1075"/>
      <c r="L521" s="1075"/>
      <c r="M521" s="1075"/>
      <c r="N521" s="1075"/>
      <c r="O521" s="1075"/>
      <c r="P521" s="1075"/>
      <c r="Q521" s="1075"/>
      <c r="R521" s="1075"/>
      <c r="S521" s="1075"/>
      <c r="T521" s="1075"/>
      <c r="U521" s="1075"/>
      <c r="V521" s="1075"/>
      <c r="W521" s="1075"/>
      <c r="X521" s="1075"/>
      <c r="Y521" s="1075"/>
      <c r="Z521" s="1075"/>
      <c r="AA521" s="1075"/>
    </row>
    <row r="522" spans="1:27" ht="12.75" customHeight="1">
      <c r="A522" s="1075"/>
      <c r="B522" s="1075"/>
      <c r="C522" s="1075"/>
      <c r="D522" s="1075"/>
      <c r="E522" s="1075"/>
      <c r="F522" s="1075"/>
      <c r="G522" s="1075"/>
      <c r="H522" s="1075"/>
      <c r="I522" s="1075"/>
      <c r="J522" s="1075"/>
      <c r="K522" s="1075"/>
      <c r="L522" s="1075"/>
      <c r="M522" s="1075"/>
      <c r="N522" s="1075"/>
      <c r="O522" s="1075"/>
      <c r="P522" s="1075"/>
      <c r="Q522" s="1075"/>
      <c r="R522" s="1075"/>
      <c r="S522" s="1075"/>
      <c r="T522" s="1075"/>
      <c r="U522" s="1075"/>
      <c r="V522" s="1075"/>
      <c r="W522" s="1075"/>
      <c r="X522" s="1075"/>
      <c r="Y522" s="1075"/>
      <c r="Z522" s="1075"/>
      <c r="AA522" s="1075"/>
    </row>
    <row r="523" spans="1:27" ht="12.75" customHeight="1">
      <c r="A523" s="1075"/>
      <c r="B523" s="1075"/>
      <c r="C523" s="1075"/>
      <c r="D523" s="1075"/>
      <c r="E523" s="1075"/>
      <c r="F523" s="1075"/>
      <c r="G523" s="1075"/>
      <c r="H523" s="1075"/>
      <c r="I523" s="1075"/>
      <c r="J523" s="1075"/>
      <c r="K523" s="1075"/>
      <c r="L523" s="1075"/>
      <c r="M523" s="1075"/>
      <c r="N523" s="1075"/>
      <c r="O523" s="1075"/>
      <c r="P523" s="1075"/>
      <c r="Q523" s="1075"/>
      <c r="R523" s="1075"/>
      <c r="S523" s="1075"/>
      <c r="T523" s="1075"/>
      <c r="U523" s="1075"/>
      <c r="V523" s="1075"/>
      <c r="W523" s="1075"/>
      <c r="X523" s="1075"/>
      <c r="Y523" s="1075"/>
      <c r="Z523" s="1075"/>
      <c r="AA523" s="1075"/>
    </row>
    <row r="524" spans="1:27" ht="12.75" customHeight="1">
      <c r="A524" s="1075"/>
      <c r="B524" s="1075"/>
      <c r="C524" s="1075"/>
      <c r="D524" s="1075"/>
      <c r="E524" s="1075"/>
      <c r="F524" s="1075"/>
      <c r="G524" s="1075"/>
      <c r="H524" s="1075"/>
      <c r="I524" s="1075"/>
      <c r="J524" s="1075"/>
      <c r="K524" s="1075"/>
      <c r="L524" s="1075"/>
      <c r="M524" s="1075"/>
      <c r="N524" s="1075"/>
      <c r="O524" s="1075"/>
      <c r="P524" s="1075"/>
      <c r="Q524" s="1075"/>
      <c r="R524" s="1075"/>
      <c r="S524" s="1075"/>
      <c r="T524" s="1075"/>
      <c r="U524" s="1075"/>
      <c r="V524" s="1075"/>
      <c r="W524" s="1075"/>
      <c r="X524" s="1075"/>
      <c r="Y524" s="1075"/>
      <c r="Z524" s="1075"/>
      <c r="AA524" s="1075"/>
    </row>
    <row r="525" spans="1:27" ht="12.75" customHeight="1">
      <c r="A525" s="1075"/>
      <c r="B525" s="1075"/>
      <c r="C525" s="1075"/>
      <c r="D525" s="1075"/>
      <c r="E525" s="1075"/>
      <c r="F525" s="1075"/>
      <c r="G525" s="1075"/>
      <c r="H525" s="1075"/>
      <c r="I525" s="1075"/>
      <c r="J525" s="1075"/>
      <c r="K525" s="1075"/>
      <c r="L525" s="1075"/>
      <c r="M525" s="1075"/>
      <c r="N525" s="1075"/>
      <c r="O525" s="1075"/>
      <c r="P525" s="1075"/>
      <c r="Q525" s="1075"/>
      <c r="R525" s="1075"/>
      <c r="S525" s="1075"/>
      <c r="T525" s="1075"/>
      <c r="U525" s="1075"/>
      <c r="V525" s="1075"/>
      <c r="W525" s="1075"/>
      <c r="X525" s="1075"/>
      <c r="Y525" s="1075"/>
      <c r="Z525" s="1075"/>
      <c r="AA525" s="1075"/>
    </row>
    <row r="526" spans="1:27" ht="12.75" customHeight="1">
      <c r="A526" s="1075"/>
      <c r="B526" s="1075"/>
      <c r="C526" s="1075"/>
      <c r="D526" s="1075"/>
      <c r="E526" s="1075"/>
      <c r="F526" s="1075"/>
      <c r="G526" s="1075"/>
      <c r="H526" s="1075"/>
      <c r="I526" s="1075"/>
      <c r="J526" s="1075"/>
      <c r="K526" s="1075"/>
      <c r="L526" s="1075"/>
      <c r="M526" s="1075"/>
      <c r="N526" s="1075"/>
      <c r="O526" s="1075"/>
      <c r="P526" s="1075"/>
      <c r="Q526" s="1075"/>
      <c r="R526" s="1075"/>
      <c r="S526" s="1075"/>
      <c r="T526" s="1075"/>
      <c r="U526" s="1075"/>
      <c r="V526" s="1075"/>
      <c r="W526" s="1075"/>
      <c r="X526" s="1075"/>
      <c r="Y526" s="1075"/>
      <c r="Z526" s="1075"/>
      <c r="AA526" s="1075"/>
    </row>
    <row r="527" spans="1:27" ht="12.75" customHeight="1">
      <c r="A527" s="1075"/>
      <c r="B527" s="1075"/>
      <c r="C527" s="1075"/>
      <c r="D527" s="1075"/>
      <c r="E527" s="1075"/>
      <c r="F527" s="1075"/>
      <c r="G527" s="1075"/>
      <c r="H527" s="1075"/>
      <c r="I527" s="1075"/>
      <c r="J527" s="1075"/>
      <c r="K527" s="1075"/>
      <c r="L527" s="1075"/>
      <c r="M527" s="1075"/>
      <c r="N527" s="1075"/>
      <c r="O527" s="1075"/>
      <c r="P527" s="1075"/>
      <c r="Q527" s="1075"/>
      <c r="R527" s="1075"/>
      <c r="S527" s="1075"/>
      <c r="T527" s="1075"/>
      <c r="U527" s="1075"/>
      <c r="V527" s="1075"/>
      <c r="W527" s="1075"/>
      <c r="X527" s="1075"/>
      <c r="Y527" s="1075"/>
      <c r="Z527" s="1075"/>
      <c r="AA527" s="1075"/>
    </row>
    <row r="528" spans="1:27" ht="12.75" customHeight="1">
      <c r="A528" s="1075"/>
      <c r="B528" s="1075"/>
      <c r="C528" s="1075"/>
      <c r="D528" s="1075"/>
      <c r="E528" s="1075"/>
      <c r="F528" s="1075"/>
      <c r="G528" s="1075"/>
      <c r="H528" s="1075"/>
      <c r="I528" s="1075"/>
      <c r="J528" s="1075"/>
      <c r="K528" s="1075"/>
      <c r="L528" s="1075"/>
      <c r="M528" s="1075"/>
      <c r="N528" s="1075"/>
      <c r="O528" s="1075"/>
      <c r="P528" s="1075"/>
      <c r="Q528" s="1075"/>
      <c r="R528" s="1075"/>
      <c r="S528" s="1075"/>
      <c r="T528" s="1075"/>
      <c r="U528" s="1075"/>
      <c r="V528" s="1075"/>
      <c r="W528" s="1075"/>
      <c r="X528" s="1075"/>
      <c r="Y528" s="1075"/>
      <c r="Z528" s="1075"/>
      <c r="AA528" s="1075"/>
    </row>
    <row r="529" spans="1:27" ht="12.75" customHeight="1">
      <c r="A529" s="1075"/>
      <c r="B529" s="1075"/>
      <c r="C529" s="1075"/>
      <c r="D529" s="1075"/>
      <c r="E529" s="1075"/>
      <c r="F529" s="1075"/>
      <c r="G529" s="1075"/>
      <c r="H529" s="1075"/>
      <c r="I529" s="1075"/>
      <c r="J529" s="1075"/>
      <c r="K529" s="1075"/>
      <c r="L529" s="1075"/>
      <c r="M529" s="1075"/>
      <c r="N529" s="1075"/>
      <c r="O529" s="1075"/>
      <c r="P529" s="1075"/>
      <c r="Q529" s="1075"/>
      <c r="R529" s="1075"/>
      <c r="S529" s="1075"/>
      <c r="T529" s="1075"/>
      <c r="U529" s="1075"/>
      <c r="V529" s="1075"/>
      <c r="W529" s="1075"/>
      <c r="X529" s="1075"/>
      <c r="Y529" s="1075"/>
      <c r="Z529" s="1075"/>
      <c r="AA529" s="1075"/>
    </row>
    <row r="530" spans="1:27" ht="12.75" customHeight="1">
      <c r="A530" s="1075"/>
      <c r="B530" s="1075"/>
      <c r="C530" s="1075"/>
      <c r="D530" s="1075"/>
      <c r="E530" s="1075"/>
      <c r="F530" s="1075"/>
      <c r="G530" s="1075"/>
      <c r="H530" s="1075"/>
      <c r="I530" s="1075"/>
      <c r="J530" s="1075"/>
      <c r="K530" s="1075"/>
      <c r="L530" s="1075"/>
      <c r="M530" s="1075"/>
      <c r="N530" s="1075"/>
      <c r="O530" s="1075"/>
      <c r="P530" s="1075"/>
      <c r="Q530" s="1075"/>
      <c r="R530" s="1075"/>
      <c r="S530" s="1075"/>
      <c r="T530" s="1075"/>
      <c r="U530" s="1075"/>
      <c r="V530" s="1075"/>
      <c r="W530" s="1075"/>
      <c r="X530" s="1075"/>
      <c r="Y530" s="1075"/>
      <c r="Z530" s="1075"/>
      <c r="AA530" s="1075"/>
    </row>
    <row r="531" spans="1:27" ht="12.75" customHeight="1">
      <c r="A531" s="1075"/>
      <c r="B531" s="1075"/>
      <c r="C531" s="1075"/>
      <c r="D531" s="1075"/>
      <c r="E531" s="1075"/>
      <c r="F531" s="1075"/>
      <c r="G531" s="1075"/>
      <c r="H531" s="1075"/>
      <c r="I531" s="1075"/>
      <c r="J531" s="1075"/>
      <c r="K531" s="1075"/>
      <c r="L531" s="1075"/>
      <c r="M531" s="1075"/>
      <c r="N531" s="1075"/>
      <c r="O531" s="1075"/>
      <c r="P531" s="1075"/>
      <c r="Q531" s="1075"/>
      <c r="R531" s="1075"/>
      <c r="S531" s="1075"/>
      <c r="T531" s="1075"/>
      <c r="U531" s="1075"/>
      <c r="V531" s="1075"/>
      <c r="W531" s="1075"/>
      <c r="X531" s="1075"/>
      <c r="Y531" s="1075"/>
      <c r="Z531" s="1075"/>
      <c r="AA531" s="1075"/>
    </row>
    <row r="532" spans="1:27" ht="12.75" customHeight="1">
      <c r="A532" s="1075"/>
      <c r="B532" s="1075"/>
      <c r="C532" s="1075"/>
      <c r="D532" s="1075"/>
      <c r="E532" s="1075"/>
      <c r="F532" s="1075"/>
      <c r="G532" s="1075"/>
      <c r="H532" s="1075"/>
      <c r="I532" s="1075"/>
      <c r="J532" s="1075"/>
      <c r="K532" s="1075"/>
      <c r="L532" s="1075"/>
      <c r="M532" s="1075"/>
      <c r="N532" s="1075"/>
      <c r="O532" s="1075"/>
      <c r="P532" s="1075"/>
      <c r="Q532" s="1075"/>
      <c r="R532" s="1075"/>
      <c r="S532" s="1075"/>
      <c r="T532" s="1075"/>
      <c r="U532" s="1075"/>
      <c r="V532" s="1075"/>
      <c r="W532" s="1075"/>
      <c r="X532" s="1075"/>
      <c r="Y532" s="1075"/>
      <c r="Z532" s="1075"/>
      <c r="AA532" s="1075"/>
    </row>
    <row r="533" spans="1:27" ht="12.75" customHeight="1">
      <c r="A533" s="1075"/>
      <c r="B533" s="1075"/>
      <c r="C533" s="1075"/>
      <c r="D533" s="1075"/>
      <c r="E533" s="1075"/>
      <c r="F533" s="1075"/>
      <c r="G533" s="1075"/>
      <c r="H533" s="1075"/>
      <c r="I533" s="1075"/>
      <c r="J533" s="1075"/>
      <c r="K533" s="1075"/>
      <c r="L533" s="1075"/>
      <c r="M533" s="1075"/>
      <c r="N533" s="1075"/>
      <c r="O533" s="1075"/>
      <c r="P533" s="1075"/>
      <c r="Q533" s="1075"/>
      <c r="R533" s="1075"/>
      <c r="S533" s="1075"/>
      <c r="T533" s="1075"/>
      <c r="U533" s="1075"/>
      <c r="V533" s="1075"/>
      <c r="W533" s="1075"/>
      <c r="X533" s="1075"/>
      <c r="Y533" s="1075"/>
      <c r="Z533" s="1075"/>
      <c r="AA533" s="1075"/>
    </row>
    <row r="534" spans="1:27" ht="12.75" customHeight="1">
      <c r="A534" s="1075"/>
      <c r="B534" s="1075"/>
      <c r="C534" s="1075"/>
      <c r="D534" s="1075"/>
      <c r="E534" s="1075"/>
      <c r="F534" s="1075"/>
      <c r="G534" s="1075"/>
      <c r="H534" s="1075"/>
      <c r="I534" s="1075"/>
      <c r="J534" s="1075"/>
      <c r="K534" s="1075"/>
      <c r="L534" s="1075"/>
      <c r="M534" s="1075"/>
      <c r="N534" s="1075"/>
      <c r="O534" s="1075"/>
      <c r="P534" s="1075"/>
      <c r="Q534" s="1075"/>
      <c r="R534" s="1075"/>
      <c r="S534" s="1075"/>
      <c r="T534" s="1075"/>
      <c r="U534" s="1075"/>
      <c r="V534" s="1075"/>
      <c r="W534" s="1075"/>
      <c r="X534" s="1075"/>
      <c r="Y534" s="1075"/>
      <c r="Z534" s="1075"/>
      <c r="AA534" s="1075"/>
    </row>
    <row r="535" spans="1:27" ht="12.75" customHeight="1">
      <c r="A535" s="1075"/>
      <c r="B535" s="1075"/>
      <c r="C535" s="1075"/>
      <c r="D535" s="1075"/>
      <c r="E535" s="1075"/>
      <c r="F535" s="1075"/>
      <c r="G535" s="1075"/>
      <c r="H535" s="1075"/>
      <c r="I535" s="1075"/>
      <c r="J535" s="1075"/>
      <c r="K535" s="1075"/>
      <c r="L535" s="1075"/>
      <c r="M535" s="1075"/>
      <c r="N535" s="1075"/>
      <c r="O535" s="1075"/>
      <c r="P535" s="1075"/>
      <c r="Q535" s="1075"/>
      <c r="R535" s="1075"/>
      <c r="S535" s="1075"/>
      <c r="T535" s="1075"/>
      <c r="U535" s="1075"/>
      <c r="V535" s="1075"/>
      <c r="W535" s="1075"/>
      <c r="X535" s="1075"/>
      <c r="Y535" s="1075"/>
      <c r="Z535" s="1075"/>
      <c r="AA535" s="1075"/>
    </row>
    <row r="536" spans="1:27" ht="12.75" customHeight="1">
      <c r="A536" s="1075"/>
      <c r="B536" s="1075"/>
      <c r="C536" s="1075"/>
      <c r="D536" s="1075"/>
      <c r="E536" s="1075"/>
      <c r="F536" s="1075"/>
      <c r="G536" s="1075"/>
      <c r="H536" s="1075"/>
      <c r="I536" s="1075"/>
      <c r="J536" s="1075"/>
      <c r="K536" s="1075"/>
      <c r="L536" s="1075"/>
      <c r="M536" s="1075"/>
      <c r="N536" s="1075"/>
      <c r="O536" s="1075"/>
      <c r="P536" s="1075"/>
      <c r="Q536" s="1075"/>
      <c r="R536" s="1075"/>
      <c r="S536" s="1075"/>
      <c r="T536" s="1075"/>
      <c r="U536" s="1075"/>
      <c r="V536" s="1075"/>
      <c r="W536" s="1075"/>
      <c r="X536" s="1075"/>
      <c r="Y536" s="1075"/>
      <c r="Z536" s="1075"/>
      <c r="AA536" s="1075"/>
    </row>
    <row r="537" spans="1:27" ht="12.75" customHeight="1">
      <c r="A537" s="1075"/>
      <c r="B537" s="1075"/>
      <c r="C537" s="1075"/>
      <c r="D537" s="1075"/>
      <c r="E537" s="1075"/>
      <c r="F537" s="1075"/>
      <c r="G537" s="1075"/>
      <c r="H537" s="1075"/>
      <c r="I537" s="1075"/>
      <c r="J537" s="1075"/>
      <c r="K537" s="1075"/>
      <c r="L537" s="1075"/>
      <c r="M537" s="1075"/>
      <c r="N537" s="1075"/>
      <c r="O537" s="1075"/>
      <c r="P537" s="1075"/>
      <c r="Q537" s="1075"/>
      <c r="R537" s="1075"/>
      <c r="S537" s="1075"/>
      <c r="T537" s="1075"/>
      <c r="U537" s="1075"/>
      <c r="V537" s="1075"/>
      <c r="W537" s="1075"/>
      <c r="X537" s="1075"/>
      <c r="Y537" s="1075"/>
      <c r="Z537" s="1075"/>
      <c r="AA537" s="1075"/>
    </row>
    <row r="538" spans="1:27" ht="12.75" customHeight="1">
      <c r="A538" s="1075"/>
      <c r="B538" s="1075"/>
      <c r="C538" s="1075"/>
      <c r="D538" s="1075"/>
      <c r="E538" s="1075"/>
      <c r="F538" s="1075"/>
      <c r="G538" s="1075"/>
      <c r="H538" s="1075"/>
      <c r="I538" s="1075"/>
      <c r="J538" s="1075"/>
      <c r="K538" s="1075"/>
      <c r="L538" s="1075"/>
      <c r="M538" s="1075"/>
      <c r="N538" s="1075"/>
      <c r="O538" s="1075"/>
      <c r="P538" s="1075"/>
      <c r="Q538" s="1075"/>
      <c r="R538" s="1075"/>
      <c r="S538" s="1075"/>
      <c r="T538" s="1075"/>
      <c r="U538" s="1075"/>
      <c r="V538" s="1075"/>
      <c r="W538" s="1075"/>
      <c r="X538" s="1075"/>
      <c r="Y538" s="1075"/>
      <c r="Z538" s="1075"/>
      <c r="AA538" s="1075"/>
    </row>
    <row r="539" spans="1:27" ht="12.75" customHeight="1">
      <c r="A539" s="1075"/>
      <c r="B539" s="1075"/>
      <c r="C539" s="1075"/>
      <c r="D539" s="1075"/>
      <c r="E539" s="1075"/>
      <c r="F539" s="1075"/>
      <c r="G539" s="1075"/>
      <c r="H539" s="1075"/>
      <c r="I539" s="1075"/>
      <c r="J539" s="1075"/>
      <c r="K539" s="1075"/>
      <c r="L539" s="1075"/>
      <c r="M539" s="1075"/>
      <c r="N539" s="1075"/>
      <c r="O539" s="1075"/>
      <c r="P539" s="1075"/>
      <c r="Q539" s="1075"/>
      <c r="R539" s="1075"/>
      <c r="S539" s="1075"/>
      <c r="T539" s="1075"/>
      <c r="U539" s="1075"/>
      <c r="V539" s="1075"/>
      <c r="W539" s="1075"/>
      <c r="X539" s="1075"/>
      <c r="Y539" s="1075"/>
      <c r="Z539" s="1075"/>
      <c r="AA539" s="1075"/>
    </row>
    <row r="540" spans="1:27" ht="12.75" customHeight="1">
      <c r="A540" s="1075"/>
      <c r="B540" s="1075"/>
      <c r="C540" s="1075"/>
      <c r="D540" s="1075"/>
      <c r="E540" s="1075"/>
      <c r="F540" s="1075"/>
      <c r="G540" s="1075"/>
      <c r="H540" s="1075"/>
      <c r="I540" s="1075"/>
      <c r="J540" s="1075"/>
      <c r="K540" s="1075"/>
      <c r="L540" s="1075"/>
      <c r="M540" s="1075"/>
      <c r="N540" s="1075"/>
      <c r="O540" s="1075"/>
      <c r="P540" s="1075"/>
      <c r="Q540" s="1075"/>
      <c r="R540" s="1075"/>
      <c r="S540" s="1075"/>
      <c r="T540" s="1075"/>
      <c r="U540" s="1075"/>
      <c r="V540" s="1075"/>
      <c r="W540" s="1075"/>
      <c r="X540" s="1075"/>
      <c r="Y540" s="1075"/>
      <c r="Z540" s="1075"/>
      <c r="AA540" s="1075"/>
    </row>
    <row r="541" spans="1:27" ht="12.75" customHeight="1">
      <c r="A541" s="1075"/>
      <c r="B541" s="1075"/>
      <c r="C541" s="1075"/>
      <c r="D541" s="1075"/>
      <c r="E541" s="1075"/>
      <c r="F541" s="1075"/>
      <c r="G541" s="1075"/>
      <c r="H541" s="1075"/>
      <c r="I541" s="1075"/>
      <c r="J541" s="1075"/>
      <c r="K541" s="1075"/>
      <c r="L541" s="1075"/>
      <c r="M541" s="1075"/>
      <c r="N541" s="1075"/>
      <c r="O541" s="1075"/>
      <c r="P541" s="1075"/>
      <c r="Q541" s="1075"/>
      <c r="R541" s="1075"/>
      <c r="S541" s="1075"/>
      <c r="T541" s="1075"/>
      <c r="U541" s="1075"/>
      <c r="V541" s="1075"/>
      <c r="W541" s="1075"/>
      <c r="X541" s="1075"/>
      <c r="Y541" s="1075"/>
      <c r="Z541" s="1075"/>
      <c r="AA541" s="1075"/>
    </row>
    <row r="542" spans="1:27" ht="12.75" customHeight="1">
      <c r="A542" s="1075"/>
      <c r="B542" s="1075"/>
      <c r="C542" s="1075"/>
      <c r="D542" s="1075"/>
      <c r="E542" s="1075"/>
      <c r="F542" s="1075"/>
      <c r="G542" s="1075"/>
      <c r="H542" s="1075"/>
      <c r="I542" s="1075"/>
      <c r="J542" s="1075"/>
      <c r="K542" s="1075"/>
      <c r="L542" s="1075"/>
      <c r="M542" s="1075"/>
      <c r="N542" s="1075"/>
      <c r="O542" s="1075"/>
      <c r="P542" s="1075"/>
      <c r="Q542" s="1075"/>
      <c r="R542" s="1075"/>
      <c r="S542" s="1075"/>
      <c r="T542" s="1075"/>
      <c r="U542" s="1075"/>
      <c r="V542" s="1075"/>
      <c r="W542" s="1075"/>
      <c r="X542" s="1075"/>
      <c r="Y542" s="1075"/>
      <c r="Z542" s="1075"/>
      <c r="AA542" s="1075"/>
    </row>
    <row r="543" spans="1:27" ht="12.75" customHeight="1">
      <c r="A543" s="1075"/>
      <c r="B543" s="1075"/>
      <c r="C543" s="1075"/>
      <c r="D543" s="1075"/>
      <c r="E543" s="1075"/>
      <c r="F543" s="1075"/>
      <c r="G543" s="1075"/>
      <c r="H543" s="1075"/>
      <c r="I543" s="1075"/>
      <c r="J543" s="1075"/>
      <c r="K543" s="1075"/>
      <c r="L543" s="1075"/>
      <c r="M543" s="1075"/>
      <c r="N543" s="1075"/>
      <c r="O543" s="1075"/>
      <c r="P543" s="1075"/>
      <c r="Q543" s="1075"/>
      <c r="R543" s="1075"/>
      <c r="S543" s="1075"/>
      <c r="T543" s="1075"/>
      <c r="U543" s="1075"/>
      <c r="V543" s="1075"/>
      <c r="W543" s="1075"/>
      <c r="X543" s="1075"/>
      <c r="Y543" s="1075"/>
      <c r="Z543" s="1075"/>
      <c r="AA543" s="1075"/>
    </row>
    <row r="544" spans="1:27" ht="12.75" customHeight="1">
      <c r="A544" s="1075"/>
      <c r="B544" s="1075"/>
      <c r="C544" s="1075"/>
      <c r="D544" s="1075"/>
      <c r="E544" s="1075"/>
      <c r="F544" s="1075"/>
      <c r="G544" s="1075"/>
      <c r="H544" s="1075"/>
      <c r="I544" s="1075"/>
      <c r="J544" s="1075"/>
      <c r="K544" s="1075"/>
      <c r="L544" s="1075"/>
      <c r="M544" s="1075"/>
      <c r="N544" s="1075"/>
      <c r="O544" s="1075"/>
      <c r="P544" s="1075"/>
      <c r="Q544" s="1075"/>
      <c r="R544" s="1075"/>
      <c r="S544" s="1075"/>
      <c r="T544" s="1075"/>
      <c r="U544" s="1075"/>
      <c r="V544" s="1075"/>
      <c r="W544" s="1075"/>
      <c r="X544" s="1075"/>
      <c r="Y544" s="1075"/>
      <c r="Z544" s="1075"/>
      <c r="AA544" s="1075"/>
    </row>
    <row r="545" spans="1:27" ht="12.75" customHeight="1">
      <c r="A545" s="1075"/>
      <c r="B545" s="1075"/>
      <c r="C545" s="1075"/>
      <c r="D545" s="1075"/>
      <c r="E545" s="1075"/>
      <c r="F545" s="1075"/>
      <c r="G545" s="1075"/>
      <c r="H545" s="1075"/>
      <c r="I545" s="1075"/>
      <c r="J545" s="1075"/>
      <c r="K545" s="1075"/>
      <c r="L545" s="1075"/>
      <c r="M545" s="1075"/>
      <c r="N545" s="1075"/>
      <c r="O545" s="1075"/>
      <c r="P545" s="1075"/>
      <c r="Q545" s="1075"/>
      <c r="R545" s="1075"/>
      <c r="S545" s="1075"/>
      <c r="T545" s="1075"/>
      <c r="U545" s="1075"/>
      <c r="V545" s="1075"/>
      <c r="W545" s="1075"/>
      <c r="X545" s="1075"/>
      <c r="Y545" s="1075"/>
      <c r="Z545" s="1075"/>
      <c r="AA545" s="1075"/>
    </row>
    <row r="546" spans="1:27" ht="12.75" customHeight="1">
      <c r="A546" s="1075"/>
      <c r="B546" s="1075"/>
      <c r="C546" s="1075"/>
      <c r="D546" s="1075"/>
      <c r="E546" s="1075"/>
      <c r="F546" s="1075"/>
      <c r="G546" s="1075"/>
      <c r="H546" s="1075"/>
      <c r="I546" s="1075"/>
      <c r="J546" s="1075"/>
      <c r="K546" s="1075"/>
      <c r="L546" s="1075"/>
      <c r="M546" s="1075"/>
      <c r="N546" s="1075"/>
      <c r="O546" s="1075"/>
      <c r="P546" s="1075"/>
      <c r="Q546" s="1075"/>
      <c r="R546" s="1075"/>
      <c r="S546" s="1075"/>
      <c r="T546" s="1075"/>
      <c r="U546" s="1075"/>
      <c r="V546" s="1075"/>
      <c r="W546" s="1075"/>
      <c r="X546" s="1075"/>
      <c r="Y546" s="1075"/>
      <c r="Z546" s="1075"/>
      <c r="AA546" s="1075"/>
    </row>
    <row r="547" spans="1:27" ht="12.75" customHeight="1">
      <c r="A547" s="1075"/>
      <c r="B547" s="1075"/>
      <c r="C547" s="1075"/>
      <c r="D547" s="1075"/>
      <c r="E547" s="1075"/>
      <c r="F547" s="1075"/>
      <c r="G547" s="1075"/>
      <c r="H547" s="1075"/>
      <c r="I547" s="1075"/>
      <c r="J547" s="1075"/>
      <c r="K547" s="1075"/>
      <c r="L547" s="1075"/>
      <c r="M547" s="1075"/>
      <c r="N547" s="1075"/>
      <c r="O547" s="1075"/>
      <c r="P547" s="1075"/>
      <c r="Q547" s="1075"/>
      <c r="R547" s="1075"/>
      <c r="S547" s="1075"/>
      <c r="T547" s="1075"/>
      <c r="U547" s="1075"/>
      <c r="V547" s="1075"/>
      <c r="W547" s="1075"/>
      <c r="X547" s="1075"/>
      <c r="Y547" s="1075"/>
      <c r="Z547" s="1075"/>
      <c r="AA547" s="1075"/>
    </row>
    <row r="548" spans="1:27" ht="12.75" customHeight="1">
      <c r="A548" s="1075"/>
      <c r="B548" s="1075"/>
      <c r="C548" s="1075"/>
      <c r="D548" s="1075"/>
      <c r="E548" s="1075"/>
      <c r="F548" s="1075"/>
      <c r="G548" s="1075"/>
      <c r="H548" s="1075"/>
      <c r="I548" s="1075"/>
      <c r="J548" s="1075"/>
      <c r="K548" s="1075"/>
      <c r="L548" s="1075"/>
      <c r="M548" s="1075"/>
      <c r="N548" s="1075"/>
      <c r="O548" s="1075"/>
      <c r="P548" s="1075"/>
      <c r="Q548" s="1075"/>
      <c r="R548" s="1075"/>
      <c r="S548" s="1075"/>
      <c r="T548" s="1075"/>
      <c r="U548" s="1075"/>
      <c r="V548" s="1075"/>
      <c r="W548" s="1075"/>
      <c r="X548" s="1075"/>
      <c r="Y548" s="1075"/>
      <c r="Z548" s="1075"/>
      <c r="AA548" s="1075"/>
    </row>
    <row r="549" spans="1:27" ht="12.75" customHeight="1">
      <c r="A549" s="1075"/>
      <c r="B549" s="1075"/>
      <c r="C549" s="1075"/>
      <c r="D549" s="1075"/>
      <c r="E549" s="1075"/>
      <c r="F549" s="1075"/>
      <c r="G549" s="1075"/>
      <c r="H549" s="1075"/>
      <c r="I549" s="1075"/>
      <c r="J549" s="1075"/>
      <c r="K549" s="1075"/>
      <c r="L549" s="1075"/>
      <c r="M549" s="1075"/>
      <c r="N549" s="1075"/>
      <c r="O549" s="1075"/>
      <c r="P549" s="1075"/>
      <c r="Q549" s="1075"/>
      <c r="R549" s="1075"/>
      <c r="S549" s="1075"/>
      <c r="T549" s="1075"/>
      <c r="U549" s="1075"/>
      <c r="V549" s="1075"/>
      <c r="W549" s="1075"/>
      <c r="X549" s="1075"/>
      <c r="Y549" s="1075"/>
      <c r="Z549" s="1075"/>
      <c r="AA549" s="1075"/>
    </row>
    <row r="550" spans="1:27" ht="12.75" customHeight="1">
      <c r="A550" s="1075"/>
      <c r="B550" s="1075"/>
      <c r="C550" s="1075"/>
      <c r="D550" s="1075"/>
      <c r="E550" s="1075"/>
      <c r="F550" s="1075"/>
      <c r="G550" s="1075"/>
      <c r="H550" s="1075"/>
      <c r="I550" s="1075"/>
      <c r="J550" s="1075"/>
      <c r="K550" s="1075"/>
      <c r="L550" s="1075"/>
      <c r="M550" s="1075"/>
      <c r="N550" s="1075"/>
      <c r="O550" s="1075"/>
      <c r="P550" s="1075"/>
      <c r="Q550" s="1075"/>
      <c r="R550" s="1075"/>
      <c r="S550" s="1075"/>
      <c r="T550" s="1075"/>
      <c r="U550" s="1075"/>
      <c r="V550" s="1075"/>
      <c r="W550" s="1075"/>
      <c r="X550" s="1075"/>
      <c r="Y550" s="1075"/>
      <c r="Z550" s="1075"/>
      <c r="AA550" s="1075"/>
    </row>
    <row r="551" spans="1:27" ht="12.75" customHeight="1">
      <c r="A551" s="1075"/>
      <c r="B551" s="1075"/>
      <c r="C551" s="1075"/>
      <c r="D551" s="1075"/>
      <c r="E551" s="1075"/>
      <c r="F551" s="1075"/>
      <c r="G551" s="1075"/>
      <c r="H551" s="1075"/>
      <c r="I551" s="1075"/>
      <c r="J551" s="1075"/>
      <c r="K551" s="1075"/>
      <c r="L551" s="1075"/>
      <c r="M551" s="1075"/>
      <c r="N551" s="1075"/>
      <c r="O551" s="1075"/>
      <c r="P551" s="1075"/>
      <c r="Q551" s="1075"/>
      <c r="R551" s="1075"/>
      <c r="S551" s="1075"/>
      <c r="T551" s="1075"/>
      <c r="U551" s="1075"/>
      <c r="V551" s="1075"/>
      <c r="W551" s="1075"/>
      <c r="X551" s="1075"/>
      <c r="Y551" s="1075"/>
      <c r="Z551" s="1075"/>
      <c r="AA551" s="1075"/>
    </row>
    <row r="552" spans="1:27" ht="12.75" customHeight="1">
      <c r="A552" s="1075"/>
      <c r="B552" s="1075"/>
      <c r="C552" s="1075"/>
      <c r="D552" s="1075"/>
      <c r="E552" s="1075"/>
      <c r="F552" s="1075"/>
      <c r="G552" s="1075"/>
      <c r="H552" s="1075"/>
      <c r="I552" s="1075"/>
      <c r="J552" s="1075"/>
      <c r="K552" s="1075"/>
      <c r="L552" s="1075"/>
      <c r="M552" s="1075"/>
      <c r="N552" s="1075"/>
      <c r="O552" s="1075"/>
      <c r="P552" s="1075"/>
      <c r="Q552" s="1075"/>
      <c r="R552" s="1075"/>
      <c r="S552" s="1075"/>
      <c r="T552" s="1075"/>
      <c r="U552" s="1075"/>
      <c r="V552" s="1075"/>
      <c r="W552" s="1075"/>
      <c r="X552" s="1075"/>
      <c r="Y552" s="1075"/>
      <c r="Z552" s="1075"/>
      <c r="AA552" s="1075"/>
    </row>
    <row r="553" spans="1:27" ht="12.75" customHeight="1">
      <c r="A553" s="1075"/>
      <c r="B553" s="1075"/>
      <c r="C553" s="1075"/>
      <c r="D553" s="1075"/>
      <c r="E553" s="1075"/>
      <c r="F553" s="1075"/>
      <c r="G553" s="1075"/>
      <c r="H553" s="1075"/>
      <c r="I553" s="1075"/>
      <c r="J553" s="1075"/>
      <c r="K553" s="1075"/>
      <c r="L553" s="1075"/>
      <c r="M553" s="1075"/>
      <c r="N553" s="1075"/>
      <c r="O553" s="1075"/>
      <c r="P553" s="1075"/>
      <c r="Q553" s="1075"/>
      <c r="R553" s="1075"/>
      <c r="S553" s="1075"/>
      <c r="T553" s="1075"/>
      <c r="U553" s="1075"/>
      <c r="V553" s="1075"/>
      <c r="W553" s="1075"/>
      <c r="X553" s="1075"/>
      <c r="Y553" s="1075"/>
      <c r="Z553" s="1075"/>
      <c r="AA553" s="1075"/>
    </row>
    <row r="554" spans="1:27" ht="12.75" customHeight="1">
      <c r="A554" s="1075"/>
      <c r="B554" s="1075"/>
      <c r="C554" s="1075"/>
      <c r="D554" s="1075"/>
      <c r="E554" s="1075"/>
      <c r="F554" s="1075"/>
      <c r="G554" s="1075"/>
      <c r="H554" s="1075"/>
      <c r="I554" s="1075"/>
      <c r="J554" s="1075"/>
      <c r="K554" s="1075"/>
      <c r="L554" s="1075"/>
      <c r="M554" s="1075"/>
      <c r="N554" s="1075"/>
      <c r="O554" s="1075"/>
      <c r="P554" s="1075"/>
      <c r="Q554" s="1075"/>
      <c r="R554" s="1075"/>
      <c r="S554" s="1075"/>
      <c r="T554" s="1075"/>
      <c r="U554" s="1075"/>
      <c r="V554" s="1075"/>
      <c r="W554" s="1075"/>
      <c r="X554" s="1075"/>
      <c r="Y554" s="1075"/>
      <c r="Z554" s="1075"/>
      <c r="AA554" s="1075"/>
    </row>
    <row r="555" spans="1:27" ht="12.75" customHeight="1">
      <c r="A555" s="1075"/>
      <c r="B555" s="1075"/>
      <c r="C555" s="1075"/>
      <c r="D555" s="1075"/>
      <c r="E555" s="1075"/>
      <c r="F555" s="1075"/>
      <c r="G555" s="1075"/>
      <c r="H555" s="1075"/>
      <c r="I555" s="1075"/>
      <c r="J555" s="1075"/>
      <c r="K555" s="1075"/>
      <c r="L555" s="1075"/>
      <c r="M555" s="1075"/>
      <c r="N555" s="1075"/>
      <c r="O555" s="1075"/>
      <c r="P555" s="1075"/>
      <c r="Q555" s="1075"/>
      <c r="R555" s="1075"/>
      <c r="S555" s="1075"/>
      <c r="T555" s="1075"/>
      <c r="U555" s="1075"/>
      <c r="V555" s="1075"/>
      <c r="W555" s="1075"/>
      <c r="X555" s="1075"/>
      <c r="Y555" s="1075"/>
      <c r="Z555" s="1075"/>
      <c r="AA555" s="1075"/>
    </row>
    <row r="556" spans="1:27" ht="12.75" customHeight="1">
      <c r="A556" s="1075"/>
      <c r="B556" s="1075"/>
      <c r="C556" s="1075"/>
      <c r="D556" s="1075"/>
      <c r="E556" s="1075"/>
      <c r="F556" s="1075"/>
      <c r="G556" s="1075"/>
      <c r="H556" s="1075"/>
      <c r="I556" s="1075"/>
      <c r="J556" s="1075"/>
      <c r="K556" s="1075"/>
      <c r="L556" s="1075"/>
      <c r="M556" s="1075"/>
      <c r="N556" s="1075"/>
      <c r="O556" s="1075"/>
      <c r="P556" s="1075"/>
      <c r="Q556" s="1075"/>
      <c r="R556" s="1075"/>
      <c r="S556" s="1075"/>
      <c r="T556" s="1075"/>
      <c r="U556" s="1075"/>
      <c r="V556" s="1075"/>
      <c r="W556" s="1075"/>
      <c r="X556" s="1075"/>
      <c r="Y556" s="1075"/>
      <c r="Z556" s="1075"/>
      <c r="AA556" s="1075"/>
    </row>
    <row r="557" spans="1:27" ht="12.75" customHeight="1">
      <c r="A557" s="1075"/>
      <c r="B557" s="1075"/>
      <c r="C557" s="1075"/>
      <c r="D557" s="1075"/>
      <c r="E557" s="1075"/>
      <c r="F557" s="1075"/>
      <c r="G557" s="1075"/>
      <c r="H557" s="1075"/>
      <c r="I557" s="1075"/>
      <c r="J557" s="1075"/>
      <c r="K557" s="1075"/>
      <c r="L557" s="1075"/>
      <c r="M557" s="1075"/>
      <c r="N557" s="1075"/>
      <c r="O557" s="1075"/>
      <c r="P557" s="1075"/>
      <c r="Q557" s="1075"/>
      <c r="R557" s="1075"/>
      <c r="S557" s="1075"/>
      <c r="T557" s="1075"/>
      <c r="U557" s="1075"/>
      <c r="V557" s="1075"/>
      <c r="W557" s="1075"/>
      <c r="X557" s="1075"/>
      <c r="Y557" s="1075"/>
      <c r="Z557" s="1075"/>
      <c r="AA557" s="1075"/>
    </row>
    <row r="558" spans="1:27" ht="12.75" customHeight="1">
      <c r="A558" s="1075"/>
      <c r="B558" s="1075"/>
      <c r="C558" s="1075"/>
      <c r="D558" s="1075"/>
      <c r="E558" s="1075"/>
      <c r="F558" s="1075"/>
      <c r="G558" s="1075"/>
      <c r="H558" s="1075"/>
      <c r="I558" s="1075"/>
      <c r="J558" s="1075"/>
      <c r="K558" s="1075"/>
      <c r="L558" s="1075"/>
      <c r="M558" s="1075"/>
      <c r="N558" s="1075"/>
      <c r="O558" s="1075"/>
      <c r="P558" s="1075"/>
      <c r="Q558" s="1075"/>
      <c r="R558" s="1075"/>
      <c r="S558" s="1075"/>
      <c r="T558" s="1075"/>
      <c r="U558" s="1075"/>
      <c r="V558" s="1075"/>
      <c r="W558" s="1075"/>
      <c r="X558" s="1075"/>
      <c r="Y558" s="1075"/>
      <c r="Z558" s="1075"/>
      <c r="AA558" s="1075"/>
    </row>
    <row r="559" spans="1:27" ht="12.75" customHeight="1">
      <c r="A559" s="1075"/>
      <c r="B559" s="1075"/>
      <c r="C559" s="1075"/>
      <c r="D559" s="1075"/>
      <c r="E559" s="1075"/>
      <c r="F559" s="1075"/>
      <c r="G559" s="1075"/>
      <c r="H559" s="1075"/>
      <c r="I559" s="1075"/>
      <c r="J559" s="1075"/>
      <c r="K559" s="1075"/>
      <c r="L559" s="1075"/>
      <c r="M559" s="1075"/>
      <c r="N559" s="1075"/>
      <c r="O559" s="1075"/>
      <c r="P559" s="1075"/>
      <c r="Q559" s="1075"/>
      <c r="R559" s="1075"/>
      <c r="S559" s="1075"/>
      <c r="T559" s="1075"/>
      <c r="U559" s="1075"/>
      <c r="V559" s="1075"/>
      <c r="W559" s="1075"/>
      <c r="X559" s="1075"/>
      <c r="Y559" s="1075"/>
      <c r="Z559" s="1075"/>
      <c r="AA559" s="1075"/>
    </row>
    <row r="560" spans="1:27" ht="12.75" customHeight="1">
      <c r="A560" s="1075"/>
      <c r="B560" s="1075"/>
      <c r="C560" s="1075"/>
      <c r="D560" s="1075"/>
      <c r="E560" s="1075"/>
      <c r="F560" s="1075"/>
      <c r="G560" s="1075"/>
      <c r="H560" s="1075"/>
      <c r="I560" s="1075"/>
      <c r="J560" s="1075"/>
      <c r="K560" s="1075"/>
      <c r="L560" s="1075"/>
      <c r="M560" s="1075"/>
      <c r="N560" s="1075"/>
      <c r="O560" s="1075"/>
      <c r="P560" s="1075"/>
      <c r="Q560" s="1075"/>
      <c r="R560" s="1075"/>
      <c r="S560" s="1075"/>
      <c r="T560" s="1075"/>
      <c r="U560" s="1075"/>
      <c r="V560" s="1075"/>
      <c r="W560" s="1075"/>
      <c r="X560" s="1075"/>
      <c r="Y560" s="1075"/>
      <c r="Z560" s="1075"/>
      <c r="AA560" s="1075"/>
    </row>
    <row r="561" spans="1:27" ht="12.75" customHeight="1">
      <c r="A561" s="1075"/>
      <c r="B561" s="1075"/>
      <c r="C561" s="1075"/>
      <c r="D561" s="1075"/>
      <c r="E561" s="1075"/>
      <c r="F561" s="1075"/>
      <c r="G561" s="1075"/>
      <c r="H561" s="1075"/>
      <c r="I561" s="1075"/>
      <c r="J561" s="1075"/>
      <c r="K561" s="1075"/>
      <c r="L561" s="1075"/>
      <c r="M561" s="1075"/>
      <c r="N561" s="1075"/>
      <c r="O561" s="1075"/>
      <c r="P561" s="1075"/>
      <c r="Q561" s="1075"/>
      <c r="R561" s="1075"/>
      <c r="S561" s="1075"/>
      <c r="T561" s="1075"/>
      <c r="U561" s="1075"/>
      <c r="V561" s="1075"/>
      <c r="W561" s="1075"/>
      <c r="X561" s="1075"/>
      <c r="Y561" s="1075"/>
      <c r="Z561" s="1075"/>
      <c r="AA561" s="1075"/>
    </row>
    <row r="562" spans="1:27" ht="12.75" customHeight="1">
      <c r="A562" s="1075"/>
      <c r="B562" s="1075"/>
      <c r="C562" s="1075"/>
      <c r="D562" s="1075"/>
      <c r="E562" s="1075"/>
      <c r="F562" s="1075"/>
      <c r="G562" s="1075"/>
      <c r="H562" s="1075"/>
      <c r="I562" s="1075"/>
      <c r="J562" s="1075"/>
      <c r="K562" s="1075"/>
      <c r="L562" s="1075"/>
      <c r="M562" s="1075"/>
      <c r="N562" s="1075"/>
      <c r="O562" s="1075"/>
      <c r="P562" s="1075"/>
      <c r="Q562" s="1075"/>
      <c r="R562" s="1075"/>
      <c r="S562" s="1075"/>
      <c r="T562" s="1075"/>
      <c r="U562" s="1075"/>
      <c r="V562" s="1075"/>
      <c r="W562" s="1075"/>
      <c r="X562" s="1075"/>
      <c r="Y562" s="1075"/>
      <c r="Z562" s="1075"/>
      <c r="AA562" s="1075"/>
    </row>
    <row r="563" spans="1:27" ht="12.75" customHeight="1">
      <c r="A563" s="1075"/>
      <c r="B563" s="1075"/>
      <c r="C563" s="1075"/>
      <c r="D563" s="1075"/>
      <c r="E563" s="1075"/>
      <c r="F563" s="1075"/>
      <c r="G563" s="1075"/>
      <c r="H563" s="1075"/>
      <c r="I563" s="1075"/>
      <c r="J563" s="1075"/>
      <c r="K563" s="1075"/>
      <c r="L563" s="1075"/>
      <c r="M563" s="1075"/>
      <c r="N563" s="1075"/>
      <c r="O563" s="1075"/>
      <c r="P563" s="1075"/>
      <c r="Q563" s="1075"/>
      <c r="R563" s="1075"/>
      <c r="S563" s="1075"/>
      <c r="T563" s="1075"/>
      <c r="U563" s="1075"/>
      <c r="V563" s="1075"/>
      <c r="W563" s="1075"/>
      <c r="X563" s="1075"/>
      <c r="Y563" s="1075"/>
      <c r="Z563" s="1075"/>
      <c r="AA563" s="1075"/>
    </row>
    <row r="564" spans="1:27" ht="12.75" customHeight="1">
      <c r="A564" s="1075"/>
      <c r="B564" s="1075"/>
      <c r="C564" s="1075"/>
      <c r="D564" s="1075"/>
      <c r="E564" s="1075"/>
      <c r="F564" s="1075"/>
      <c r="G564" s="1075"/>
      <c r="H564" s="1075"/>
      <c r="I564" s="1075"/>
      <c r="J564" s="1075"/>
      <c r="K564" s="1075"/>
      <c r="L564" s="1075"/>
      <c r="M564" s="1075"/>
      <c r="N564" s="1075"/>
      <c r="O564" s="1075"/>
      <c r="P564" s="1075"/>
      <c r="Q564" s="1075"/>
      <c r="R564" s="1075"/>
      <c r="S564" s="1075"/>
      <c r="T564" s="1075"/>
      <c r="U564" s="1075"/>
      <c r="V564" s="1075"/>
      <c r="W564" s="1075"/>
      <c r="X564" s="1075"/>
      <c r="Y564" s="1075"/>
      <c r="Z564" s="1075"/>
      <c r="AA564" s="1075"/>
    </row>
    <row r="565" spans="1:27" ht="12.75" customHeight="1">
      <c r="A565" s="1075"/>
      <c r="B565" s="1075"/>
      <c r="C565" s="1075"/>
      <c r="D565" s="1075"/>
      <c r="E565" s="1075"/>
      <c r="F565" s="1075"/>
      <c r="G565" s="1075"/>
      <c r="H565" s="1075"/>
      <c r="I565" s="1075"/>
      <c r="J565" s="1075"/>
      <c r="K565" s="1075"/>
      <c r="L565" s="1075"/>
      <c r="M565" s="1075"/>
      <c r="N565" s="1075"/>
      <c r="O565" s="1075"/>
      <c r="P565" s="1075"/>
      <c r="Q565" s="1075"/>
      <c r="R565" s="1075"/>
      <c r="S565" s="1075"/>
      <c r="T565" s="1075"/>
      <c r="U565" s="1075"/>
      <c r="V565" s="1075"/>
      <c r="W565" s="1075"/>
      <c r="X565" s="1075"/>
      <c r="Y565" s="1075"/>
      <c r="Z565" s="1075"/>
      <c r="AA565" s="1075"/>
    </row>
    <row r="566" spans="1:27" ht="12.75" customHeight="1">
      <c r="A566" s="1075"/>
      <c r="B566" s="1075"/>
      <c r="C566" s="1075"/>
      <c r="D566" s="1075"/>
      <c r="E566" s="1075"/>
      <c r="F566" s="1075"/>
      <c r="G566" s="1075"/>
      <c r="H566" s="1075"/>
      <c r="I566" s="1075"/>
      <c r="J566" s="1075"/>
      <c r="K566" s="1075"/>
      <c r="L566" s="1075"/>
      <c r="M566" s="1075"/>
      <c r="N566" s="1075"/>
      <c r="O566" s="1075"/>
      <c r="P566" s="1075"/>
      <c r="Q566" s="1075"/>
      <c r="R566" s="1075"/>
      <c r="S566" s="1075"/>
      <c r="T566" s="1075"/>
      <c r="U566" s="1075"/>
      <c r="V566" s="1075"/>
      <c r="W566" s="1075"/>
      <c r="X566" s="1075"/>
      <c r="Y566" s="1075"/>
      <c r="Z566" s="1075"/>
      <c r="AA566" s="1075"/>
    </row>
    <row r="567" spans="1:27" ht="12.75" customHeight="1">
      <c r="A567" s="1075"/>
      <c r="B567" s="1075"/>
      <c r="C567" s="1075"/>
      <c r="D567" s="1075"/>
      <c r="E567" s="1075"/>
      <c r="F567" s="1075"/>
      <c r="G567" s="1075"/>
      <c r="H567" s="1075"/>
      <c r="I567" s="1075"/>
      <c r="J567" s="1075"/>
      <c r="K567" s="1075"/>
      <c r="L567" s="1075"/>
      <c r="M567" s="1075"/>
      <c r="N567" s="1075"/>
      <c r="O567" s="1075"/>
      <c r="P567" s="1075"/>
      <c r="Q567" s="1075"/>
      <c r="R567" s="1075"/>
      <c r="S567" s="1075"/>
      <c r="T567" s="1075"/>
      <c r="U567" s="1075"/>
      <c r="V567" s="1075"/>
      <c r="W567" s="1075"/>
      <c r="X567" s="1075"/>
      <c r="Y567" s="1075"/>
      <c r="Z567" s="1075"/>
      <c r="AA567" s="1075"/>
    </row>
    <row r="568" spans="1:27" ht="12.75" customHeight="1">
      <c r="A568" s="1075"/>
      <c r="B568" s="1075"/>
      <c r="C568" s="1075"/>
      <c r="D568" s="1075"/>
      <c r="E568" s="1075"/>
      <c r="F568" s="1075"/>
      <c r="G568" s="1075"/>
      <c r="H568" s="1075"/>
      <c r="I568" s="1075"/>
      <c r="J568" s="1075"/>
      <c r="K568" s="1075"/>
      <c r="L568" s="1075"/>
      <c r="M568" s="1075"/>
      <c r="N568" s="1075"/>
      <c r="O568" s="1075"/>
      <c r="P568" s="1075"/>
      <c r="Q568" s="1075"/>
      <c r="R568" s="1075"/>
      <c r="S568" s="1075"/>
      <c r="T568" s="1075"/>
      <c r="U568" s="1075"/>
      <c r="V568" s="1075"/>
      <c r="W568" s="1075"/>
      <c r="X568" s="1075"/>
      <c r="Y568" s="1075"/>
      <c r="Z568" s="1075"/>
      <c r="AA568" s="1075"/>
    </row>
    <row r="569" spans="1:27" ht="12.75" customHeight="1">
      <c r="A569" s="1075"/>
      <c r="B569" s="1075"/>
      <c r="C569" s="1075"/>
      <c r="D569" s="1075"/>
      <c r="E569" s="1075"/>
      <c r="F569" s="1075"/>
      <c r="G569" s="1075"/>
      <c r="H569" s="1075"/>
      <c r="I569" s="1075"/>
      <c r="J569" s="1075"/>
      <c r="K569" s="1075"/>
      <c r="L569" s="1075"/>
      <c r="M569" s="1075"/>
      <c r="N569" s="1075"/>
      <c r="O569" s="1075"/>
      <c r="P569" s="1075"/>
      <c r="Q569" s="1075"/>
      <c r="R569" s="1075"/>
      <c r="S569" s="1075"/>
      <c r="T569" s="1075"/>
      <c r="U569" s="1075"/>
      <c r="V569" s="1075"/>
      <c r="W569" s="1075"/>
      <c r="X569" s="1075"/>
      <c r="Y569" s="1075"/>
      <c r="Z569" s="1075"/>
      <c r="AA569" s="1075"/>
    </row>
    <row r="570" spans="1:27" ht="12.75" customHeight="1">
      <c r="A570" s="1075"/>
      <c r="B570" s="1075"/>
      <c r="C570" s="1075"/>
      <c r="D570" s="1075"/>
      <c r="E570" s="1075"/>
      <c r="F570" s="1075"/>
      <c r="G570" s="1075"/>
      <c r="H570" s="1075"/>
      <c r="I570" s="1075"/>
      <c r="J570" s="1075"/>
      <c r="K570" s="1075"/>
      <c r="L570" s="1075"/>
      <c r="M570" s="1075"/>
      <c r="N570" s="1075"/>
      <c r="O570" s="1075"/>
      <c r="P570" s="1075"/>
      <c r="Q570" s="1075"/>
      <c r="R570" s="1075"/>
      <c r="S570" s="1075"/>
      <c r="T570" s="1075"/>
      <c r="U570" s="1075"/>
      <c r="V570" s="1075"/>
      <c r="W570" s="1075"/>
      <c r="X570" s="1075"/>
      <c r="Y570" s="1075"/>
      <c r="Z570" s="1075"/>
      <c r="AA570" s="1075"/>
    </row>
    <row r="571" spans="1:27" ht="12.75" customHeight="1">
      <c r="A571" s="1075"/>
      <c r="B571" s="1075"/>
      <c r="C571" s="1075"/>
      <c r="D571" s="1075"/>
      <c r="E571" s="1075"/>
      <c r="F571" s="1075"/>
      <c r="G571" s="1075"/>
      <c r="H571" s="1075"/>
      <c r="I571" s="1075"/>
      <c r="J571" s="1075"/>
      <c r="K571" s="1075"/>
      <c r="L571" s="1075"/>
      <c r="M571" s="1075"/>
      <c r="N571" s="1075"/>
      <c r="O571" s="1075"/>
      <c r="P571" s="1075"/>
      <c r="Q571" s="1075"/>
      <c r="R571" s="1075"/>
      <c r="S571" s="1075"/>
      <c r="T571" s="1075"/>
      <c r="U571" s="1075"/>
      <c r="V571" s="1075"/>
      <c r="W571" s="1075"/>
      <c r="X571" s="1075"/>
      <c r="Y571" s="1075"/>
      <c r="Z571" s="1075"/>
      <c r="AA571" s="1075"/>
    </row>
    <row r="572" spans="1:27" ht="12.75" customHeight="1">
      <c r="A572" s="1075"/>
      <c r="B572" s="1075"/>
      <c r="C572" s="1075"/>
      <c r="D572" s="1075"/>
      <c r="E572" s="1075"/>
      <c r="F572" s="1075"/>
      <c r="G572" s="1075"/>
      <c r="H572" s="1075"/>
      <c r="I572" s="1075"/>
      <c r="J572" s="1075"/>
      <c r="K572" s="1075"/>
      <c r="L572" s="1075"/>
      <c r="M572" s="1075"/>
      <c r="N572" s="1075"/>
      <c r="O572" s="1075"/>
      <c r="P572" s="1075"/>
      <c r="Q572" s="1075"/>
      <c r="R572" s="1075"/>
      <c r="S572" s="1075"/>
      <c r="T572" s="1075"/>
      <c r="U572" s="1075"/>
      <c r="V572" s="1075"/>
      <c r="W572" s="1075"/>
      <c r="X572" s="1075"/>
      <c r="Y572" s="1075"/>
      <c r="Z572" s="1075"/>
      <c r="AA572" s="1075"/>
    </row>
    <row r="573" spans="1:27" ht="12.75" customHeight="1">
      <c r="A573" s="1075"/>
      <c r="B573" s="1075"/>
      <c r="C573" s="1075"/>
      <c r="D573" s="1075"/>
      <c r="E573" s="1075"/>
      <c r="F573" s="1075"/>
      <c r="G573" s="1075"/>
      <c r="H573" s="1075"/>
      <c r="I573" s="1075"/>
      <c r="J573" s="1075"/>
      <c r="K573" s="1075"/>
      <c r="L573" s="1075"/>
      <c r="M573" s="1075"/>
      <c r="N573" s="1075"/>
      <c r="O573" s="1075"/>
      <c r="P573" s="1075"/>
      <c r="Q573" s="1075"/>
      <c r="R573" s="1075"/>
      <c r="S573" s="1075"/>
      <c r="T573" s="1075"/>
      <c r="U573" s="1075"/>
      <c r="V573" s="1075"/>
      <c r="W573" s="1075"/>
      <c r="X573" s="1075"/>
      <c r="Y573" s="1075"/>
      <c r="Z573" s="1075"/>
      <c r="AA573" s="1075"/>
    </row>
    <row r="574" spans="1:27" ht="12.75" customHeight="1">
      <c r="A574" s="1075"/>
      <c r="B574" s="1075"/>
      <c r="C574" s="1075"/>
      <c r="D574" s="1075"/>
      <c r="E574" s="1075"/>
      <c r="F574" s="1075"/>
      <c r="G574" s="1075"/>
      <c r="H574" s="1075"/>
      <c r="I574" s="1075"/>
      <c r="J574" s="1075"/>
      <c r="K574" s="1075"/>
      <c r="L574" s="1075"/>
      <c r="M574" s="1075"/>
      <c r="N574" s="1075"/>
      <c r="O574" s="1075"/>
      <c r="P574" s="1075"/>
      <c r="Q574" s="1075"/>
      <c r="R574" s="1075"/>
      <c r="S574" s="1075"/>
      <c r="T574" s="1075"/>
      <c r="U574" s="1075"/>
      <c r="V574" s="1075"/>
      <c r="W574" s="1075"/>
      <c r="X574" s="1075"/>
      <c r="Y574" s="1075"/>
      <c r="Z574" s="1075"/>
      <c r="AA574" s="1075"/>
    </row>
    <row r="575" spans="1:27" ht="12.75" customHeight="1">
      <c r="A575" s="1075"/>
      <c r="B575" s="1075"/>
      <c r="C575" s="1075"/>
      <c r="D575" s="1075"/>
      <c r="E575" s="1075"/>
      <c r="F575" s="1075"/>
      <c r="G575" s="1075"/>
      <c r="H575" s="1075"/>
      <c r="I575" s="1075"/>
      <c r="J575" s="1075"/>
      <c r="K575" s="1075"/>
      <c r="L575" s="1075"/>
      <c r="M575" s="1075"/>
      <c r="N575" s="1075"/>
      <c r="O575" s="1075"/>
      <c r="P575" s="1075"/>
      <c r="Q575" s="1075"/>
      <c r="R575" s="1075"/>
      <c r="S575" s="1075"/>
      <c r="T575" s="1075"/>
      <c r="U575" s="1075"/>
      <c r="V575" s="1075"/>
      <c r="W575" s="1075"/>
      <c r="X575" s="1075"/>
      <c r="Y575" s="1075"/>
      <c r="Z575" s="1075"/>
      <c r="AA575" s="1075"/>
    </row>
    <row r="576" spans="1:27" ht="12.75" customHeight="1">
      <c r="A576" s="1075"/>
      <c r="B576" s="1075"/>
      <c r="C576" s="1075"/>
      <c r="D576" s="1075"/>
      <c r="E576" s="1075"/>
      <c r="F576" s="1075"/>
      <c r="G576" s="1075"/>
      <c r="H576" s="1075"/>
      <c r="I576" s="1075"/>
      <c r="J576" s="1075"/>
      <c r="K576" s="1075"/>
      <c r="L576" s="1075"/>
      <c r="M576" s="1075"/>
      <c r="N576" s="1075"/>
      <c r="O576" s="1075"/>
      <c r="P576" s="1075"/>
      <c r="Q576" s="1075"/>
      <c r="R576" s="1075"/>
      <c r="S576" s="1075"/>
      <c r="T576" s="1075"/>
      <c r="U576" s="1075"/>
      <c r="V576" s="1075"/>
      <c r="W576" s="1075"/>
      <c r="X576" s="1075"/>
      <c r="Y576" s="1075"/>
      <c r="Z576" s="1075"/>
      <c r="AA576" s="1075"/>
    </row>
    <row r="577" spans="1:27" ht="12.75" customHeight="1">
      <c r="A577" s="1075"/>
      <c r="B577" s="1075"/>
      <c r="C577" s="1075"/>
      <c r="D577" s="1075"/>
      <c r="E577" s="1075"/>
      <c r="F577" s="1075"/>
      <c r="G577" s="1075"/>
      <c r="H577" s="1075"/>
      <c r="I577" s="1075"/>
      <c r="J577" s="1075"/>
      <c r="K577" s="1075"/>
      <c r="L577" s="1075"/>
      <c r="M577" s="1075"/>
      <c r="N577" s="1075"/>
      <c r="O577" s="1075"/>
      <c r="P577" s="1075"/>
      <c r="Q577" s="1075"/>
      <c r="R577" s="1075"/>
      <c r="S577" s="1075"/>
      <c r="T577" s="1075"/>
      <c r="U577" s="1075"/>
      <c r="V577" s="1075"/>
      <c r="W577" s="1075"/>
      <c r="X577" s="1075"/>
      <c r="Y577" s="1075"/>
      <c r="Z577" s="1075"/>
      <c r="AA577" s="1075"/>
    </row>
    <row r="578" spans="1:27" ht="12.75" customHeight="1">
      <c r="A578" s="1075"/>
      <c r="B578" s="1075"/>
      <c r="C578" s="1075"/>
      <c r="D578" s="1075"/>
      <c r="E578" s="1075"/>
      <c r="F578" s="1075"/>
      <c r="G578" s="1075"/>
      <c r="H578" s="1075"/>
      <c r="I578" s="1075"/>
      <c r="J578" s="1075"/>
      <c r="K578" s="1075"/>
      <c r="L578" s="1075"/>
      <c r="M578" s="1075"/>
      <c r="N578" s="1075"/>
      <c r="O578" s="1075"/>
      <c r="P578" s="1075"/>
      <c r="Q578" s="1075"/>
      <c r="R578" s="1075"/>
      <c r="S578" s="1075"/>
      <c r="T578" s="1075"/>
      <c r="U578" s="1075"/>
      <c r="V578" s="1075"/>
      <c r="W578" s="1075"/>
      <c r="X578" s="1075"/>
      <c r="Y578" s="1075"/>
      <c r="Z578" s="1075"/>
      <c r="AA578" s="1075"/>
    </row>
    <row r="579" spans="1:27" ht="12.75" customHeight="1">
      <c r="A579" s="1075"/>
      <c r="B579" s="1075"/>
      <c r="C579" s="1075"/>
      <c r="D579" s="1075"/>
      <c r="E579" s="1075"/>
      <c r="F579" s="1075"/>
      <c r="G579" s="1075"/>
      <c r="H579" s="1075"/>
      <c r="I579" s="1075"/>
      <c r="J579" s="1075"/>
      <c r="K579" s="1075"/>
      <c r="L579" s="1075"/>
      <c r="M579" s="1075"/>
      <c r="N579" s="1075"/>
      <c r="O579" s="1075"/>
      <c r="P579" s="1075"/>
      <c r="Q579" s="1075"/>
      <c r="R579" s="1075"/>
      <c r="S579" s="1075"/>
      <c r="T579" s="1075"/>
      <c r="U579" s="1075"/>
      <c r="V579" s="1075"/>
      <c r="W579" s="1075"/>
      <c r="X579" s="1075"/>
      <c r="Y579" s="1075"/>
      <c r="Z579" s="1075"/>
      <c r="AA579" s="1075"/>
    </row>
    <row r="580" spans="1:27" ht="12.75" customHeight="1">
      <c r="A580" s="1075"/>
      <c r="B580" s="1075"/>
      <c r="C580" s="1075"/>
      <c r="D580" s="1075"/>
      <c r="E580" s="1075"/>
      <c r="F580" s="1075"/>
      <c r="G580" s="1075"/>
      <c r="H580" s="1075"/>
      <c r="I580" s="1075"/>
      <c r="J580" s="1075"/>
      <c r="K580" s="1075"/>
      <c r="L580" s="1075"/>
      <c r="M580" s="1075"/>
      <c r="N580" s="1075"/>
      <c r="O580" s="1075"/>
      <c r="P580" s="1075"/>
      <c r="Q580" s="1075"/>
      <c r="R580" s="1075"/>
      <c r="S580" s="1075"/>
      <c r="T580" s="1075"/>
      <c r="U580" s="1075"/>
      <c r="V580" s="1075"/>
      <c r="W580" s="1075"/>
      <c r="X580" s="1075"/>
      <c r="Y580" s="1075"/>
      <c r="Z580" s="1075"/>
      <c r="AA580" s="1075"/>
    </row>
    <row r="581" spans="1:27" ht="12.75" customHeight="1">
      <c r="A581" s="1075"/>
      <c r="B581" s="1075"/>
      <c r="C581" s="1075"/>
      <c r="D581" s="1075"/>
      <c r="E581" s="1075"/>
      <c r="F581" s="1075"/>
      <c r="G581" s="1075"/>
      <c r="H581" s="1075"/>
      <c r="I581" s="1075"/>
      <c r="J581" s="1075"/>
      <c r="K581" s="1075"/>
      <c r="L581" s="1075"/>
      <c r="M581" s="1075"/>
      <c r="N581" s="1075"/>
      <c r="O581" s="1075"/>
      <c r="P581" s="1075"/>
      <c r="Q581" s="1075"/>
      <c r="R581" s="1075"/>
      <c r="S581" s="1075"/>
      <c r="T581" s="1075"/>
      <c r="U581" s="1075"/>
      <c r="V581" s="1075"/>
      <c r="W581" s="1075"/>
      <c r="X581" s="1075"/>
      <c r="Y581" s="1075"/>
      <c r="Z581" s="1075"/>
      <c r="AA581" s="1075"/>
    </row>
    <row r="582" spans="1:27" ht="12.75" customHeight="1">
      <c r="A582" s="1075"/>
      <c r="B582" s="1075"/>
      <c r="C582" s="1075"/>
      <c r="D582" s="1075"/>
      <c r="E582" s="1075"/>
      <c r="F582" s="1075"/>
      <c r="G582" s="1075"/>
      <c r="H582" s="1075"/>
      <c r="I582" s="1075"/>
      <c r="J582" s="1075"/>
      <c r="K582" s="1075"/>
      <c r="L582" s="1075"/>
      <c r="M582" s="1075"/>
      <c r="N582" s="1075"/>
      <c r="O582" s="1075"/>
      <c r="P582" s="1075"/>
      <c r="Q582" s="1075"/>
      <c r="R582" s="1075"/>
      <c r="S582" s="1075"/>
      <c r="T582" s="1075"/>
      <c r="U582" s="1075"/>
      <c r="V582" s="1075"/>
      <c r="W582" s="1075"/>
      <c r="X582" s="1075"/>
      <c r="Y582" s="1075"/>
      <c r="Z582" s="1075"/>
      <c r="AA582" s="1075"/>
    </row>
    <row r="583" spans="1:27" ht="12.75" customHeight="1">
      <c r="A583" s="1075"/>
      <c r="B583" s="1075"/>
      <c r="C583" s="1075"/>
      <c r="D583" s="1075"/>
      <c r="E583" s="1075"/>
      <c r="F583" s="1075"/>
      <c r="G583" s="1075"/>
      <c r="H583" s="1075"/>
      <c r="I583" s="1075"/>
      <c r="J583" s="1075"/>
      <c r="K583" s="1075"/>
      <c r="L583" s="1075"/>
      <c r="M583" s="1075"/>
      <c r="N583" s="1075"/>
      <c r="O583" s="1075"/>
      <c r="P583" s="1075"/>
      <c r="Q583" s="1075"/>
      <c r="R583" s="1075"/>
      <c r="S583" s="1075"/>
      <c r="T583" s="1075"/>
      <c r="U583" s="1075"/>
      <c r="V583" s="1075"/>
      <c r="W583" s="1075"/>
      <c r="X583" s="1075"/>
      <c r="Y583" s="1075"/>
      <c r="Z583" s="1075"/>
      <c r="AA583" s="1075"/>
    </row>
    <row r="584" spans="1:27" ht="12.75" customHeight="1">
      <c r="A584" s="1075"/>
      <c r="B584" s="1075"/>
      <c r="C584" s="1075"/>
      <c r="D584" s="1075"/>
      <c r="E584" s="1075"/>
      <c r="F584" s="1075"/>
      <c r="G584" s="1075"/>
      <c r="H584" s="1075"/>
      <c r="I584" s="1075"/>
      <c r="J584" s="1075"/>
      <c r="K584" s="1075"/>
      <c r="L584" s="1075"/>
      <c r="M584" s="1075"/>
      <c r="N584" s="1075"/>
      <c r="O584" s="1075"/>
      <c r="P584" s="1075"/>
      <c r="Q584" s="1075"/>
      <c r="R584" s="1075"/>
      <c r="S584" s="1075"/>
      <c r="T584" s="1075"/>
      <c r="U584" s="1075"/>
      <c r="V584" s="1075"/>
      <c r="W584" s="1075"/>
      <c r="X584" s="1075"/>
      <c r="Y584" s="1075"/>
      <c r="Z584" s="1075"/>
      <c r="AA584" s="1075"/>
    </row>
    <row r="585" spans="1:27" ht="12.75" customHeight="1">
      <c r="A585" s="1075"/>
      <c r="B585" s="1075"/>
      <c r="C585" s="1075"/>
      <c r="D585" s="1075"/>
      <c r="E585" s="1075"/>
      <c r="F585" s="1075"/>
      <c r="G585" s="1075"/>
      <c r="H585" s="1075"/>
      <c r="I585" s="1075"/>
      <c r="J585" s="1075"/>
      <c r="K585" s="1075"/>
      <c r="L585" s="1075"/>
      <c r="M585" s="1075"/>
      <c r="N585" s="1075"/>
      <c r="O585" s="1075"/>
      <c r="P585" s="1075"/>
      <c r="Q585" s="1075"/>
      <c r="R585" s="1075"/>
      <c r="S585" s="1075"/>
      <c r="T585" s="1075"/>
      <c r="U585" s="1075"/>
      <c r="V585" s="1075"/>
      <c r="W585" s="1075"/>
      <c r="X585" s="1075"/>
      <c r="Y585" s="1075"/>
      <c r="Z585" s="1075"/>
      <c r="AA585" s="1075"/>
    </row>
    <row r="586" spans="1:27" ht="12.75" customHeight="1">
      <c r="A586" s="1075"/>
      <c r="B586" s="1075"/>
      <c r="C586" s="1075"/>
      <c r="D586" s="1075"/>
      <c r="E586" s="1075"/>
      <c r="F586" s="1075"/>
      <c r="G586" s="1075"/>
      <c r="H586" s="1075"/>
      <c r="I586" s="1075"/>
      <c r="J586" s="1075"/>
      <c r="K586" s="1075"/>
      <c r="L586" s="1075"/>
      <c r="M586" s="1075"/>
      <c r="N586" s="1075"/>
      <c r="O586" s="1075"/>
      <c r="P586" s="1075"/>
      <c r="Q586" s="1075"/>
      <c r="R586" s="1075"/>
      <c r="S586" s="1075"/>
      <c r="T586" s="1075"/>
      <c r="U586" s="1075"/>
      <c r="V586" s="1075"/>
      <c r="W586" s="1075"/>
      <c r="X586" s="1075"/>
      <c r="Y586" s="1075"/>
      <c r="Z586" s="1075"/>
      <c r="AA586" s="1075"/>
    </row>
    <row r="587" spans="1:27" ht="12.75" customHeight="1">
      <c r="A587" s="1075"/>
      <c r="B587" s="1075"/>
      <c r="C587" s="1075"/>
      <c r="D587" s="1075"/>
      <c r="E587" s="1075"/>
      <c r="F587" s="1075"/>
      <c r="G587" s="1075"/>
      <c r="H587" s="1075"/>
      <c r="I587" s="1075"/>
      <c r="J587" s="1075"/>
      <c r="K587" s="1075"/>
      <c r="L587" s="1075"/>
      <c r="M587" s="1075"/>
      <c r="N587" s="1075"/>
      <c r="O587" s="1075"/>
      <c r="P587" s="1075"/>
      <c r="Q587" s="1075"/>
      <c r="R587" s="1075"/>
      <c r="S587" s="1075"/>
      <c r="T587" s="1075"/>
      <c r="U587" s="1075"/>
      <c r="V587" s="1075"/>
      <c r="W587" s="1075"/>
      <c r="X587" s="1075"/>
      <c r="Y587" s="1075"/>
      <c r="Z587" s="1075"/>
      <c r="AA587" s="1075"/>
    </row>
    <row r="588" spans="1:27" ht="12.75" customHeight="1">
      <c r="A588" s="1075"/>
      <c r="B588" s="1075"/>
      <c r="C588" s="1075"/>
      <c r="D588" s="1075"/>
      <c r="E588" s="1075"/>
      <c r="F588" s="1075"/>
      <c r="G588" s="1075"/>
      <c r="H588" s="1075"/>
      <c r="I588" s="1075"/>
      <c r="J588" s="1075"/>
      <c r="K588" s="1075"/>
      <c r="L588" s="1075"/>
      <c r="M588" s="1075"/>
      <c r="N588" s="1075"/>
      <c r="O588" s="1075"/>
      <c r="P588" s="1075"/>
      <c r="Q588" s="1075"/>
      <c r="R588" s="1075"/>
      <c r="S588" s="1075"/>
      <c r="T588" s="1075"/>
      <c r="U588" s="1075"/>
      <c r="V588" s="1075"/>
      <c r="W588" s="1075"/>
      <c r="X588" s="1075"/>
      <c r="Y588" s="1075"/>
      <c r="Z588" s="1075"/>
      <c r="AA588" s="1075"/>
    </row>
    <row r="589" spans="1:27" ht="12.75" customHeight="1">
      <c r="A589" s="1075"/>
      <c r="B589" s="1075"/>
      <c r="C589" s="1075"/>
      <c r="D589" s="1075"/>
      <c r="E589" s="1075"/>
      <c r="F589" s="1075"/>
      <c r="G589" s="1075"/>
      <c r="H589" s="1075"/>
      <c r="I589" s="1075"/>
      <c r="J589" s="1075"/>
      <c r="K589" s="1075"/>
      <c r="L589" s="1075"/>
      <c r="M589" s="1075"/>
      <c r="N589" s="1075"/>
      <c r="O589" s="1075"/>
      <c r="P589" s="1075"/>
      <c r="Q589" s="1075"/>
      <c r="R589" s="1075"/>
      <c r="S589" s="1075"/>
      <c r="T589" s="1075"/>
      <c r="U589" s="1075"/>
      <c r="V589" s="1075"/>
      <c r="W589" s="1075"/>
      <c r="X589" s="1075"/>
      <c r="Y589" s="1075"/>
      <c r="Z589" s="1075"/>
      <c r="AA589" s="1075"/>
    </row>
    <row r="590" spans="1:27" ht="12.75" customHeight="1">
      <c r="A590" s="1075"/>
      <c r="B590" s="1075"/>
      <c r="C590" s="1075"/>
      <c r="D590" s="1075"/>
      <c r="E590" s="1075"/>
      <c r="F590" s="1075"/>
      <c r="G590" s="1075"/>
      <c r="H590" s="1075"/>
      <c r="I590" s="1075"/>
      <c r="J590" s="1075"/>
      <c r="K590" s="1075"/>
      <c r="L590" s="1075"/>
      <c r="M590" s="1075"/>
      <c r="N590" s="1075"/>
      <c r="O590" s="1075"/>
      <c r="P590" s="1075"/>
      <c r="Q590" s="1075"/>
      <c r="R590" s="1075"/>
      <c r="S590" s="1075"/>
      <c r="T590" s="1075"/>
      <c r="U590" s="1075"/>
      <c r="V590" s="1075"/>
      <c r="W590" s="1075"/>
      <c r="X590" s="1075"/>
      <c r="Y590" s="1075"/>
      <c r="Z590" s="1075"/>
      <c r="AA590" s="1075"/>
    </row>
    <row r="591" spans="1:27" ht="12.75" customHeight="1">
      <c r="A591" s="1075"/>
      <c r="B591" s="1075"/>
      <c r="C591" s="1075"/>
      <c r="D591" s="1075"/>
      <c r="E591" s="1075"/>
      <c r="F591" s="1075"/>
      <c r="G591" s="1075"/>
      <c r="H591" s="1075"/>
      <c r="I591" s="1075"/>
      <c r="J591" s="1075"/>
      <c r="K591" s="1075"/>
      <c r="L591" s="1075"/>
      <c r="M591" s="1075"/>
      <c r="N591" s="1075"/>
      <c r="O591" s="1075"/>
      <c r="P591" s="1075"/>
      <c r="Q591" s="1075"/>
      <c r="R591" s="1075"/>
      <c r="S591" s="1075"/>
      <c r="T591" s="1075"/>
      <c r="U591" s="1075"/>
      <c r="V591" s="1075"/>
      <c r="W591" s="1075"/>
      <c r="X591" s="1075"/>
      <c r="Y591" s="1075"/>
      <c r="Z591" s="1075"/>
      <c r="AA591" s="1075"/>
    </row>
    <row r="592" spans="1:27" ht="12.75" customHeight="1">
      <c r="A592" s="1075"/>
      <c r="B592" s="1075"/>
      <c r="C592" s="1075"/>
      <c r="D592" s="1075"/>
      <c r="E592" s="1075"/>
      <c r="F592" s="1075"/>
      <c r="G592" s="1075"/>
      <c r="H592" s="1075"/>
      <c r="I592" s="1075"/>
      <c r="J592" s="1075"/>
      <c r="K592" s="1075"/>
      <c r="L592" s="1075"/>
      <c r="M592" s="1075"/>
      <c r="N592" s="1075"/>
      <c r="O592" s="1075"/>
      <c r="P592" s="1075"/>
      <c r="Q592" s="1075"/>
      <c r="R592" s="1075"/>
      <c r="S592" s="1075"/>
      <c r="T592" s="1075"/>
      <c r="U592" s="1075"/>
      <c r="V592" s="1075"/>
      <c r="W592" s="1075"/>
      <c r="X592" s="1075"/>
      <c r="Y592" s="1075"/>
      <c r="Z592" s="1075"/>
      <c r="AA592" s="1075"/>
    </row>
    <row r="593" spans="1:27" ht="12.75" customHeight="1">
      <c r="A593" s="1075"/>
      <c r="B593" s="1075"/>
      <c r="C593" s="1075"/>
      <c r="D593" s="1075"/>
      <c r="E593" s="1075"/>
      <c r="F593" s="1075"/>
      <c r="G593" s="1075"/>
      <c r="H593" s="1075"/>
      <c r="I593" s="1075"/>
      <c r="J593" s="1075"/>
      <c r="K593" s="1075"/>
      <c r="L593" s="1075"/>
      <c r="M593" s="1075"/>
      <c r="N593" s="1075"/>
      <c r="O593" s="1075"/>
      <c r="P593" s="1075"/>
      <c r="Q593" s="1075"/>
      <c r="R593" s="1075"/>
      <c r="S593" s="1075"/>
      <c r="T593" s="1075"/>
      <c r="U593" s="1075"/>
      <c r="V593" s="1075"/>
      <c r="W593" s="1075"/>
      <c r="X593" s="1075"/>
      <c r="Y593" s="1075"/>
      <c r="Z593" s="1075"/>
      <c r="AA593" s="1075"/>
    </row>
    <row r="594" spans="1:27" ht="12.75" customHeight="1">
      <c r="A594" s="1075"/>
      <c r="B594" s="1075"/>
      <c r="C594" s="1075"/>
      <c r="D594" s="1075"/>
      <c r="E594" s="1075"/>
      <c r="F594" s="1075"/>
      <c r="G594" s="1075"/>
      <c r="H594" s="1075"/>
      <c r="I594" s="1075"/>
      <c r="J594" s="1075"/>
      <c r="K594" s="1075"/>
      <c r="L594" s="1075"/>
      <c r="M594" s="1075"/>
      <c r="N594" s="1075"/>
      <c r="O594" s="1075"/>
      <c r="P594" s="1075"/>
      <c r="Q594" s="1075"/>
      <c r="R594" s="1075"/>
      <c r="S594" s="1075"/>
      <c r="T594" s="1075"/>
      <c r="U594" s="1075"/>
      <c r="V594" s="1075"/>
      <c r="W594" s="1075"/>
      <c r="X594" s="1075"/>
      <c r="Y594" s="1075"/>
      <c r="Z594" s="1075"/>
      <c r="AA594" s="1075"/>
    </row>
    <row r="595" spans="1:27" ht="12.75" customHeight="1">
      <c r="A595" s="1075"/>
      <c r="B595" s="1075"/>
      <c r="C595" s="1075"/>
      <c r="D595" s="1075"/>
      <c r="E595" s="1075"/>
      <c r="F595" s="1075"/>
      <c r="G595" s="1075"/>
      <c r="H595" s="1075"/>
      <c r="I595" s="1075"/>
      <c r="J595" s="1075"/>
      <c r="K595" s="1075"/>
      <c r="L595" s="1075"/>
      <c r="M595" s="1075"/>
      <c r="N595" s="1075"/>
      <c r="O595" s="1075"/>
      <c r="P595" s="1075"/>
      <c r="Q595" s="1075"/>
      <c r="R595" s="1075"/>
      <c r="S595" s="1075"/>
      <c r="T595" s="1075"/>
      <c r="U595" s="1075"/>
      <c r="V595" s="1075"/>
      <c r="W595" s="1075"/>
      <c r="X595" s="1075"/>
      <c r="Y595" s="1075"/>
      <c r="Z595" s="1075"/>
      <c r="AA595" s="1075"/>
    </row>
    <row r="596" spans="1:27" ht="12.75" customHeight="1">
      <c r="A596" s="1075"/>
      <c r="B596" s="1075"/>
      <c r="C596" s="1075"/>
      <c r="D596" s="1075"/>
      <c r="E596" s="1075"/>
      <c r="F596" s="1075"/>
      <c r="G596" s="1075"/>
      <c r="H596" s="1075"/>
      <c r="I596" s="1075"/>
      <c r="J596" s="1075"/>
      <c r="K596" s="1075"/>
      <c r="L596" s="1075"/>
      <c r="M596" s="1075"/>
      <c r="N596" s="1075"/>
      <c r="O596" s="1075"/>
      <c r="P596" s="1075"/>
      <c r="Q596" s="1075"/>
      <c r="R596" s="1075"/>
      <c r="S596" s="1075"/>
      <c r="T596" s="1075"/>
      <c r="U596" s="1075"/>
      <c r="V596" s="1075"/>
      <c r="W596" s="1075"/>
      <c r="X596" s="1075"/>
      <c r="Y596" s="1075"/>
      <c r="Z596" s="1075"/>
      <c r="AA596" s="1075"/>
    </row>
    <row r="597" spans="1:27" ht="12.75" customHeight="1">
      <c r="A597" s="1075"/>
      <c r="B597" s="1075"/>
      <c r="C597" s="1075"/>
      <c r="D597" s="1075"/>
      <c r="E597" s="1075"/>
      <c r="F597" s="1075"/>
      <c r="G597" s="1075"/>
      <c r="H597" s="1075"/>
      <c r="I597" s="1075"/>
      <c r="J597" s="1075"/>
      <c r="K597" s="1075"/>
      <c r="L597" s="1075"/>
      <c r="M597" s="1075"/>
      <c r="N597" s="1075"/>
      <c r="O597" s="1075"/>
      <c r="P597" s="1075"/>
      <c r="Q597" s="1075"/>
      <c r="R597" s="1075"/>
      <c r="S597" s="1075"/>
      <c r="T597" s="1075"/>
      <c r="U597" s="1075"/>
      <c r="V597" s="1075"/>
      <c r="W597" s="1075"/>
      <c r="X597" s="1075"/>
      <c r="Y597" s="1075"/>
      <c r="Z597" s="1075"/>
      <c r="AA597" s="1075"/>
    </row>
    <row r="598" spans="1:27" ht="12.75" customHeight="1">
      <c r="A598" s="1075"/>
      <c r="B598" s="1075"/>
      <c r="C598" s="1075"/>
      <c r="D598" s="1075"/>
      <c r="E598" s="1075"/>
      <c r="F598" s="1075"/>
      <c r="G598" s="1075"/>
      <c r="H598" s="1075"/>
      <c r="I598" s="1075"/>
      <c r="J598" s="1075"/>
      <c r="K598" s="1075"/>
      <c r="L598" s="1075"/>
      <c r="M598" s="1075"/>
      <c r="N598" s="1075"/>
      <c r="O598" s="1075"/>
      <c r="P598" s="1075"/>
      <c r="Q598" s="1075"/>
      <c r="R598" s="1075"/>
      <c r="S598" s="1075"/>
      <c r="T598" s="1075"/>
      <c r="U598" s="1075"/>
      <c r="V598" s="1075"/>
      <c r="W598" s="1075"/>
      <c r="X598" s="1075"/>
      <c r="Y598" s="1075"/>
      <c r="Z598" s="1075"/>
      <c r="AA598" s="1075"/>
    </row>
    <row r="599" spans="1:27" ht="12.75" customHeight="1">
      <c r="A599" s="1075"/>
      <c r="B599" s="1075"/>
      <c r="C599" s="1075"/>
      <c r="D599" s="1075"/>
      <c r="E599" s="1075"/>
      <c r="F599" s="1075"/>
      <c r="G599" s="1075"/>
      <c r="H599" s="1075"/>
      <c r="I599" s="1075"/>
      <c r="J599" s="1075"/>
      <c r="K599" s="1075"/>
      <c r="L599" s="1075"/>
      <c r="M599" s="1075"/>
      <c r="N599" s="1075"/>
      <c r="O599" s="1075"/>
      <c r="P599" s="1075"/>
      <c r="Q599" s="1075"/>
      <c r="R599" s="1075"/>
      <c r="S599" s="1075"/>
      <c r="T599" s="1075"/>
      <c r="U599" s="1075"/>
      <c r="V599" s="1075"/>
      <c r="W599" s="1075"/>
      <c r="X599" s="1075"/>
      <c r="Y599" s="1075"/>
      <c r="Z599" s="1075"/>
      <c r="AA599" s="1075"/>
    </row>
    <row r="600" spans="1:27" ht="12.75" customHeight="1">
      <c r="A600" s="1075"/>
      <c r="B600" s="1075"/>
      <c r="C600" s="1075"/>
      <c r="D600" s="1075"/>
      <c r="E600" s="1075"/>
      <c r="F600" s="1075"/>
      <c r="G600" s="1075"/>
      <c r="H600" s="1075"/>
      <c r="I600" s="1075"/>
      <c r="J600" s="1075"/>
      <c r="K600" s="1075"/>
      <c r="L600" s="1075"/>
      <c r="M600" s="1075"/>
      <c r="N600" s="1075"/>
      <c r="O600" s="1075"/>
      <c r="P600" s="1075"/>
      <c r="Q600" s="1075"/>
      <c r="R600" s="1075"/>
      <c r="S600" s="1075"/>
      <c r="T600" s="1075"/>
      <c r="U600" s="1075"/>
      <c r="V600" s="1075"/>
      <c r="W600" s="1075"/>
      <c r="X600" s="1075"/>
      <c r="Y600" s="1075"/>
      <c r="Z600" s="1075"/>
      <c r="AA600" s="1075"/>
    </row>
    <row r="601" spans="1:27" ht="12.75" customHeight="1">
      <c r="A601" s="1075"/>
      <c r="B601" s="1075"/>
      <c r="C601" s="1075"/>
      <c r="D601" s="1075"/>
      <c r="E601" s="1075"/>
      <c r="F601" s="1075"/>
      <c r="G601" s="1075"/>
      <c r="H601" s="1075"/>
      <c r="I601" s="1075"/>
      <c r="J601" s="1075"/>
      <c r="K601" s="1075"/>
      <c r="L601" s="1075"/>
      <c r="M601" s="1075"/>
      <c r="N601" s="1075"/>
      <c r="O601" s="1075"/>
      <c r="P601" s="1075"/>
      <c r="Q601" s="1075"/>
      <c r="R601" s="1075"/>
      <c r="S601" s="1075"/>
      <c r="T601" s="1075"/>
      <c r="U601" s="1075"/>
      <c r="V601" s="1075"/>
      <c r="W601" s="1075"/>
      <c r="X601" s="1075"/>
      <c r="Y601" s="1075"/>
      <c r="Z601" s="1075"/>
      <c r="AA601" s="1075"/>
    </row>
    <row r="602" spans="1:27" ht="12.75" customHeight="1">
      <c r="A602" s="1075"/>
      <c r="B602" s="1075"/>
      <c r="C602" s="1075"/>
      <c r="D602" s="1075"/>
      <c r="E602" s="1075"/>
      <c r="F602" s="1075"/>
      <c r="G602" s="1075"/>
      <c r="H602" s="1075"/>
      <c r="I602" s="1075"/>
      <c r="J602" s="1075"/>
      <c r="K602" s="1075"/>
      <c r="L602" s="1075"/>
      <c r="M602" s="1075"/>
      <c r="N602" s="1075"/>
      <c r="O602" s="1075"/>
      <c r="P602" s="1075"/>
      <c r="Q602" s="1075"/>
      <c r="R602" s="1075"/>
      <c r="S602" s="1075"/>
      <c r="T602" s="1075"/>
      <c r="U602" s="1075"/>
      <c r="V602" s="1075"/>
      <c r="W602" s="1075"/>
      <c r="X602" s="1075"/>
      <c r="Y602" s="1075"/>
      <c r="Z602" s="1075"/>
      <c r="AA602" s="1075"/>
    </row>
    <row r="603" spans="1:27" ht="12.75" customHeight="1">
      <c r="A603" s="1075"/>
      <c r="B603" s="1075"/>
      <c r="C603" s="1075"/>
      <c r="D603" s="1075"/>
      <c r="E603" s="1075"/>
      <c r="F603" s="1075"/>
      <c r="G603" s="1075"/>
      <c r="H603" s="1075"/>
      <c r="I603" s="1075"/>
      <c r="J603" s="1075"/>
      <c r="K603" s="1075"/>
      <c r="L603" s="1075"/>
      <c r="M603" s="1075"/>
      <c r="N603" s="1075"/>
      <c r="O603" s="1075"/>
      <c r="P603" s="1075"/>
      <c r="Q603" s="1075"/>
      <c r="R603" s="1075"/>
      <c r="S603" s="1075"/>
      <c r="T603" s="1075"/>
      <c r="U603" s="1075"/>
      <c r="V603" s="1075"/>
      <c r="W603" s="1075"/>
      <c r="X603" s="1075"/>
      <c r="Y603" s="1075"/>
      <c r="Z603" s="1075"/>
      <c r="AA603" s="1075"/>
    </row>
    <row r="604" spans="1:27" ht="12.75" customHeight="1">
      <c r="A604" s="1075"/>
      <c r="B604" s="1075"/>
      <c r="C604" s="1075"/>
      <c r="D604" s="1075"/>
      <c r="E604" s="1075"/>
      <c r="F604" s="1075"/>
      <c r="G604" s="1075"/>
      <c r="H604" s="1075"/>
      <c r="I604" s="1075"/>
      <c r="J604" s="1075"/>
      <c r="K604" s="1075"/>
      <c r="L604" s="1075"/>
      <c r="M604" s="1075"/>
      <c r="N604" s="1075"/>
      <c r="O604" s="1075"/>
      <c r="P604" s="1075"/>
      <c r="Q604" s="1075"/>
      <c r="R604" s="1075"/>
      <c r="S604" s="1075"/>
      <c r="T604" s="1075"/>
      <c r="U604" s="1075"/>
      <c r="V604" s="1075"/>
      <c r="W604" s="1075"/>
      <c r="X604" s="1075"/>
      <c r="Y604" s="1075"/>
      <c r="Z604" s="1075"/>
      <c r="AA604" s="1075"/>
    </row>
    <row r="605" spans="1:27" ht="12.75" customHeight="1">
      <c r="A605" s="1075"/>
      <c r="B605" s="1075"/>
      <c r="C605" s="1075"/>
      <c r="D605" s="1075"/>
      <c r="E605" s="1075"/>
      <c r="F605" s="1075"/>
      <c r="G605" s="1075"/>
      <c r="H605" s="1075"/>
      <c r="I605" s="1075"/>
      <c r="J605" s="1075"/>
      <c r="K605" s="1075"/>
      <c r="L605" s="1075"/>
      <c r="M605" s="1075"/>
      <c r="N605" s="1075"/>
      <c r="O605" s="1075"/>
      <c r="P605" s="1075"/>
      <c r="Q605" s="1075"/>
      <c r="R605" s="1075"/>
      <c r="S605" s="1075"/>
      <c r="T605" s="1075"/>
      <c r="U605" s="1075"/>
      <c r="V605" s="1075"/>
      <c r="W605" s="1075"/>
      <c r="X605" s="1075"/>
      <c r="Y605" s="1075"/>
      <c r="Z605" s="1075"/>
      <c r="AA605" s="1075"/>
    </row>
    <row r="606" spans="1:27" ht="12.75" customHeight="1">
      <c r="A606" s="1075"/>
      <c r="B606" s="1075"/>
      <c r="C606" s="1075"/>
      <c r="D606" s="1075"/>
      <c r="E606" s="1075"/>
      <c r="F606" s="1075"/>
      <c r="G606" s="1075"/>
      <c r="H606" s="1075"/>
      <c r="I606" s="1075"/>
      <c r="J606" s="1075"/>
      <c r="K606" s="1075"/>
      <c r="L606" s="1075"/>
      <c r="M606" s="1075"/>
      <c r="N606" s="1075"/>
      <c r="O606" s="1075"/>
      <c r="P606" s="1075"/>
      <c r="Q606" s="1075"/>
      <c r="R606" s="1075"/>
      <c r="S606" s="1075"/>
      <c r="T606" s="1075"/>
      <c r="U606" s="1075"/>
      <c r="V606" s="1075"/>
      <c r="W606" s="1075"/>
      <c r="X606" s="1075"/>
      <c r="Y606" s="1075"/>
      <c r="Z606" s="1075"/>
      <c r="AA606" s="1075"/>
    </row>
    <row r="607" spans="1:27" ht="12.75" customHeight="1">
      <c r="A607" s="1075"/>
      <c r="B607" s="1075"/>
      <c r="C607" s="1075"/>
      <c r="D607" s="1075"/>
      <c r="E607" s="1075"/>
      <c r="F607" s="1075"/>
      <c r="G607" s="1075"/>
      <c r="H607" s="1075"/>
      <c r="I607" s="1075"/>
      <c r="J607" s="1075"/>
      <c r="K607" s="1075"/>
      <c r="L607" s="1075"/>
      <c r="M607" s="1075"/>
      <c r="N607" s="1075"/>
      <c r="O607" s="1075"/>
      <c r="P607" s="1075"/>
      <c r="Q607" s="1075"/>
      <c r="R607" s="1075"/>
      <c r="S607" s="1075"/>
      <c r="T607" s="1075"/>
      <c r="U607" s="1075"/>
      <c r="V607" s="1075"/>
      <c r="W607" s="1075"/>
      <c r="X607" s="1075"/>
      <c r="Y607" s="1075"/>
      <c r="Z607" s="1075"/>
      <c r="AA607" s="1075"/>
    </row>
    <row r="608" spans="1:27" ht="12.75" customHeight="1">
      <c r="A608" s="1075"/>
      <c r="B608" s="1075"/>
      <c r="C608" s="1075"/>
      <c r="D608" s="1075"/>
      <c r="E608" s="1075"/>
      <c r="F608" s="1075"/>
      <c r="G608" s="1075"/>
      <c r="H608" s="1075"/>
      <c r="I608" s="1075"/>
      <c r="J608" s="1075"/>
      <c r="K608" s="1075"/>
      <c r="L608" s="1075"/>
      <c r="M608" s="1075"/>
      <c r="N608" s="1075"/>
      <c r="O608" s="1075"/>
      <c r="P608" s="1075"/>
      <c r="Q608" s="1075"/>
      <c r="R608" s="1075"/>
      <c r="S608" s="1075"/>
      <c r="T608" s="1075"/>
      <c r="U608" s="1075"/>
      <c r="V608" s="1075"/>
      <c r="W608" s="1075"/>
      <c r="X608" s="1075"/>
      <c r="Y608" s="1075"/>
      <c r="Z608" s="1075"/>
      <c r="AA608" s="1075"/>
    </row>
    <row r="609" spans="1:27" ht="12.75" customHeight="1">
      <c r="A609" s="1075"/>
      <c r="B609" s="1075"/>
      <c r="C609" s="1075"/>
      <c r="D609" s="1075"/>
      <c r="E609" s="1075"/>
      <c r="F609" s="1075"/>
      <c r="G609" s="1075"/>
      <c r="H609" s="1075"/>
      <c r="I609" s="1075"/>
      <c r="J609" s="1075"/>
      <c r="K609" s="1075"/>
      <c r="L609" s="1075"/>
      <c r="M609" s="1075"/>
      <c r="N609" s="1075"/>
      <c r="O609" s="1075"/>
      <c r="P609" s="1075"/>
      <c r="Q609" s="1075"/>
      <c r="R609" s="1075"/>
      <c r="S609" s="1075"/>
      <c r="T609" s="1075"/>
      <c r="U609" s="1075"/>
      <c r="V609" s="1075"/>
      <c r="W609" s="1075"/>
      <c r="X609" s="1075"/>
      <c r="Y609" s="1075"/>
      <c r="Z609" s="1075"/>
      <c r="AA609" s="1075"/>
    </row>
    <row r="610" spans="1:27" ht="12.75" customHeight="1">
      <c r="A610" s="1075"/>
      <c r="B610" s="1075"/>
      <c r="C610" s="1075"/>
      <c r="D610" s="1075"/>
      <c r="E610" s="1075"/>
      <c r="F610" s="1075"/>
      <c r="G610" s="1075"/>
      <c r="H610" s="1075"/>
      <c r="I610" s="1075"/>
      <c r="J610" s="1075"/>
      <c r="K610" s="1075"/>
      <c r="L610" s="1075"/>
      <c r="M610" s="1075"/>
      <c r="N610" s="1075"/>
      <c r="O610" s="1075"/>
      <c r="P610" s="1075"/>
      <c r="Q610" s="1075"/>
      <c r="R610" s="1075"/>
      <c r="S610" s="1075"/>
      <c r="T610" s="1075"/>
      <c r="U610" s="1075"/>
      <c r="V610" s="1075"/>
      <c r="W610" s="1075"/>
      <c r="X610" s="1075"/>
      <c r="Y610" s="1075"/>
      <c r="Z610" s="1075"/>
      <c r="AA610" s="1075"/>
    </row>
    <row r="611" spans="1:27" ht="12.75" customHeight="1">
      <c r="A611" s="1075"/>
      <c r="B611" s="1075"/>
      <c r="C611" s="1075"/>
      <c r="D611" s="1075"/>
      <c r="E611" s="1075"/>
      <c r="F611" s="1075"/>
      <c r="G611" s="1075"/>
      <c r="H611" s="1075"/>
      <c r="I611" s="1075"/>
      <c r="J611" s="1075"/>
      <c r="K611" s="1075"/>
      <c r="L611" s="1075"/>
      <c r="M611" s="1075"/>
      <c r="N611" s="1075"/>
      <c r="O611" s="1075"/>
      <c r="P611" s="1075"/>
      <c r="Q611" s="1075"/>
      <c r="R611" s="1075"/>
      <c r="S611" s="1075"/>
      <c r="T611" s="1075"/>
      <c r="U611" s="1075"/>
      <c r="V611" s="1075"/>
      <c r="W611" s="1075"/>
      <c r="X611" s="1075"/>
      <c r="Y611" s="1075"/>
      <c r="Z611" s="1075"/>
      <c r="AA611" s="1075"/>
    </row>
    <row r="612" spans="1:27" ht="12.75" customHeight="1">
      <c r="A612" s="1075"/>
      <c r="B612" s="1075"/>
      <c r="C612" s="1075"/>
      <c r="D612" s="1075"/>
      <c r="E612" s="1075"/>
      <c r="F612" s="1075"/>
      <c r="G612" s="1075"/>
      <c r="H612" s="1075"/>
      <c r="I612" s="1075"/>
      <c r="J612" s="1075"/>
      <c r="K612" s="1075"/>
      <c r="L612" s="1075"/>
      <c r="M612" s="1075"/>
      <c r="N612" s="1075"/>
      <c r="O612" s="1075"/>
      <c r="P612" s="1075"/>
      <c r="Q612" s="1075"/>
      <c r="R612" s="1075"/>
      <c r="S612" s="1075"/>
      <c r="T612" s="1075"/>
      <c r="U612" s="1075"/>
      <c r="V612" s="1075"/>
      <c r="W612" s="1075"/>
      <c r="X612" s="1075"/>
      <c r="Y612" s="1075"/>
      <c r="Z612" s="1075"/>
      <c r="AA612" s="1075"/>
    </row>
    <row r="613" spans="1:27" ht="12.75" customHeight="1">
      <c r="A613" s="1075"/>
      <c r="B613" s="1075"/>
      <c r="C613" s="1075"/>
      <c r="D613" s="1075"/>
      <c r="E613" s="1075"/>
      <c r="F613" s="1075"/>
      <c r="G613" s="1075"/>
      <c r="H613" s="1075"/>
      <c r="I613" s="1075"/>
      <c r="J613" s="1075"/>
      <c r="K613" s="1075"/>
      <c r="L613" s="1075"/>
      <c r="M613" s="1075"/>
      <c r="N613" s="1075"/>
      <c r="O613" s="1075"/>
      <c r="P613" s="1075"/>
      <c r="Q613" s="1075"/>
      <c r="R613" s="1075"/>
      <c r="S613" s="1075"/>
      <c r="T613" s="1075"/>
      <c r="U613" s="1075"/>
      <c r="V613" s="1075"/>
      <c r="W613" s="1075"/>
      <c r="X613" s="1075"/>
      <c r="Y613" s="1075"/>
      <c r="Z613" s="1075"/>
      <c r="AA613" s="1075"/>
    </row>
    <row r="614" spans="1:27" ht="12.75" customHeight="1">
      <c r="A614" s="1075"/>
      <c r="B614" s="1075"/>
      <c r="C614" s="1075"/>
      <c r="D614" s="1075"/>
      <c r="E614" s="1075"/>
      <c r="F614" s="1075"/>
      <c r="G614" s="1075"/>
      <c r="H614" s="1075"/>
      <c r="I614" s="1075"/>
      <c r="J614" s="1075"/>
      <c r="K614" s="1075"/>
      <c r="L614" s="1075"/>
      <c r="M614" s="1075"/>
      <c r="N614" s="1075"/>
      <c r="O614" s="1075"/>
      <c r="P614" s="1075"/>
      <c r="Q614" s="1075"/>
      <c r="R614" s="1075"/>
      <c r="S614" s="1075"/>
      <c r="T614" s="1075"/>
      <c r="U614" s="1075"/>
      <c r="V614" s="1075"/>
      <c r="W614" s="1075"/>
      <c r="X614" s="1075"/>
      <c r="Y614" s="1075"/>
      <c r="Z614" s="1075"/>
      <c r="AA614" s="1075"/>
    </row>
    <row r="615" spans="1:27" ht="12.75" customHeight="1">
      <c r="A615" s="1075"/>
      <c r="B615" s="1075"/>
      <c r="C615" s="1075"/>
      <c r="D615" s="1075"/>
      <c r="E615" s="1075"/>
      <c r="F615" s="1075"/>
      <c r="G615" s="1075"/>
      <c r="H615" s="1075"/>
      <c r="I615" s="1075"/>
      <c r="J615" s="1075"/>
      <c r="K615" s="1075"/>
      <c r="L615" s="1075"/>
      <c r="M615" s="1075"/>
      <c r="N615" s="1075"/>
      <c r="O615" s="1075"/>
      <c r="P615" s="1075"/>
      <c r="Q615" s="1075"/>
      <c r="R615" s="1075"/>
      <c r="S615" s="1075"/>
      <c r="T615" s="1075"/>
      <c r="U615" s="1075"/>
      <c r="V615" s="1075"/>
      <c r="W615" s="1075"/>
      <c r="X615" s="1075"/>
      <c r="Y615" s="1075"/>
      <c r="Z615" s="1075"/>
      <c r="AA615" s="1075"/>
    </row>
    <row r="616" spans="1:27" ht="12.75" customHeight="1">
      <c r="A616" s="1075"/>
      <c r="B616" s="1075"/>
      <c r="C616" s="1075"/>
      <c r="D616" s="1075"/>
      <c r="E616" s="1075"/>
      <c r="F616" s="1075"/>
      <c r="G616" s="1075"/>
      <c r="H616" s="1075"/>
      <c r="I616" s="1075"/>
      <c r="J616" s="1075"/>
      <c r="K616" s="1075"/>
      <c r="L616" s="1075"/>
      <c r="M616" s="1075"/>
      <c r="N616" s="1075"/>
      <c r="O616" s="1075"/>
      <c r="P616" s="1075"/>
      <c r="Q616" s="1075"/>
      <c r="R616" s="1075"/>
      <c r="S616" s="1075"/>
      <c r="T616" s="1075"/>
      <c r="U616" s="1075"/>
      <c r="V616" s="1075"/>
      <c r="W616" s="1075"/>
      <c r="X616" s="1075"/>
      <c r="Y616" s="1075"/>
      <c r="Z616" s="1075"/>
      <c r="AA616" s="1075"/>
    </row>
    <row r="617" spans="1:27" ht="12.75" customHeight="1">
      <c r="A617" s="1075"/>
      <c r="B617" s="1075"/>
      <c r="C617" s="1075"/>
      <c r="D617" s="1075"/>
      <c r="E617" s="1075"/>
      <c r="F617" s="1075"/>
      <c r="G617" s="1075"/>
      <c r="H617" s="1075"/>
      <c r="I617" s="1075"/>
      <c r="J617" s="1075"/>
      <c r="K617" s="1075"/>
      <c r="L617" s="1075"/>
      <c r="M617" s="1075"/>
      <c r="N617" s="1075"/>
      <c r="O617" s="1075"/>
      <c r="P617" s="1075"/>
      <c r="Q617" s="1075"/>
      <c r="R617" s="1075"/>
      <c r="S617" s="1075"/>
      <c r="T617" s="1075"/>
      <c r="U617" s="1075"/>
      <c r="V617" s="1075"/>
      <c r="W617" s="1075"/>
      <c r="X617" s="1075"/>
      <c r="Y617" s="1075"/>
      <c r="Z617" s="1075"/>
      <c r="AA617" s="1075"/>
    </row>
    <row r="618" spans="1:27" ht="12.75" customHeight="1">
      <c r="A618" s="1075"/>
      <c r="B618" s="1075"/>
      <c r="C618" s="1075"/>
      <c r="D618" s="1075"/>
      <c r="E618" s="1075"/>
      <c r="F618" s="1075"/>
      <c r="G618" s="1075"/>
      <c r="H618" s="1075"/>
      <c r="I618" s="1075"/>
      <c r="J618" s="1075"/>
      <c r="K618" s="1075"/>
      <c r="L618" s="1075"/>
      <c r="M618" s="1075"/>
      <c r="N618" s="1075"/>
      <c r="O618" s="1075"/>
      <c r="P618" s="1075"/>
      <c r="Q618" s="1075"/>
      <c r="R618" s="1075"/>
      <c r="S618" s="1075"/>
      <c r="T618" s="1075"/>
      <c r="U618" s="1075"/>
      <c r="V618" s="1075"/>
      <c r="W618" s="1075"/>
      <c r="X618" s="1075"/>
      <c r="Y618" s="1075"/>
      <c r="Z618" s="1075"/>
      <c r="AA618" s="1075"/>
    </row>
    <row r="619" spans="1:27" ht="12.75" customHeight="1">
      <c r="A619" s="1075"/>
      <c r="B619" s="1075"/>
      <c r="C619" s="1075"/>
      <c r="D619" s="1075"/>
      <c r="E619" s="1075"/>
      <c r="F619" s="1075"/>
      <c r="G619" s="1075"/>
      <c r="H619" s="1075"/>
      <c r="I619" s="1075"/>
      <c r="J619" s="1075"/>
      <c r="K619" s="1075"/>
      <c r="L619" s="1075"/>
      <c r="M619" s="1075"/>
      <c r="N619" s="1075"/>
      <c r="O619" s="1075"/>
      <c r="P619" s="1075"/>
      <c r="Q619" s="1075"/>
      <c r="R619" s="1075"/>
      <c r="S619" s="1075"/>
      <c r="T619" s="1075"/>
      <c r="U619" s="1075"/>
      <c r="V619" s="1075"/>
      <c r="W619" s="1075"/>
      <c r="X619" s="1075"/>
      <c r="Y619" s="1075"/>
      <c r="Z619" s="1075"/>
      <c r="AA619" s="1075"/>
    </row>
    <row r="620" spans="1:27" ht="12.75" customHeight="1">
      <c r="A620" s="1075"/>
      <c r="B620" s="1075"/>
      <c r="C620" s="1075"/>
      <c r="D620" s="1075"/>
      <c r="E620" s="1075"/>
      <c r="F620" s="1075"/>
      <c r="G620" s="1075"/>
      <c r="H620" s="1075"/>
      <c r="I620" s="1075"/>
      <c r="J620" s="1075"/>
      <c r="K620" s="1075"/>
      <c r="L620" s="1075"/>
      <c r="M620" s="1075"/>
      <c r="N620" s="1075"/>
      <c r="O620" s="1075"/>
      <c r="P620" s="1075"/>
      <c r="Q620" s="1075"/>
      <c r="R620" s="1075"/>
      <c r="S620" s="1075"/>
      <c r="T620" s="1075"/>
      <c r="U620" s="1075"/>
      <c r="V620" s="1075"/>
      <c r="W620" s="1075"/>
      <c r="X620" s="1075"/>
      <c r="Y620" s="1075"/>
      <c r="Z620" s="1075"/>
      <c r="AA620" s="1075"/>
    </row>
    <row r="621" spans="1:27" ht="12.75" customHeight="1">
      <c r="A621" s="1075"/>
      <c r="B621" s="1075"/>
      <c r="C621" s="1075"/>
      <c r="D621" s="1075"/>
      <c r="E621" s="1075"/>
      <c r="F621" s="1075"/>
      <c r="G621" s="1075"/>
      <c r="H621" s="1075"/>
      <c r="I621" s="1075"/>
      <c r="J621" s="1075"/>
      <c r="K621" s="1075"/>
      <c r="L621" s="1075"/>
      <c r="M621" s="1075"/>
      <c r="N621" s="1075"/>
      <c r="O621" s="1075"/>
      <c r="P621" s="1075"/>
      <c r="Q621" s="1075"/>
      <c r="R621" s="1075"/>
      <c r="S621" s="1075"/>
      <c r="T621" s="1075"/>
      <c r="U621" s="1075"/>
      <c r="V621" s="1075"/>
      <c r="W621" s="1075"/>
      <c r="X621" s="1075"/>
      <c r="Y621" s="1075"/>
      <c r="Z621" s="1075"/>
      <c r="AA621" s="1075"/>
    </row>
    <row r="622" spans="1:27" ht="12.75" customHeight="1">
      <c r="A622" s="1075"/>
      <c r="B622" s="1075"/>
      <c r="C622" s="1075"/>
      <c r="D622" s="1075"/>
      <c r="E622" s="1075"/>
      <c r="F622" s="1075"/>
      <c r="G622" s="1075"/>
      <c r="H622" s="1075"/>
      <c r="I622" s="1075"/>
      <c r="J622" s="1075"/>
      <c r="K622" s="1075"/>
      <c r="L622" s="1075"/>
      <c r="M622" s="1075"/>
      <c r="N622" s="1075"/>
      <c r="O622" s="1075"/>
      <c r="P622" s="1075"/>
      <c r="Q622" s="1075"/>
      <c r="R622" s="1075"/>
      <c r="S622" s="1075"/>
      <c r="T622" s="1075"/>
      <c r="U622" s="1075"/>
      <c r="V622" s="1075"/>
      <c r="W622" s="1075"/>
      <c r="X622" s="1075"/>
      <c r="Y622" s="1075"/>
      <c r="Z622" s="1075"/>
      <c r="AA622" s="1075"/>
    </row>
    <row r="623" spans="1:27" ht="12.75" customHeight="1">
      <c r="A623" s="1075"/>
      <c r="B623" s="1075"/>
      <c r="C623" s="1075"/>
      <c r="D623" s="1075"/>
      <c r="E623" s="1075"/>
      <c r="F623" s="1075"/>
      <c r="G623" s="1075"/>
      <c r="H623" s="1075"/>
      <c r="I623" s="1075"/>
      <c r="J623" s="1075"/>
      <c r="K623" s="1075"/>
      <c r="L623" s="1075"/>
      <c r="M623" s="1075"/>
      <c r="N623" s="1075"/>
      <c r="O623" s="1075"/>
      <c r="P623" s="1075"/>
      <c r="Q623" s="1075"/>
      <c r="R623" s="1075"/>
      <c r="S623" s="1075"/>
      <c r="T623" s="1075"/>
      <c r="U623" s="1075"/>
      <c r="V623" s="1075"/>
      <c r="W623" s="1075"/>
      <c r="X623" s="1075"/>
      <c r="Y623" s="1075"/>
      <c r="Z623" s="1075"/>
      <c r="AA623" s="1075"/>
    </row>
    <row r="624" spans="1:27" ht="12.75" customHeight="1">
      <c r="A624" s="1075"/>
      <c r="B624" s="1075"/>
      <c r="C624" s="1075"/>
      <c r="D624" s="1075"/>
      <c r="E624" s="1075"/>
      <c r="F624" s="1075"/>
      <c r="G624" s="1075"/>
      <c r="H624" s="1075"/>
      <c r="I624" s="1075"/>
      <c r="J624" s="1075"/>
      <c r="K624" s="1075"/>
      <c r="L624" s="1075"/>
      <c r="M624" s="1075"/>
      <c r="N624" s="1075"/>
      <c r="O624" s="1075"/>
      <c r="P624" s="1075"/>
      <c r="Q624" s="1075"/>
      <c r="R624" s="1075"/>
      <c r="S624" s="1075"/>
      <c r="T624" s="1075"/>
      <c r="U624" s="1075"/>
      <c r="V624" s="1075"/>
      <c r="W624" s="1075"/>
      <c r="X624" s="1075"/>
      <c r="Y624" s="1075"/>
      <c r="Z624" s="1075"/>
      <c r="AA624" s="1075"/>
    </row>
    <row r="625" spans="1:27" ht="12.75" customHeight="1">
      <c r="A625" s="1075"/>
      <c r="B625" s="1075"/>
      <c r="C625" s="1075"/>
      <c r="D625" s="1075"/>
      <c r="E625" s="1075"/>
      <c r="F625" s="1075"/>
      <c r="G625" s="1075"/>
      <c r="H625" s="1075"/>
      <c r="I625" s="1075"/>
      <c r="J625" s="1075"/>
      <c r="K625" s="1075"/>
      <c r="L625" s="1075"/>
      <c r="M625" s="1075"/>
      <c r="N625" s="1075"/>
      <c r="O625" s="1075"/>
      <c r="P625" s="1075"/>
      <c r="Q625" s="1075"/>
      <c r="R625" s="1075"/>
      <c r="S625" s="1075"/>
      <c r="T625" s="1075"/>
      <c r="U625" s="1075"/>
      <c r="V625" s="1075"/>
      <c r="W625" s="1075"/>
      <c r="X625" s="1075"/>
      <c r="Y625" s="1075"/>
      <c r="Z625" s="1075"/>
      <c r="AA625" s="1075"/>
    </row>
    <row r="626" spans="1:27" ht="12.75" customHeight="1">
      <c r="A626" s="1075"/>
      <c r="B626" s="1075"/>
      <c r="C626" s="1075"/>
      <c r="D626" s="1075"/>
      <c r="E626" s="1075"/>
      <c r="F626" s="1075"/>
      <c r="G626" s="1075"/>
      <c r="H626" s="1075"/>
      <c r="I626" s="1075"/>
      <c r="J626" s="1075"/>
      <c r="K626" s="1075"/>
      <c r="L626" s="1075"/>
      <c r="M626" s="1075"/>
      <c r="N626" s="1075"/>
      <c r="O626" s="1075"/>
      <c r="P626" s="1075"/>
      <c r="Q626" s="1075"/>
      <c r="R626" s="1075"/>
      <c r="S626" s="1075"/>
      <c r="T626" s="1075"/>
      <c r="U626" s="1075"/>
      <c r="V626" s="1075"/>
      <c r="W626" s="1075"/>
      <c r="X626" s="1075"/>
      <c r="Y626" s="1075"/>
      <c r="Z626" s="1075"/>
      <c r="AA626" s="1075"/>
    </row>
    <row r="627" spans="1:27" ht="12.75" customHeight="1">
      <c r="A627" s="1075"/>
      <c r="B627" s="1075"/>
      <c r="C627" s="1075"/>
      <c r="D627" s="1075"/>
      <c r="E627" s="1075"/>
      <c r="F627" s="1075"/>
      <c r="G627" s="1075"/>
      <c r="H627" s="1075"/>
      <c r="I627" s="1075"/>
      <c r="J627" s="1075"/>
      <c r="K627" s="1075"/>
      <c r="L627" s="1075"/>
      <c r="M627" s="1075"/>
      <c r="N627" s="1075"/>
      <c r="O627" s="1075"/>
      <c r="P627" s="1075"/>
      <c r="Q627" s="1075"/>
      <c r="R627" s="1075"/>
      <c r="S627" s="1075"/>
      <c r="T627" s="1075"/>
      <c r="U627" s="1075"/>
      <c r="V627" s="1075"/>
      <c r="W627" s="1075"/>
      <c r="X627" s="1075"/>
      <c r="Y627" s="1075"/>
      <c r="Z627" s="1075"/>
      <c r="AA627" s="1075"/>
    </row>
    <row r="628" spans="1:27" ht="12.75" customHeight="1">
      <c r="A628" s="1075"/>
      <c r="B628" s="1075"/>
      <c r="C628" s="1075"/>
      <c r="D628" s="1075"/>
      <c r="E628" s="1075"/>
      <c r="F628" s="1075"/>
      <c r="G628" s="1075"/>
      <c r="H628" s="1075"/>
      <c r="I628" s="1075"/>
      <c r="J628" s="1075"/>
      <c r="K628" s="1075"/>
      <c r="L628" s="1075"/>
      <c r="M628" s="1075"/>
      <c r="N628" s="1075"/>
      <c r="O628" s="1075"/>
      <c r="P628" s="1075"/>
      <c r="Q628" s="1075"/>
      <c r="R628" s="1075"/>
      <c r="S628" s="1075"/>
      <c r="T628" s="1075"/>
      <c r="U628" s="1075"/>
      <c r="V628" s="1075"/>
      <c r="W628" s="1075"/>
      <c r="X628" s="1075"/>
      <c r="Y628" s="1075"/>
      <c r="Z628" s="1075"/>
      <c r="AA628" s="1075"/>
    </row>
    <row r="629" spans="1:27" ht="12.75" customHeight="1">
      <c r="A629" s="1075"/>
      <c r="B629" s="1075"/>
      <c r="C629" s="1075"/>
      <c r="D629" s="1075"/>
      <c r="E629" s="1075"/>
      <c r="F629" s="1075"/>
      <c r="G629" s="1075"/>
      <c r="H629" s="1075"/>
      <c r="I629" s="1075"/>
      <c r="J629" s="1075"/>
      <c r="K629" s="1075"/>
      <c r="L629" s="1075"/>
      <c r="M629" s="1075"/>
      <c r="N629" s="1075"/>
      <c r="O629" s="1075"/>
      <c r="P629" s="1075"/>
      <c r="Q629" s="1075"/>
      <c r="R629" s="1075"/>
      <c r="S629" s="1075"/>
      <c r="T629" s="1075"/>
      <c r="U629" s="1075"/>
      <c r="V629" s="1075"/>
      <c r="W629" s="1075"/>
      <c r="X629" s="1075"/>
      <c r="Y629" s="1075"/>
      <c r="Z629" s="1075"/>
      <c r="AA629" s="1075"/>
    </row>
    <row r="630" spans="1:27" ht="12.75" customHeight="1">
      <c r="A630" s="1075"/>
      <c r="B630" s="1075"/>
      <c r="C630" s="1075"/>
      <c r="D630" s="1075"/>
      <c r="E630" s="1075"/>
      <c r="F630" s="1075"/>
      <c r="G630" s="1075"/>
      <c r="H630" s="1075"/>
      <c r="I630" s="1075"/>
      <c r="J630" s="1075"/>
      <c r="K630" s="1075"/>
      <c r="L630" s="1075"/>
      <c r="M630" s="1075"/>
      <c r="N630" s="1075"/>
      <c r="O630" s="1075"/>
      <c r="P630" s="1075"/>
      <c r="Q630" s="1075"/>
      <c r="R630" s="1075"/>
      <c r="S630" s="1075"/>
      <c r="T630" s="1075"/>
      <c r="U630" s="1075"/>
      <c r="V630" s="1075"/>
      <c r="W630" s="1075"/>
      <c r="X630" s="1075"/>
      <c r="Y630" s="1075"/>
      <c r="Z630" s="1075"/>
      <c r="AA630" s="1075"/>
    </row>
    <row r="631" spans="1:27" ht="12.75" customHeight="1">
      <c r="A631" s="1075"/>
      <c r="B631" s="1075"/>
      <c r="C631" s="1075"/>
      <c r="D631" s="1075"/>
      <c r="E631" s="1075"/>
      <c r="F631" s="1075"/>
      <c r="G631" s="1075"/>
      <c r="H631" s="1075"/>
      <c r="I631" s="1075"/>
      <c r="J631" s="1075"/>
      <c r="K631" s="1075"/>
      <c r="L631" s="1075"/>
      <c r="M631" s="1075"/>
      <c r="N631" s="1075"/>
      <c r="O631" s="1075"/>
      <c r="P631" s="1075"/>
      <c r="Q631" s="1075"/>
      <c r="R631" s="1075"/>
      <c r="S631" s="1075"/>
      <c r="T631" s="1075"/>
      <c r="U631" s="1075"/>
      <c r="V631" s="1075"/>
      <c r="W631" s="1075"/>
      <c r="X631" s="1075"/>
      <c r="Y631" s="1075"/>
      <c r="Z631" s="1075"/>
      <c r="AA631" s="1075"/>
    </row>
    <row r="632" spans="1:27" ht="12.75" customHeight="1">
      <c r="A632" s="1075"/>
      <c r="B632" s="1075"/>
      <c r="C632" s="1075"/>
      <c r="D632" s="1075"/>
      <c r="E632" s="1075"/>
      <c r="F632" s="1075"/>
      <c r="G632" s="1075"/>
      <c r="H632" s="1075"/>
      <c r="I632" s="1075"/>
      <c r="J632" s="1075"/>
      <c r="K632" s="1075"/>
      <c r="L632" s="1075"/>
      <c r="M632" s="1075"/>
      <c r="N632" s="1075"/>
      <c r="O632" s="1075"/>
      <c r="P632" s="1075"/>
      <c r="Q632" s="1075"/>
      <c r="R632" s="1075"/>
      <c r="S632" s="1075"/>
      <c r="T632" s="1075"/>
      <c r="U632" s="1075"/>
      <c r="V632" s="1075"/>
      <c r="W632" s="1075"/>
      <c r="X632" s="1075"/>
      <c r="Y632" s="1075"/>
      <c r="Z632" s="1075"/>
      <c r="AA632" s="1075"/>
    </row>
    <row r="633" spans="1:27" ht="12.75" customHeight="1">
      <c r="A633" s="1075"/>
      <c r="B633" s="1075"/>
      <c r="C633" s="1075"/>
      <c r="D633" s="1075"/>
      <c r="E633" s="1075"/>
      <c r="F633" s="1075"/>
      <c r="G633" s="1075"/>
      <c r="H633" s="1075"/>
      <c r="I633" s="1075"/>
      <c r="J633" s="1075"/>
      <c r="K633" s="1075"/>
      <c r="L633" s="1075"/>
      <c r="M633" s="1075"/>
      <c r="N633" s="1075"/>
      <c r="O633" s="1075"/>
      <c r="P633" s="1075"/>
      <c r="Q633" s="1075"/>
      <c r="R633" s="1075"/>
      <c r="S633" s="1075"/>
      <c r="T633" s="1075"/>
      <c r="U633" s="1075"/>
      <c r="V633" s="1075"/>
      <c r="W633" s="1075"/>
      <c r="X633" s="1075"/>
      <c r="Y633" s="1075"/>
      <c r="Z633" s="1075"/>
      <c r="AA633" s="1075"/>
    </row>
    <row r="634" spans="1:27" ht="12.75" customHeight="1">
      <c r="A634" s="1075"/>
      <c r="B634" s="1075"/>
      <c r="C634" s="1075"/>
      <c r="D634" s="1075"/>
      <c r="E634" s="1075"/>
      <c r="F634" s="1075"/>
      <c r="G634" s="1075"/>
      <c r="H634" s="1075"/>
      <c r="I634" s="1075"/>
      <c r="J634" s="1075"/>
      <c r="K634" s="1075"/>
      <c r="L634" s="1075"/>
      <c r="M634" s="1075"/>
      <c r="N634" s="1075"/>
      <c r="O634" s="1075"/>
      <c r="P634" s="1075"/>
      <c r="Q634" s="1075"/>
      <c r="R634" s="1075"/>
      <c r="S634" s="1075"/>
      <c r="T634" s="1075"/>
      <c r="U634" s="1075"/>
      <c r="V634" s="1075"/>
      <c r="W634" s="1075"/>
      <c r="X634" s="1075"/>
      <c r="Y634" s="1075"/>
      <c r="Z634" s="1075"/>
      <c r="AA634" s="1075"/>
    </row>
    <row r="635" spans="1:27" ht="12.75" customHeight="1">
      <c r="A635" s="1075"/>
      <c r="B635" s="1075"/>
      <c r="C635" s="1075"/>
      <c r="D635" s="1075"/>
      <c r="E635" s="1075"/>
      <c r="F635" s="1075"/>
      <c r="G635" s="1075"/>
      <c r="H635" s="1075"/>
      <c r="I635" s="1075"/>
      <c r="J635" s="1075"/>
      <c r="K635" s="1075"/>
      <c r="L635" s="1075"/>
      <c r="M635" s="1075"/>
      <c r="N635" s="1075"/>
      <c r="O635" s="1075"/>
      <c r="P635" s="1075"/>
      <c r="Q635" s="1075"/>
      <c r="R635" s="1075"/>
      <c r="S635" s="1075"/>
      <c r="T635" s="1075"/>
      <c r="U635" s="1075"/>
      <c r="V635" s="1075"/>
      <c r="W635" s="1075"/>
      <c r="X635" s="1075"/>
      <c r="Y635" s="1075"/>
      <c r="Z635" s="1075"/>
      <c r="AA635" s="1075"/>
    </row>
    <row r="636" spans="1:27" ht="12.75" customHeight="1">
      <c r="A636" s="1075"/>
      <c r="B636" s="1075"/>
      <c r="C636" s="1075"/>
      <c r="D636" s="1075"/>
      <c r="E636" s="1075"/>
      <c r="F636" s="1075"/>
      <c r="G636" s="1075"/>
      <c r="H636" s="1075"/>
      <c r="I636" s="1075"/>
      <c r="J636" s="1075"/>
      <c r="K636" s="1075"/>
      <c r="L636" s="1075"/>
      <c r="M636" s="1075"/>
      <c r="N636" s="1075"/>
      <c r="O636" s="1075"/>
      <c r="P636" s="1075"/>
      <c r="Q636" s="1075"/>
      <c r="R636" s="1075"/>
      <c r="S636" s="1075"/>
      <c r="T636" s="1075"/>
      <c r="U636" s="1075"/>
      <c r="V636" s="1075"/>
      <c r="W636" s="1075"/>
      <c r="X636" s="1075"/>
      <c r="Y636" s="1075"/>
      <c r="Z636" s="1075"/>
      <c r="AA636" s="1075"/>
    </row>
    <row r="637" spans="1:27" ht="12.75" customHeight="1">
      <c r="A637" s="1075"/>
      <c r="B637" s="1075"/>
      <c r="C637" s="1075"/>
      <c r="D637" s="1075"/>
      <c r="E637" s="1075"/>
      <c r="F637" s="1075"/>
      <c r="G637" s="1075"/>
      <c r="H637" s="1075"/>
      <c r="I637" s="1075"/>
      <c r="J637" s="1075"/>
      <c r="K637" s="1075"/>
      <c r="L637" s="1075"/>
      <c r="M637" s="1075"/>
      <c r="N637" s="1075"/>
      <c r="O637" s="1075"/>
      <c r="P637" s="1075"/>
      <c r="Q637" s="1075"/>
      <c r="R637" s="1075"/>
      <c r="S637" s="1075"/>
      <c r="T637" s="1075"/>
      <c r="U637" s="1075"/>
      <c r="V637" s="1075"/>
      <c r="W637" s="1075"/>
      <c r="X637" s="1075"/>
      <c r="Y637" s="1075"/>
      <c r="Z637" s="1075"/>
      <c r="AA637" s="1075"/>
    </row>
    <row r="638" spans="1:27" ht="12.75" customHeight="1">
      <c r="A638" s="1075"/>
      <c r="B638" s="1075"/>
      <c r="C638" s="1075"/>
      <c r="D638" s="1075"/>
      <c r="E638" s="1075"/>
      <c r="F638" s="1075"/>
      <c r="G638" s="1075"/>
      <c r="H638" s="1075"/>
      <c r="I638" s="1075"/>
      <c r="J638" s="1075"/>
      <c r="K638" s="1075"/>
      <c r="L638" s="1075"/>
      <c r="M638" s="1075"/>
      <c r="N638" s="1075"/>
      <c r="O638" s="1075"/>
      <c r="P638" s="1075"/>
      <c r="Q638" s="1075"/>
      <c r="R638" s="1075"/>
      <c r="S638" s="1075"/>
      <c r="T638" s="1075"/>
      <c r="U638" s="1075"/>
      <c r="V638" s="1075"/>
      <c r="W638" s="1075"/>
      <c r="X638" s="1075"/>
      <c r="Y638" s="1075"/>
      <c r="Z638" s="1075"/>
      <c r="AA638" s="1075"/>
    </row>
    <row r="639" spans="1:27" ht="12.75" customHeight="1">
      <c r="A639" s="1075"/>
      <c r="B639" s="1075"/>
      <c r="C639" s="1075"/>
      <c r="D639" s="1075"/>
      <c r="E639" s="1075"/>
      <c r="F639" s="1075"/>
      <c r="G639" s="1075"/>
      <c r="H639" s="1075"/>
      <c r="I639" s="1075"/>
      <c r="J639" s="1075"/>
      <c r="K639" s="1075"/>
      <c r="L639" s="1075"/>
      <c r="M639" s="1075"/>
      <c r="N639" s="1075"/>
      <c r="O639" s="1075"/>
      <c r="P639" s="1075"/>
      <c r="Q639" s="1075"/>
      <c r="R639" s="1075"/>
      <c r="S639" s="1075"/>
      <c r="T639" s="1075"/>
      <c r="U639" s="1075"/>
      <c r="V639" s="1075"/>
      <c r="W639" s="1075"/>
      <c r="X639" s="1075"/>
      <c r="Y639" s="1075"/>
      <c r="Z639" s="1075"/>
      <c r="AA639" s="1075"/>
    </row>
    <row r="640" spans="1:27" ht="12.75" customHeight="1">
      <c r="A640" s="1075"/>
      <c r="B640" s="1075"/>
      <c r="C640" s="1075"/>
      <c r="D640" s="1075"/>
      <c r="E640" s="1075"/>
      <c r="F640" s="1075"/>
      <c r="G640" s="1075"/>
      <c r="H640" s="1075"/>
      <c r="I640" s="1075"/>
      <c r="J640" s="1075"/>
      <c r="K640" s="1075"/>
      <c r="L640" s="1075"/>
      <c r="M640" s="1075"/>
      <c r="N640" s="1075"/>
      <c r="O640" s="1075"/>
      <c r="P640" s="1075"/>
      <c r="Q640" s="1075"/>
      <c r="R640" s="1075"/>
      <c r="S640" s="1075"/>
      <c r="T640" s="1075"/>
      <c r="U640" s="1075"/>
      <c r="V640" s="1075"/>
      <c r="W640" s="1075"/>
      <c r="X640" s="1075"/>
      <c r="Y640" s="1075"/>
      <c r="Z640" s="1075"/>
      <c r="AA640" s="1075"/>
    </row>
    <row r="641" spans="1:27" ht="12.75" customHeight="1">
      <c r="A641" s="1075"/>
      <c r="B641" s="1075"/>
      <c r="C641" s="1075"/>
      <c r="D641" s="1075"/>
      <c r="E641" s="1075"/>
      <c r="F641" s="1075"/>
      <c r="G641" s="1075"/>
      <c r="H641" s="1075"/>
      <c r="I641" s="1075"/>
      <c r="J641" s="1075"/>
      <c r="K641" s="1075"/>
      <c r="L641" s="1075"/>
      <c r="M641" s="1075"/>
      <c r="N641" s="1075"/>
      <c r="O641" s="1075"/>
      <c r="P641" s="1075"/>
      <c r="Q641" s="1075"/>
      <c r="R641" s="1075"/>
      <c r="S641" s="1075"/>
      <c r="T641" s="1075"/>
      <c r="U641" s="1075"/>
      <c r="V641" s="1075"/>
      <c r="W641" s="1075"/>
      <c r="X641" s="1075"/>
      <c r="Y641" s="1075"/>
      <c r="Z641" s="1075"/>
      <c r="AA641" s="1075"/>
    </row>
    <row r="642" spans="1:27" ht="12.75" customHeight="1">
      <c r="A642" s="1075"/>
      <c r="B642" s="1075"/>
      <c r="C642" s="1075"/>
      <c r="D642" s="1075"/>
      <c r="E642" s="1075"/>
      <c r="F642" s="1075"/>
      <c r="G642" s="1075"/>
      <c r="H642" s="1075"/>
      <c r="I642" s="1075"/>
      <c r="J642" s="1075"/>
      <c r="K642" s="1075"/>
      <c r="L642" s="1075"/>
      <c r="M642" s="1075"/>
      <c r="N642" s="1075"/>
      <c r="O642" s="1075"/>
      <c r="P642" s="1075"/>
      <c r="Q642" s="1075"/>
      <c r="R642" s="1075"/>
      <c r="S642" s="1075"/>
      <c r="T642" s="1075"/>
      <c r="U642" s="1075"/>
      <c r="V642" s="1075"/>
      <c r="W642" s="1075"/>
      <c r="X642" s="1075"/>
      <c r="Y642" s="1075"/>
      <c r="Z642" s="1075"/>
      <c r="AA642" s="1075"/>
    </row>
    <row r="643" spans="1:27" ht="12.75" customHeight="1">
      <c r="A643" s="1075"/>
      <c r="B643" s="1075"/>
      <c r="C643" s="1075"/>
      <c r="D643" s="1075"/>
      <c r="E643" s="1075"/>
      <c r="F643" s="1075"/>
      <c r="G643" s="1075"/>
      <c r="H643" s="1075"/>
      <c r="I643" s="1075"/>
      <c r="J643" s="1075"/>
      <c r="K643" s="1075"/>
      <c r="L643" s="1075"/>
      <c r="M643" s="1075"/>
      <c r="N643" s="1075"/>
      <c r="O643" s="1075"/>
      <c r="P643" s="1075"/>
      <c r="Q643" s="1075"/>
      <c r="R643" s="1075"/>
      <c r="S643" s="1075"/>
      <c r="T643" s="1075"/>
      <c r="U643" s="1075"/>
      <c r="V643" s="1075"/>
      <c r="W643" s="1075"/>
      <c r="X643" s="1075"/>
      <c r="Y643" s="1075"/>
      <c r="Z643" s="1075"/>
      <c r="AA643" s="1075"/>
    </row>
    <row r="644" spans="1:27" ht="12.75" customHeight="1">
      <c r="A644" s="1075"/>
      <c r="B644" s="1075"/>
      <c r="C644" s="1075"/>
      <c r="D644" s="1075"/>
      <c r="E644" s="1075"/>
      <c r="F644" s="1075"/>
      <c r="G644" s="1075"/>
      <c r="H644" s="1075"/>
      <c r="I644" s="1075"/>
      <c r="J644" s="1075"/>
      <c r="K644" s="1075"/>
      <c r="L644" s="1075"/>
      <c r="M644" s="1075"/>
      <c r="N644" s="1075"/>
      <c r="O644" s="1075"/>
      <c r="P644" s="1075"/>
      <c r="Q644" s="1075"/>
      <c r="R644" s="1075"/>
      <c r="S644" s="1075"/>
      <c r="T644" s="1075"/>
      <c r="U644" s="1075"/>
      <c r="V644" s="1075"/>
      <c r="W644" s="1075"/>
      <c r="X644" s="1075"/>
      <c r="Y644" s="1075"/>
      <c r="Z644" s="1075"/>
      <c r="AA644" s="1075"/>
    </row>
    <row r="645" spans="1:27" ht="12.75" customHeight="1">
      <c r="A645" s="1075"/>
      <c r="B645" s="1075"/>
      <c r="C645" s="1075"/>
      <c r="D645" s="1075"/>
      <c r="E645" s="1075"/>
      <c r="F645" s="1075"/>
      <c r="G645" s="1075"/>
      <c r="H645" s="1075"/>
      <c r="I645" s="1075"/>
      <c r="J645" s="1075"/>
      <c r="K645" s="1075"/>
      <c r="L645" s="1075"/>
      <c r="M645" s="1075"/>
      <c r="N645" s="1075"/>
      <c r="O645" s="1075"/>
      <c r="P645" s="1075"/>
      <c r="Q645" s="1075"/>
      <c r="R645" s="1075"/>
      <c r="S645" s="1075"/>
      <c r="T645" s="1075"/>
      <c r="U645" s="1075"/>
      <c r="V645" s="1075"/>
      <c r="W645" s="1075"/>
      <c r="X645" s="1075"/>
      <c r="Y645" s="1075"/>
      <c r="Z645" s="1075"/>
      <c r="AA645" s="1075"/>
    </row>
    <row r="646" spans="1:27" ht="12.75" customHeight="1">
      <c r="A646" s="1075"/>
      <c r="B646" s="1075"/>
      <c r="C646" s="1075"/>
      <c r="D646" s="1075"/>
      <c r="E646" s="1075"/>
      <c r="F646" s="1075"/>
      <c r="G646" s="1075"/>
      <c r="H646" s="1075"/>
      <c r="I646" s="1075"/>
      <c r="J646" s="1075"/>
      <c r="K646" s="1075"/>
      <c r="L646" s="1075"/>
      <c r="M646" s="1075"/>
      <c r="N646" s="1075"/>
      <c r="O646" s="1075"/>
      <c r="P646" s="1075"/>
      <c r="Q646" s="1075"/>
      <c r="R646" s="1075"/>
      <c r="S646" s="1075"/>
      <c r="T646" s="1075"/>
      <c r="U646" s="1075"/>
      <c r="V646" s="1075"/>
      <c r="W646" s="1075"/>
      <c r="X646" s="1075"/>
      <c r="Y646" s="1075"/>
      <c r="Z646" s="1075"/>
      <c r="AA646" s="1075"/>
    </row>
    <row r="647" spans="1:27" ht="12.75" customHeight="1">
      <c r="A647" s="1075"/>
      <c r="B647" s="1075"/>
      <c r="C647" s="1075"/>
      <c r="D647" s="1075"/>
      <c r="E647" s="1075"/>
      <c r="F647" s="1075"/>
      <c r="G647" s="1075"/>
      <c r="H647" s="1075"/>
      <c r="I647" s="1075"/>
      <c r="J647" s="1075"/>
      <c r="K647" s="1075"/>
      <c r="L647" s="1075"/>
      <c r="M647" s="1075"/>
      <c r="N647" s="1075"/>
      <c r="O647" s="1075"/>
      <c r="P647" s="1075"/>
      <c r="Q647" s="1075"/>
      <c r="R647" s="1075"/>
      <c r="S647" s="1075"/>
      <c r="T647" s="1075"/>
      <c r="U647" s="1075"/>
      <c r="V647" s="1075"/>
      <c r="W647" s="1075"/>
      <c r="X647" s="1075"/>
      <c r="Y647" s="1075"/>
      <c r="Z647" s="1075"/>
      <c r="AA647" s="1075"/>
    </row>
    <row r="648" spans="1:27" ht="12.75" customHeight="1">
      <c r="A648" s="1075"/>
      <c r="B648" s="1075"/>
      <c r="C648" s="1075"/>
      <c r="D648" s="1075"/>
      <c r="E648" s="1075"/>
      <c r="F648" s="1075"/>
      <c r="G648" s="1075"/>
      <c r="H648" s="1075"/>
      <c r="I648" s="1075"/>
      <c r="J648" s="1075"/>
      <c r="K648" s="1075"/>
      <c r="L648" s="1075"/>
      <c r="M648" s="1075"/>
      <c r="N648" s="1075"/>
      <c r="O648" s="1075"/>
      <c r="P648" s="1075"/>
      <c r="Q648" s="1075"/>
      <c r="R648" s="1075"/>
      <c r="S648" s="1075"/>
      <c r="T648" s="1075"/>
      <c r="U648" s="1075"/>
      <c r="V648" s="1075"/>
      <c r="W648" s="1075"/>
      <c r="X648" s="1075"/>
      <c r="Y648" s="1075"/>
      <c r="Z648" s="1075"/>
      <c r="AA648" s="1075"/>
    </row>
    <row r="649" spans="1:27" ht="12.75" customHeight="1">
      <c r="A649" s="1075"/>
      <c r="B649" s="1075"/>
      <c r="C649" s="1075"/>
      <c r="D649" s="1075"/>
      <c r="E649" s="1075"/>
      <c r="F649" s="1075"/>
      <c r="G649" s="1075"/>
      <c r="H649" s="1075"/>
      <c r="I649" s="1075"/>
      <c r="J649" s="1075"/>
      <c r="K649" s="1075"/>
      <c r="L649" s="1075"/>
      <c r="M649" s="1075"/>
      <c r="N649" s="1075"/>
      <c r="O649" s="1075"/>
      <c r="P649" s="1075"/>
      <c r="Q649" s="1075"/>
      <c r="R649" s="1075"/>
      <c r="S649" s="1075"/>
      <c r="T649" s="1075"/>
      <c r="U649" s="1075"/>
      <c r="V649" s="1075"/>
      <c r="W649" s="1075"/>
      <c r="X649" s="1075"/>
      <c r="Y649" s="1075"/>
      <c r="Z649" s="1075"/>
      <c r="AA649" s="1075"/>
    </row>
    <row r="650" spans="1:27" ht="12.75" customHeight="1">
      <c r="A650" s="1075"/>
      <c r="B650" s="1075"/>
      <c r="C650" s="1075"/>
      <c r="D650" s="1075"/>
      <c r="E650" s="1075"/>
      <c r="F650" s="1075"/>
      <c r="G650" s="1075"/>
      <c r="H650" s="1075"/>
      <c r="I650" s="1075"/>
      <c r="J650" s="1075"/>
      <c r="K650" s="1075"/>
      <c r="L650" s="1075"/>
      <c r="M650" s="1075"/>
      <c r="N650" s="1075"/>
      <c r="O650" s="1075"/>
      <c r="P650" s="1075"/>
      <c r="Q650" s="1075"/>
      <c r="R650" s="1075"/>
      <c r="S650" s="1075"/>
      <c r="T650" s="1075"/>
      <c r="U650" s="1075"/>
      <c r="V650" s="1075"/>
      <c r="W650" s="1075"/>
      <c r="X650" s="1075"/>
      <c r="Y650" s="1075"/>
      <c r="Z650" s="1075"/>
      <c r="AA650" s="1075"/>
    </row>
    <row r="651" spans="1:27" ht="12.75" customHeight="1">
      <c r="A651" s="1075"/>
      <c r="B651" s="1075"/>
      <c r="C651" s="1075"/>
      <c r="D651" s="1075"/>
      <c r="E651" s="1075"/>
      <c r="F651" s="1075"/>
      <c r="G651" s="1075"/>
      <c r="H651" s="1075"/>
      <c r="I651" s="1075"/>
      <c r="J651" s="1075"/>
      <c r="K651" s="1075"/>
      <c r="L651" s="1075"/>
      <c r="M651" s="1075"/>
      <c r="N651" s="1075"/>
      <c r="O651" s="1075"/>
      <c r="P651" s="1075"/>
      <c r="Q651" s="1075"/>
      <c r="R651" s="1075"/>
      <c r="S651" s="1075"/>
      <c r="T651" s="1075"/>
      <c r="U651" s="1075"/>
      <c r="V651" s="1075"/>
      <c r="W651" s="1075"/>
      <c r="X651" s="1075"/>
      <c r="Y651" s="1075"/>
      <c r="Z651" s="1075"/>
      <c r="AA651" s="1075"/>
    </row>
    <row r="652" spans="1:27" ht="12.75" customHeight="1">
      <c r="A652" s="1075"/>
      <c r="B652" s="1075"/>
      <c r="C652" s="1075"/>
      <c r="D652" s="1075"/>
      <c r="E652" s="1075"/>
      <c r="F652" s="1075"/>
      <c r="G652" s="1075"/>
      <c r="H652" s="1075"/>
      <c r="I652" s="1075"/>
      <c r="J652" s="1075"/>
      <c r="K652" s="1075"/>
      <c r="L652" s="1075"/>
      <c r="M652" s="1075"/>
      <c r="N652" s="1075"/>
      <c r="O652" s="1075"/>
      <c r="P652" s="1075"/>
      <c r="Q652" s="1075"/>
      <c r="R652" s="1075"/>
      <c r="S652" s="1075"/>
      <c r="T652" s="1075"/>
      <c r="U652" s="1075"/>
      <c r="V652" s="1075"/>
      <c r="W652" s="1075"/>
      <c r="X652" s="1075"/>
      <c r="Y652" s="1075"/>
      <c r="Z652" s="1075"/>
      <c r="AA652" s="1075"/>
    </row>
    <row r="653" spans="1:27" ht="12.75" customHeight="1">
      <c r="A653" s="1075"/>
      <c r="B653" s="1075"/>
      <c r="C653" s="1075"/>
      <c r="D653" s="1075"/>
      <c r="E653" s="1075"/>
      <c r="F653" s="1075"/>
      <c r="G653" s="1075"/>
      <c r="H653" s="1075"/>
      <c r="I653" s="1075"/>
      <c r="J653" s="1075"/>
      <c r="K653" s="1075"/>
      <c r="L653" s="1075"/>
      <c r="M653" s="1075"/>
      <c r="N653" s="1075"/>
      <c r="O653" s="1075"/>
      <c r="P653" s="1075"/>
      <c r="Q653" s="1075"/>
      <c r="R653" s="1075"/>
      <c r="S653" s="1075"/>
      <c r="T653" s="1075"/>
      <c r="U653" s="1075"/>
      <c r="V653" s="1075"/>
      <c r="W653" s="1075"/>
      <c r="X653" s="1075"/>
      <c r="Y653" s="1075"/>
      <c r="Z653" s="1075"/>
      <c r="AA653" s="1075"/>
    </row>
    <row r="654" spans="1:27" ht="12.75" customHeight="1">
      <c r="A654" s="1075"/>
      <c r="B654" s="1075"/>
      <c r="C654" s="1075"/>
      <c r="D654" s="1075"/>
      <c r="E654" s="1075"/>
      <c r="F654" s="1075"/>
      <c r="G654" s="1075"/>
      <c r="H654" s="1075"/>
      <c r="I654" s="1075"/>
      <c r="J654" s="1075"/>
      <c r="K654" s="1075"/>
      <c r="L654" s="1075"/>
      <c r="M654" s="1075"/>
      <c r="N654" s="1075"/>
      <c r="O654" s="1075"/>
      <c r="P654" s="1075"/>
      <c r="Q654" s="1075"/>
      <c r="R654" s="1075"/>
      <c r="S654" s="1075"/>
      <c r="T654" s="1075"/>
      <c r="U654" s="1075"/>
      <c r="V654" s="1075"/>
      <c r="W654" s="1075"/>
      <c r="X654" s="1075"/>
      <c r="Y654" s="1075"/>
      <c r="Z654" s="1075"/>
      <c r="AA654" s="1075"/>
    </row>
    <row r="655" spans="1:27" ht="12.75" customHeight="1">
      <c r="A655" s="1075"/>
      <c r="B655" s="1075"/>
      <c r="C655" s="1075"/>
      <c r="D655" s="1075"/>
      <c r="E655" s="1075"/>
      <c r="F655" s="1075"/>
      <c r="G655" s="1075"/>
      <c r="H655" s="1075"/>
      <c r="I655" s="1075"/>
      <c r="J655" s="1075"/>
      <c r="K655" s="1075"/>
      <c r="L655" s="1075"/>
      <c r="M655" s="1075"/>
      <c r="N655" s="1075"/>
      <c r="O655" s="1075"/>
      <c r="P655" s="1075"/>
      <c r="Q655" s="1075"/>
      <c r="R655" s="1075"/>
      <c r="S655" s="1075"/>
      <c r="T655" s="1075"/>
      <c r="U655" s="1075"/>
      <c r="V655" s="1075"/>
      <c r="W655" s="1075"/>
      <c r="X655" s="1075"/>
      <c r="Y655" s="1075"/>
      <c r="Z655" s="1075"/>
      <c r="AA655" s="1075"/>
    </row>
    <row r="656" spans="1:27" ht="12.75" customHeight="1">
      <c r="A656" s="1075"/>
      <c r="B656" s="1075"/>
      <c r="C656" s="1075"/>
      <c r="D656" s="1075"/>
      <c r="E656" s="1075"/>
      <c r="F656" s="1075"/>
      <c r="G656" s="1075"/>
      <c r="H656" s="1075"/>
      <c r="I656" s="1075"/>
      <c r="J656" s="1075"/>
      <c r="K656" s="1075"/>
      <c r="L656" s="1075"/>
      <c r="M656" s="1075"/>
      <c r="N656" s="1075"/>
      <c r="O656" s="1075"/>
      <c r="P656" s="1075"/>
      <c r="Q656" s="1075"/>
      <c r="R656" s="1075"/>
      <c r="S656" s="1075"/>
      <c r="T656" s="1075"/>
      <c r="U656" s="1075"/>
      <c r="V656" s="1075"/>
      <c r="W656" s="1075"/>
      <c r="X656" s="1075"/>
      <c r="Y656" s="1075"/>
      <c r="Z656" s="1075"/>
      <c r="AA656" s="1075"/>
    </row>
    <row r="657" spans="1:27" ht="12.75" customHeight="1">
      <c r="A657" s="1075"/>
      <c r="B657" s="1075"/>
      <c r="C657" s="1075"/>
      <c r="D657" s="1075"/>
      <c r="E657" s="1075"/>
      <c r="F657" s="1075"/>
      <c r="G657" s="1075"/>
      <c r="H657" s="1075"/>
      <c r="I657" s="1075"/>
      <c r="J657" s="1075"/>
      <c r="K657" s="1075"/>
      <c r="L657" s="1075"/>
      <c r="M657" s="1075"/>
      <c r="N657" s="1075"/>
      <c r="O657" s="1075"/>
      <c r="P657" s="1075"/>
      <c r="Q657" s="1075"/>
      <c r="R657" s="1075"/>
      <c r="S657" s="1075"/>
      <c r="T657" s="1075"/>
      <c r="U657" s="1075"/>
      <c r="V657" s="1075"/>
      <c r="W657" s="1075"/>
      <c r="X657" s="1075"/>
      <c r="Y657" s="1075"/>
      <c r="Z657" s="1075"/>
      <c r="AA657" s="1075"/>
    </row>
    <row r="658" spans="1:27" ht="12.75" customHeight="1">
      <c r="A658" s="1075"/>
      <c r="B658" s="1075"/>
      <c r="C658" s="1075"/>
      <c r="D658" s="1075"/>
      <c r="E658" s="1075"/>
      <c r="F658" s="1075"/>
      <c r="G658" s="1075"/>
      <c r="H658" s="1075"/>
      <c r="I658" s="1075"/>
      <c r="J658" s="1075"/>
      <c r="K658" s="1075"/>
      <c r="L658" s="1075"/>
      <c r="M658" s="1075"/>
      <c r="N658" s="1075"/>
      <c r="O658" s="1075"/>
      <c r="P658" s="1075"/>
      <c r="Q658" s="1075"/>
      <c r="R658" s="1075"/>
      <c r="S658" s="1075"/>
      <c r="T658" s="1075"/>
      <c r="U658" s="1075"/>
      <c r="V658" s="1075"/>
      <c r="W658" s="1075"/>
      <c r="X658" s="1075"/>
      <c r="Y658" s="1075"/>
      <c r="Z658" s="1075"/>
      <c r="AA658" s="1075"/>
    </row>
    <row r="659" spans="1:27" ht="12.75" customHeight="1">
      <c r="A659" s="1075"/>
      <c r="B659" s="1075"/>
      <c r="C659" s="1075"/>
      <c r="D659" s="1075"/>
      <c r="E659" s="1075"/>
      <c r="F659" s="1075"/>
      <c r="G659" s="1075"/>
      <c r="H659" s="1075"/>
      <c r="I659" s="1075"/>
      <c r="J659" s="1075"/>
      <c r="K659" s="1075"/>
      <c r="L659" s="1075"/>
      <c r="M659" s="1075"/>
      <c r="N659" s="1075"/>
      <c r="O659" s="1075"/>
      <c r="P659" s="1075"/>
      <c r="Q659" s="1075"/>
      <c r="R659" s="1075"/>
      <c r="S659" s="1075"/>
      <c r="T659" s="1075"/>
      <c r="U659" s="1075"/>
      <c r="V659" s="1075"/>
      <c r="W659" s="1075"/>
      <c r="X659" s="1075"/>
      <c r="Y659" s="1075"/>
      <c r="Z659" s="1075"/>
      <c r="AA659" s="1075"/>
    </row>
    <row r="660" spans="1:27" ht="12.75" customHeight="1">
      <c r="A660" s="1075"/>
      <c r="B660" s="1075"/>
      <c r="C660" s="1075"/>
      <c r="D660" s="1075"/>
      <c r="E660" s="1075"/>
      <c r="F660" s="1075"/>
      <c r="G660" s="1075"/>
      <c r="H660" s="1075"/>
      <c r="I660" s="1075"/>
      <c r="J660" s="1075"/>
      <c r="K660" s="1075"/>
      <c r="L660" s="1075"/>
      <c r="M660" s="1075"/>
      <c r="N660" s="1075"/>
      <c r="O660" s="1075"/>
      <c r="P660" s="1075"/>
      <c r="Q660" s="1075"/>
      <c r="R660" s="1075"/>
      <c r="S660" s="1075"/>
      <c r="T660" s="1075"/>
      <c r="U660" s="1075"/>
      <c r="V660" s="1075"/>
      <c r="W660" s="1075"/>
      <c r="X660" s="1075"/>
      <c r="Y660" s="1075"/>
      <c r="Z660" s="1075"/>
      <c r="AA660" s="1075"/>
    </row>
    <row r="661" spans="1:27" ht="12.75" customHeight="1">
      <c r="A661" s="1075"/>
      <c r="B661" s="1075"/>
      <c r="C661" s="1075"/>
      <c r="D661" s="1075"/>
      <c r="E661" s="1075"/>
      <c r="F661" s="1075"/>
      <c r="G661" s="1075"/>
      <c r="H661" s="1075"/>
      <c r="I661" s="1075"/>
      <c r="J661" s="1075"/>
      <c r="K661" s="1075"/>
      <c r="L661" s="1075"/>
      <c r="M661" s="1075"/>
      <c r="N661" s="1075"/>
      <c r="O661" s="1075"/>
      <c r="P661" s="1075"/>
      <c r="Q661" s="1075"/>
      <c r="R661" s="1075"/>
      <c r="S661" s="1075"/>
      <c r="T661" s="1075"/>
      <c r="U661" s="1075"/>
      <c r="V661" s="1075"/>
      <c r="W661" s="1075"/>
      <c r="X661" s="1075"/>
      <c r="Y661" s="1075"/>
      <c r="Z661" s="1075"/>
      <c r="AA661" s="1075"/>
    </row>
    <row r="662" spans="1:27" ht="12.75" customHeight="1">
      <c r="A662" s="1075"/>
      <c r="B662" s="1075"/>
      <c r="C662" s="1075"/>
      <c r="D662" s="1075"/>
      <c r="E662" s="1075"/>
      <c r="F662" s="1075"/>
      <c r="G662" s="1075"/>
      <c r="H662" s="1075"/>
      <c r="I662" s="1075"/>
      <c r="J662" s="1075"/>
      <c r="K662" s="1075"/>
      <c r="L662" s="1075"/>
      <c r="M662" s="1075"/>
      <c r="N662" s="1075"/>
      <c r="O662" s="1075"/>
      <c r="P662" s="1075"/>
      <c r="Q662" s="1075"/>
      <c r="R662" s="1075"/>
      <c r="S662" s="1075"/>
      <c r="T662" s="1075"/>
      <c r="U662" s="1075"/>
      <c r="V662" s="1075"/>
      <c r="W662" s="1075"/>
      <c r="X662" s="1075"/>
      <c r="Y662" s="1075"/>
      <c r="Z662" s="1075"/>
      <c r="AA662" s="1075"/>
    </row>
    <row r="663" spans="1:27" ht="12.75" customHeight="1">
      <c r="A663" s="1075"/>
      <c r="B663" s="1075"/>
      <c r="C663" s="1075"/>
      <c r="D663" s="1075"/>
      <c r="E663" s="1075"/>
      <c r="F663" s="1075"/>
      <c r="G663" s="1075"/>
      <c r="H663" s="1075"/>
      <c r="I663" s="1075"/>
      <c r="J663" s="1075"/>
      <c r="K663" s="1075"/>
      <c r="L663" s="1075"/>
      <c r="M663" s="1075"/>
      <c r="N663" s="1075"/>
      <c r="O663" s="1075"/>
      <c r="P663" s="1075"/>
      <c r="Q663" s="1075"/>
      <c r="R663" s="1075"/>
      <c r="S663" s="1075"/>
      <c r="T663" s="1075"/>
      <c r="U663" s="1075"/>
      <c r="V663" s="1075"/>
      <c r="W663" s="1075"/>
      <c r="X663" s="1075"/>
      <c r="Y663" s="1075"/>
      <c r="Z663" s="1075"/>
      <c r="AA663" s="1075"/>
    </row>
    <row r="664" spans="1:27" ht="12.75" customHeight="1">
      <c r="A664" s="1075"/>
      <c r="B664" s="1075"/>
      <c r="C664" s="1075"/>
      <c r="D664" s="1075"/>
      <c r="E664" s="1075"/>
      <c r="F664" s="1075"/>
      <c r="G664" s="1075"/>
      <c r="H664" s="1075"/>
      <c r="I664" s="1075"/>
      <c r="J664" s="1075"/>
      <c r="K664" s="1075"/>
      <c r="L664" s="1075"/>
      <c r="M664" s="1075"/>
      <c r="N664" s="1075"/>
      <c r="O664" s="1075"/>
      <c r="P664" s="1075"/>
      <c r="Q664" s="1075"/>
      <c r="R664" s="1075"/>
      <c r="S664" s="1075"/>
      <c r="T664" s="1075"/>
      <c r="U664" s="1075"/>
      <c r="V664" s="1075"/>
      <c r="W664" s="1075"/>
      <c r="X664" s="1075"/>
      <c r="Y664" s="1075"/>
      <c r="Z664" s="1075"/>
      <c r="AA664" s="1075"/>
    </row>
    <row r="665" spans="1:27" ht="12.75" customHeight="1">
      <c r="A665" s="1075"/>
      <c r="B665" s="1075"/>
      <c r="C665" s="1075"/>
      <c r="D665" s="1075"/>
      <c r="E665" s="1075"/>
      <c r="F665" s="1075"/>
      <c r="G665" s="1075"/>
      <c r="H665" s="1075"/>
      <c r="I665" s="1075"/>
      <c r="J665" s="1075"/>
      <c r="K665" s="1075"/>
      <c r="L665" s="1075"/>
      <c r="M665" s="1075"/>
      <c r="N665" s="1075"/>
      <c r="O665" s="1075"/>
      <c r="P665" s="1075"/>
      <c r="Q665" s="1075"/>
      <c r="R665" s="1075"/>
      <c r="S665" s="1075"/>
      <c r="T665" s="1075"/>
      <c r="U665" s="1075"/>
      <c r="V665" s="1075"/>
      <c r="W665" s="1075"/>
      <c r="X665" s="1075"/>
      <c r="Y665" s="1075"/>
      <c r="Z665" s="1075"/>
      <c r="AA665" s="1075"/>
    </row>
    <row r="666" spans="1:27" ht="12.75" customHeight="1">
      <c r="A666" s="1075"/>
      <c r="B666" s="1075"/>
      <c r="C666" s="1075"/>
      <c r="D666" s="1075"/>
      <c r="E666" s="1075"/>
      <c r="F666" s="1075"/>
      <c r="G666" s="1075"/>
      <c r="H666" s="1075"/>
      <c r="I666" s="1075"/>
      <c r="J666" s="1075"/>
      <c r="K666" s="1075"/>
      <c r="L666" s="1075"/>
      <c r="M666" s="1075"/>
      <c r="N666" s="1075"/>
      <c r="O666" s="1075"/>
      <c r="P666" s="1075"/>
      <c r="Q666" s="1075"/>
      <c r="R666" s="1075"/>
      <c r="S666" s="1075"/>
      <c r="T666" s="1075"/>
      <c r="U666" s="1075"/>
      <c r="V666" s="1075"/>
      <c r="W666" s="1075"/>
      <c r="X666" s="1075"/>
      <c r="Y666" s="1075"/>
      <c r="Z666" s="1075"/>
      <c r="AA666" s="1075"/>
    </row>
    <row r="667" spans="1:27" ht="12.75" customHeight="1">
      <c r="A667" s="1075"/>
      <c r="B667" s="1075"/>
      <c r="C667" s="1075"/>
      <c r="D667" s="1075"/>
      <c r="E667" s="1075"/>
      <c r="F667" s="1075"/>
      <c r="G667" s="1075"/>
      <c r="H667" s="1075"/>
      <c r="I667" s="1075"/>
      <c r="J667" s="1075"/>
      <c r="K667" s="1075"/>
      <c r="L667" s="1075"/>
      <c r="M667" s="1075"/>
      <c r="N667" s="1075"/>
      <c r="O667" s="1075"/>
      <c r="P667" s="1075"/>
      <c r="Q667" s="1075"/>
      <c r="R667" s="1075"/>
      <c r="S667" s="1075"/>
      <c r="T667" s="1075"/>
      <c r="U667" s="1075"/>
      <c r="V667" s="1075"/>
      <c r="W667" s="1075"/>
      <c r="X667" s="1075"/>
      <c r="Y667" s="1075"/>
      <c r="Z667" s="1075"/>
      <c r="AA667" s="1075"/>
    </row>
    <row r="668" spans="1:27" ht="12.75" customHeight="1">
      <c r="A668" s="1075"/>
      <c r="B668" s="1075"/>
      <c r="C668" s="1075"/>
      <c r="D668" s="1075"/>
      <c r="E668" s="1075"/>
      <c r="F668" s="1075"/>
      <c r="G668" s="1075"/>
      <c r="H668" s="1075"/>
      <c r="I668" s="1075"/>
      <c r="J668" s="1075"/>
      <c r="K668" s="1075"/>
      <c r="L668" s="1075"/>
      <c r="M668" s="1075"/>
      <c r="N668" s="1075"/>
      <c r="O668" s="1075"/>
      <c r="P668" s="1075"/>
      <c r="Q668" s="1075"/>
      <c r="R668" s="1075"/>
      <c r="S668" s="1075"/>
      <c r="T668" s="1075"/>
      <c r="U668" s="1075"/>
      <c r="V668" s="1075"/>
      <c r="W668" s="1075"/>
      <c r="X668" s="1075"/>
      <c r="Y668" s="1075"/>
      <c r="Z668" s="1075"/>
      <c r="AA668" s="1075"/>
    </row>
    <row r="669" spans="1:27" ht="12.75" customHeight="1">
      <c r="A669" s="1075"/>
      <c r="B669" s="1075"/>
      <c r="C669" s="1075"/>
      <c r="D669" s="1075"/>
      <c r="E669" s="1075"/>
      <c r="F669" s="1075"/>
      <c r="G669" s="1075"/>
      <c r="H669" s="1075"/>
      <c r="I669" s="1075"/>
      <c r="J669" s="1075"/>
      <c r="K669" s="1075"/>
      <c r="L669" s="1075"/>
      <c r="M669" s="1075"/>
      <c r="N669" s="1075"/>
      <c r="O669" s="1075"/>
      <c r="P669" s="1075"/>
      <c r="Q669" s="1075"/>
      <c r="R669" s="1075"/>
      <c r="S669" s="1075"/>
      <c r="T669" s="1075"/>
      <c r="U669" s="1075"/>
      <c r="V669" s="1075"/>
      <c r="W669" s="1075"/>
      <c r="X669" s="1075"/>
      <c r="Y669" s="1075"/>
      <c r="Z669" s="1075"/>
      <c r="AA669" s="1075"/>
    </row>
    <row r="670" spans="1:27" ht="12.75" customHeight="1">
      <c r="A670" s="1075"/>
      <c r="B670" s="1075"/>
      <c r="C670" s="1075"/>
      <c r="D670" s="1075"/>
      <c r="E670" s="1075"/>
      <c r="F670" s="1075"/>
      <c r="G670" s="1075"/>
      <c r="H670" s="1075"/>
      <c r="I670" s="1075"/>
      <c r="J670" s="1075"/>
      <c r="K670" s="1075"/>
      <c r="L670" s="1075"/>
      <c r="M670" s="1075"/>
      <c r="N670" s="1075"/>
      <c r="O670" s="1075"/>
      <c r="P670" s="1075"/>
      <c r="Q670" s="1075"/>
      <c r="R670" s="1075"/>
      <c r="S670" s="1075"/>
      <c r="T670" s="1075"/>
      <c r="U670" s="1075"/>
      <c r="V670" s="1075"/>
      <c r="W670" s="1075"/>
      <c r="X670" s="1075"/>
      <c r="Y670" s="1075"/>
      <c r="Z670" s="1075"/>
      <c r="AA670" s="1075"/>
    </row>
    <row r="671" spans="1:27" ht="12.75" customHeight="1">
      <c r="A671" s="1075"/>
      <c r="B671" s="1075"/>
      <c r="C671" s="1075"/>
      <c r="D671" s="1075"/>
      <c r="E671" s="1075"/>
      <c r="F671" s="1075"/>
      <c r="G671" s="1075"/>
      <c r="H671" s="1075"/>
      <c r="I671" s="1075"/>
      <c r="J671" s="1075"/>
      <c r="K671" s="1075"/>
      <c r="L671" s="1075"/>
      <c r="M671" s="1075"/>
      <c r="N671" s="1075"/>
      <c r="O671" s="1075"/>
      <c r="P671" s="1075"/>
      <c r="Q671" s="1075"/>
      <c r="R671" s="1075"/>
      <c r="S671" s="1075"/>
      <c r="T671" s="1075"/>
      <c r="U671" s="1075"/>
      <c r="V671" s="1075"/>
      <c r="W671" s="1075"/>
      <c r="X671" s="1075"/>
      <c r="Y671" s="1075"/>
      <c r="Z671" s="1075"/>
      <c r="AA671" s="1075"/>
    </row>
    <row r="672" spans="1:27" ht="12.75" customHeight="1">
      <c r="A672" s="1075"/>
      <c r="B672" s="1075"/>
      <c r="C672" s="1075"/>
      <c r="D672" s="1075"/>
      <c r="E672" s="1075"/>
      <c r="F672" s="1075"/>
      <c r="G672" s="1075"/>
      <c r="H672" s="1075"/>
      <c r="I672" s="1075"/>
      <c r="J672" s="1075"/>
      <c r="K672" s="1075"/>
      <c r="L672" s="1075"/>
      <c r="M672" s="1075"/>
      <c r="N672" s="1075"/>
      <c r="O672" s="1075"/>
      <c r="P672" s="1075"/>
      <c r="Q672" s="1075"/>
      <c r="R672" s="1075"/>
      <c r="S672" s="1075"/>
      <c r="T672" s="1075"/>
      <c r="U672" s="1075"/>
      <c r="V672" s="1075"/>
      <c r="W672" s="1075"/>
      <c r="X672" s="1075"/>
      <c r="Y672" s="1075"/>
      <c r="Z672" s="1075"/>
      <c r="AA672" s="1075"/>
    </row>
    <row r="673" spans="1:27" ht="12.75" customHeight="1">
      <c r="A673" s="1075"/>
      <c r="B673" s="1075"/>
      <c r="C673" s="1075"/>
      <c r="D673" s="1075"/>
      <c r="E673" s="1075"/>
      <c r="F673" s="1075"/>
      <c r="G673" s="1075"/>
      <c r="H673" s="1075"/>
      <c r="I673" s="1075"/>
      <c r="J673" s="1075"/>
      <c r="K673" s="1075"/>
      <c r="L673" s="1075"/>
      <c r="M673" s="1075"/>
      <c r="N673" s="1075"/>
      <c r="O673" s="1075"/>
      <c r="P673" s="1075"/>
      <c r="Q673" s="1075"/>
      <c r="R673" s="1075"/>
      <c r="S673" s="1075"/>
      <c r="T673" s="1075"/>
      <c r="U673" s="1075"/>
      <c r="V673" s="1075"/>
      <c r="W673" s="1075"/>
      <c r="X673" s="1075"/>
      <c r="Y673" s="1075"/>
      <c r="Z673" s="1075"/>
      <c r="AA673" s="1075"/>
    </row>
    <row r="674" spans="1:27" ht="12.75" customHeight="1">
      <c r="A674" s="1075"/>
      <c r="B674" s="1075"/>
      <c r="C674" s="1075"/>
      <c r="D674" s="1075"/>
      <c r="E674" s="1075"/>
      <c r="F674" s="1075"/>
      <c r="G674" s="1075"/>
      <c r="H674" s="1075"/>
      <c r="I674" s="1075"/>
      <c r="J674" s="1075"/>
      <c r="K674" s="1075"/>
      <c r="L674" s="1075"/>
      <c r="M674" s="1075"/>
      <c r="N674" s="1075"/>
      <c r="O674" s="1075"/>
      <c r="P674" s="1075"/>
      <c r="Q674" s="1075"/>
      <c r="R674" s="1075"/>
      <c r="S674" s="1075"/>
      <c r="T674" s="1075"/>
      <c r="U674" s="1075"/>
      <c r="V674" s="1075"/>
      <c r="W674" s="1075"/>
      <c r="X674" s="1075"/>
      <c r="Y674" s="1075"/>
      <c r="Z674" s="1075"/>
      <c r="AA674" s="1075"/>
    </row>
    <row r="675" spans="1:27" ht="12.75" customHeight="1">
      <c r="A675" s="1075"/>
      <c r="B675" s="1075"/>
      <c r="C675" s="1075"/>
      <c r="D675" s="1075"/>
      <c r="E675" s="1075"/>
      <c r="F675" s="1075"/>
      <c r="G675" s="1075"/>
      <c r="H675" s="1075"/>
      <c r="I675" s="1075"/>
      <c r="J675" s="1075"/>
      <c r="K675" s="1075"/>
      <c r="L675" s="1075"/>
      <c r="M675" s="1075"/>
      <c r="N675" s="1075"/>
      <c r="O675" s="1075"/>
      <c r="P675" s="1075"/>
      <c r="Q675" s="1075"/>
      <c r="R675" s="1075"/>
      <c r="S675" s="1075"/>
      <c r="T675" s="1075"/>
      <c r="U675" s="1075"/>
      <c r="V675" s="1075"/>
      <c r="W675" s="1075"/>
      <c r="X675" s="1075"/>
      <c r="Y675" s="1075"/>
      <c r="Z675" s="1075"/>
      <c r="AA675" s="1075"/>
    </row>
    <row r="676" spans="1:27" ht="12.75" customHeight="1">
      <c r="A676" s="1075"/>
      <c r="B676" s="1075"/>
      <c r="C676" s="1075"/>
      <c r="D676" s="1075"/>
      <c r="E676" s="1075"/>
      <c r="F676" s="1075"/>
      <c r="G676" s="1075"/>
      <c r="H676" s="1075"/>
      <c r="I676" s="1075"/>
      <c r="J676" s="1075"/>
      <c r="K676" s="1075"/>
      <c r="L676" s="1075"/>
      <c r="M676" s="1075"/>
      <c r="N676" s="1075"/>
      <c r="O676" s="1075"/>
      <c r="P676" s="1075"/>
      <c r="Q676" s="1075"/>
      <c r="R676" s="1075"/>
      <c r="S676" s="1075"/>
      <c r="T676" s="1075"/>
      <c r="U676" s="1075"/>
      <c r="V676" s="1075"/>
      <c r="W676" s="1075"/>
      <c r="X676" s="1075"/>
      <c r="Y676" s="1075"/>
      <c r="Z676" s="1075"/>
      <c r="AA676" s="1075"/>
    </row>
    <row r="677" spans="1:27" ht="12.75" customHeight="1">
      <c r="A677" s="1075"/>
      <c r="B677" s="1075"/>
      <c r="C677" s="1075"/>
      <c r="D677" s="1075"/>
      <c r="E677" s="1075"/>
      <c r="F677" s="1075"/>
      <c r="G677" s="1075"/>
      <c r="H677" s="1075"/>
      <c r="I677" s="1075"/>
      <c r="J677" s="1075"/>
      <c r="K677" s="1075"/>
      <c r="L677" s="1075"/>
      <c r="M677" s="1075"/>
      <c r="N677" s="1075"/>
      <c r="O677" s="1075"/>
      <c r="P677" s="1075"/>
      <c r="Q677" s="1075"/>
      <c r="R677" s="1075"/>
      <c r="S677" s="1075"/>
      <c r="T677" s="1075"/>
      <c r="U677" s="1075"/>
      <c r="V677" s="1075"/>
      <c r="W677" s="1075"/>
      <c r="X677" s="1075"/>
      <c r="Y677" s="1075"/>
      <c r="Z677" s="1075"/>
      <c r="AA677" s="1075"/>
    </row>
    <row r="678" spans="1:27" ht="12.75" customHeight="1">
      <c r="A678" s="1075"/>
      <c r="B678" s="1075"/>
      <c r="C678" s="1075"/>
      <c r="D678" s="1075"/>
      <c r="E678" s="1075"/>
      <c r="F678" s="1075"/>
      <c r="G678" s="1075"/>
      <c r="H678" s="1075"/>
      <c r="I678" s="1075"/>
      <c r="J678" s="1075"/>
      <c r="K678" s="1075"/>
      <c r="L678" s="1075"/>
      <c r="M678" s="1075"/>
      <c r="N678" s="1075"/>
      <c r="O678" s="1075"/>
      <c r="P678" s="1075"/>
      <c r="Q678" s="1075"/>
      <c r="R678" s="1075"/>
      <c r="S678" s="1075"/>
      <c r="T678" s="1075"/>
      <c r="U678" s="1075"/>
      <c r="V678" s="1075"/>
      <c r="W678" s="1075"/>
      <c r="X678" s="1075"/>
      <c r="Y678" s="1075"/>
      <c r="Z678" s="1075"/>
      <c r="AA678" s="1075"/>
    </row>
    <row r="679" spans="1:27" ht="12.75" customHeight="1">
      <c r="A679" s="1075"/>
      <c r="B679" s="1075"/>
      <c r="C679" s="1075"/>
      <c r="D679" s="1075"/>
      <c r="E679" s="1075"/>
      <c r="F679" s="1075"/>
      <c r="G679" s="1075"/>
      <c r="H679" s="1075"/>
      <c r="I679" s="1075"/>
      <c r="J679" s="1075"/>
      <c r="K679" s="1075"/>
      <c r="L679" s="1075"/>
      <c r="M679" s="1075"/>
      <c r="N679" s="1075"/>
      <c r="O679" s="1075"/>
      <c r="P679" s="1075"/>
      <c r="Q679" s="1075"/>
      <c r="R679" s="1075"/>
      <c r="S679" s="1075"/>
      <c r="T679" s="1075"/>
      <c r="U679" s="1075"/>
      <c r="V679" s="1075"/>
      <c r="W679" s="1075"/>
      <c r="X679" s="1075"/>
      <c r="Y679" s="1075"/>
      <c r="Z679" s="1075"/>
      <c r="AA679" s="1075"/>
    </row>
    <row r="680" spans="1:27" ht="12.75" customHeight="1">
      <c r="A680" s="1075"/>
      <c r="B680" s="1075"/>
      <c r="C680" s="1075"/>
      <c r="D680" s="1075"/>
      <c r="E680" s="1075"/>
      <c r="F680" s="1075"/>
      <c r="G680" s="1075"/>
      <c r="H680" s="1075"/>
      <c r="I680" s="1075"/>
      <c r="J680" s="1075"/>
      <c r="K680" s="1075"/>
      <c r="L680" s="1075"/>
      <c r="M680" s="1075"/>
      <c r="N680" s="1075"/>
      <c r="O680" s="1075"/>
      <c r="P680" s="1075"/>
      <c r="Q680" s="1075"/>
      <c r="R680" s="1075"/>
      <c r="S680" s="1075"/>
      <c r="T680" s="1075"/>
      <c r="U680" s="1075"/>
      <c r="V680" s="1075"/>
      <c r="W680" s="1075"/>
      <c r="X680" s="1075"/>
      <c r="Y680" s="1075"/>
      <c r="Z680" s="1075"/>
      <c r="AA680" s="1075"/>
    </row>
    <row r="681" spans="1:27" ht="12.75" customHeight="1">
      <c r="A681" s="1075"/>
      <c r="B681" s="1075"/>
      <c r="C681" s="1075"/>
      <c r="D681" s="1075"/>
      <c r="E681" s="1075"/>
      <c r="F681" s="1075"/>
      <c r="G681" s="1075"/>
      <c r="H681" s="1075"/>
      <c r="I681" s="1075"/>
      <c r="J681" s="1075"/>
      <c r="K681" s="1075"/>
      <c r="L681" s="1075"/>
      <c r="M681" s="1075"/>
      <c r="N681" s="1075"/>
      <c r="O681" s="1075"/>
      <c r="P681" s="1075"/>
      <c r="Q681" s="1075"/>
      <c r="R681" s="1075"/>
      <c r="S681" s="1075"/>
      <c r="T681" s="1075"/>
      <c r="U681" s="1075"/>
      <c r="V681" s="1075"/>
      <c r="W681" s="1075"/>
      <c r="X681" s="1075"/>
      <c r="Y681" s="1075"/>
      <c r="Z681" s="1075"/>
      <c r="AA681" s="1075"/>
    </row>
    <row r="682" spans="1:27" ht="12.75" customHeight="1">
      <c r="A682" s="1075"/>
      <c r="B682" s="1075"/>
      <c r="C682" s="1075"/>
      <c r="D682" s="1075"/>
      <c r="E682" s="1075"/>
      <c r="F682" s="1075"/>
      <c r="G682" s="1075"/>
      <c r="H682" s="1075"/>
      <c r="I682" s="1075"/>
      <c r="J682" s="1075"/>
      <c r="K682" s="1075"/>
      <c r="L682" s="1075"/>
      <c r="M682" s="1075"/>
      <c r="N682" s="1075"/>
      <c r="O682" s="1075"/>
      <c r="P682" s="1075"/>
      <c r="Q682" s="1075"/>
      <c r="R682" s="1075"/>
      <c r="S682" s="1075"/>
      <c r="T682" s="1075"/>
      <c r="U682" s="1075"/>
      <c r="V682" s="1075"/>
      <c r="W682" s="1075"/>
      <c r="X682" s="1075"/>
      <c r="Y682" s="1075"/>
      <c r="Z682" s="1075"/>
      <c r="AA682" s="1075"/>
    </row>
    <row r="683" spans="1:27" ht="12.75" customHeight="1">
      <c r="A683" s="1075"/>
      <c r="B683" s="1075"/>
      <c r="C683" s="1075"/>
      <c r="D683" s="1075"/>
      <c r="E683" s="1075"/>
      <c r="F683" s="1075"/>
      <c r="G683" s="1075"/>
      <c r="H683" s="1075"/>
      <c r="I683" s="1075"/>
      <c r="J683" s="1075"/>
      <c r="K683" s="1075"/>
      <c r="L683" s="1075"/>
      <c r="M683" s="1075"/>
      <c r="N683" s="1075"/>
      <c r="O683" s="1075"/>
      <c r="P683" s="1075"/>
      <c r="Q683" s="1075"/>
      <c r="R683" s="1075"/>
      <c r="S683" s="1075"/>
      <c r="T683" s="1075"/>
      <c r="U683" s="1075"/>
      <c r="V683" s="1075"/>
      <c r="W683" s="1075"/>
      <c r="X683" s="1075"/>
      <c r="Y683" s="1075"/>
      <c r="Z683" s="1075"/>
      <c r="AA683" s="1075"/>
    </row>
    <row r="684" spans="1:27" ht="12.75" customHeight="1">
      <c r="A684" s="1075"/>
      <c r="B684" s="1075"/>
      <c r="C684" s="1075"/>
      <c r="D684" s="1075"/>
      <c r="E684" s="1075"/>
      <c r="F684" s="1075"/>
      <c r="G684" s="1075"/>
      <c r="H684" s="1075"/>
      <c r="I684" s="1075"/>
      <c r="J684" s="1075"/>
      <c r="K684" s="1075"/>
      <c r="L684" s="1075"/>
      <c r="M684" s="1075"/>
      <c r="N684" s="1075"/>
      <c r="O684" s="1075"/>
      <c r="P684" s="1075"/>
      <c r="Q684" s="1075"/>
      <c r="R684" s="1075"/>
      <c r="S684" s="1075"/>
      <c r="T684" s="1075"/>
      <c r="U684" s="1075"/>
      <c r="V684" s="1075"/>
      <c r="W684" s="1075"/>
      <c r="X684" s="1075"/>
      <c r="Y684" s="1075"/>
      <c r="Z684" s="1075"/>
      <c r="AA684" s="1075"/>
    </row>
    <row r="685" spans="1:27" ht="12.75" customHeight="1">
      <c r="A685" s="1075"/>
      <c r="B685" s="1075"/>
      <c r="C685" s="1075"/>
      <c r="D685" s="1075"/>
      <c r="E685" s="1075"/>
      <c r="F685" s="1075"/>
      <c r="G685" s="1075"/>
      <c r="H685" s="1075"/>
      <c r="I685" s="1075"/>
      <c r="J685" s="1075"/>
      <c r="K685" s="1075"/>
      <c r="L685" s="1075"/>
      <c r="M685" s="1075"/>
      <c r="N685" s="1075"/>
      <c r="O685" s="1075"/>
      <c r="P685" s="1075"/>
      <c r="Q685" s="1075"/>
      <c r="R685" s="1075"/>
      <c r="S685" s="1075"/>
      <c r="T685" s="1075"/>
      <c r="U685" s="1075"/>
      <c r="V685" s="1075"/>
      <c r="W685" s="1075"/>
      <c r="X685" s="1075"/>
      <c r="Y685" s="1075"/>
      <c r="Z685" s="1075"/>
      <c r="AA685" s="1075"/>
    </row>
    <row r="686" spans="1:27" ht="12.75" customHeight="1">
      <c r="A686" s="1075"/>
      <c r="B686" s="1075"/>
      <c r="C686" s="1075"/>
      <c r="D686" s="1075"/>
      <c r="E686" s="1075"/>
      <c r="F686" s="1075"/>
      <c r="G686" s="1075"/>
      <c r="H686" s="1075"/>
      <c r="I686" s="1075"/>
      <c r="J686" s="1075"/>
      <c r="K686" s="1075"/>
      <c r="L686" s="1075"/>
      <c r="M686" s="1075"/>
      <c r="N686" s="1075"/>
      <c r="O686" s="1075"/>
      <c r="P686" s="1075"/>
      <c r="Q686" s="1075"/>
      <c r="R686" s="1075"/>
      <c r="S686" s="1075"/>
      <c r="T686" s="1075"/>
      <c r="U686" s="1075"/>
      <c r="V686" s="1075"/>
      <c r="W686" s="1075"/>
      <c r="X686" s="1075"/>
      <c r="Y686" s="1075"/>
      <c r="Z686" s="1075"/>
      <c r="AA686" s="1075"/>
    </row>
    <row r="687" spans="1:27" ht="12.75" customHeight="1">
      <c r="A687" s="1075"/>
      <c r="B687" s="1075"/>
      <c r="C687" s="1075"/>
      <c r="D687" s="1075"/>
      <c r="E687" s="1075"/>
      <c r="F687" s="1075"/>
      <c r="G687" s="1075"/>
      <c r="H687" s="1075"/>
      <c r="I687" s="1075"/>
      <c r="J687" s="1075"/>
      <c r="K687" s="1075"/>
      <c r="L687" s="1075"/>
      <c r="M687" s="1075"/>
      <c r="N687" s="1075"/>
      <c r="O687" s="1075"/>
      <c r="P687" s="1075"/>
      <c r="Q687" s="1075"/>
      <c r="R687" s="1075"/>
      <c r="S687" s="1075"/>
      <c r="T687" s="1075"/>
      <c r="U687" s="1075"/>
      <c r="V687" s="1075"/>
      <c r="W687" s="1075"/>
      <c r="X687" s="1075"/>
      <c r="Y687" s="1075"/>
      <c r="Z687" s="1075"/>
      <c r="AA687" s="1075"/>
    </row>
    <row r="688" spans="1:27" ht="12.75" customHeight="1">
      <c r="A688" s="1075"/>
      <c r="B688" s="1075"/>
      <c r="C688" s="1075"/>
      <c r="D688" s="1075"/>
      <c r="E688" s="1075"/>
      <c r="F688" s="1075"/>
      <c r="G688" s="1075"/>
      <c r="H688" s="1075"/>
      <c r="I688" s="1075"/>
      <c r="J688" s="1075"/>
      <c r="K688" s="1075"/>
      <c r="L688" s="1075"/>
      <c r="M688" s="1075"/>
      <c r="N688" s="1075"/>
      <c r="O688" s="1075"/>
      <c r="P688" s="1075"/>
      <c r="Q688" s="1075"/>
      <c r="R688" s="1075"/>
      <c r="S688" s="1075"/>
      <c r="T688" s="1075"/>
      <c r="U688" s="1075"/>
      <c r="V688" s="1075"/>
      <c r="W688" s="1075"/>
      <c r="X688" s="1075"/>
      <c r="Y688" s="1075"/>
      <c r="Z688" s="1075"/>
      <c r="AA688" s="1075"/>
    </row>
    <row r="689" spans="1:27" ht="12.75" customHeight="1">
      <c r="A689" s="1075"/>
      <c r="B689" s="1075"/>
      <c r="C689" s="1075"/>
      <c r="D689" s="1075"/>
      <c r="E689" s="1075"/>
      <c r="F689" s="1075"/>
      <c r="G689" s="1075"/>
      <c r="H689" s="1075"/>
      <c r="I689" s="1075"/>
      <c r="J689" s="1075"/>
      <c r="K689" s="1075"/>
      <c r="L689" s="1075"/>
      <c r="M689" s="1075"/>
      <c r="N689" s="1075"/>
      <c r="O689" s="1075"/>
      <c r="P689" s="1075"/>
      <c r="Q689" s="1075"/>
      <c r="R689" s="1075"/>
      <c r="S689" s="1075"/>
      <c r="T689" s="1075"/>
      <c r="U689" s="1075"/>
      <c r="V689" s="1075"/>
      <c r="W689" s="1075"/>
      <c r="X689" s="1075"/>
      <c r="Y689" s="1075"/>
      <c r="Z689" s="1075"/>
      <c r="AA689" s="1075"/>
    </row>
    <row r="690" spans="1:27" ht="12.75" customHeight="1">
      <c r="A690" s="1075"/>
      <c r="B690" s="1075"/>
      <c r="C690" s="1075"/>
      <c r="D690" s="1075"/>
      <c r="E690" s="1075"/>
      <c r="F690" s="1075"/>
      <c r="G690" s="1075"/>
      <c r="H690" s="1075"/>
      <c r="I690" s="1075"/>
      <c r="J690" s="1075"/>
      <c r="K690" s="1075"/>
      <c r="L690" s="1075"/>
      <c r="M690" s="1075"/>
      <c r="N690" s="1075"/>
      <c r="O690" s="1075"/>
      <c r="P690" s="1075"/>
      <c r="Q690" s="1075"/>
      <c r="R690" s="1075"/>
      <c r="S690" s="1075"/>
      <c r="T690" s="1075"/>
      <c r="U690" s="1075"/>
      <c r="V690" s="1075"/>
      <c r="W690" s="1075"/>
      <c r="X690" s="1075"/>
      <c r="Y690" s="1075"/>
      <c r="Z690" s="1075"/>
      <c r="AA690" s="1075"/>
    </row>
    <row r="691" spans="1:27" ht="12.75" customHeight="1">
      <c r="A691" s="1075"/>
      <c r="B691" s="1075"/>
      <c r="C691" s="1075"/>
      <c r="D691" s="1075"/>
      <c r="E691" s="1075"/>
      <c r="F691" s="1075"/>
      <c r="G691" s="1075"/>
      <c r="H691" s="1075"/>
      <c r="I691" s="1075"/>
      <c r="J691" s="1075"/>
      <c r="K691" s="1075"/>
      <c r="L691" s="1075"/>
      <c r="M691" s="1075"/>
      <c r="N691" s="1075"/>
      <c r="O691" s="1075"/>
      <c r="P691" s="1075"/>
      <c r="Q691" s="1075"/>
      <c r="R691" s="1075"/>
      <c r="S691" s="1075"/>
      <c r="T691" s="1075"/>
      <c r="U691" s="1075"/>
      <c r="V691" s="1075"/>
      <c r="W691" s="1075"/>
      <c r="X691" s="1075"/>
      <c r="Y691" s="1075"/>
      <c r="Z691" s="1075"/>
      <c r="AA691" s="1075"/>
    </row>
    <row r="692" spans="1:27" ht="12.75" customHeight="1">
      <c r="A692" s="1075"/>
      <c r="B692" s="1075"/>
      <c r="C692" s="1075"/>
      <c r="D692" s="1075"/>
      <c r="E692" s="1075"/>
      <c r="F692" s="1075"/>
      <c r="G692" s="1075"/>
      <c r="H692" s="1075"/>
      <c r="I692" s="1075"/>
      <c r="J692" s="1075"/>
      <c r="K692" s="1075"/>
      <c r="L692" s="1075"/>
      <c r="M692" s="1075"/>
      <c r="N692" s="1075"/>
      <c r="O692" s="1075"/>
      <c r="P692" s="1075"/>
      <c r="Q692" s="1075"/>
      <c r="R692" s="1075"/>
      <c r="S692" s="1075"/>
      <c r="T692" s="1075"/>
      <c r="U692" s="1075"/>
      <c r="V692" s="1075"/>
      <c r="W692" s="1075"/>
      <c r="X692" s="1075"/>
      <c r="Y692" s="1075"/>
      <c r="Z692" s="1075"/>
      <c r="AA692" s="1075"/>
    </row>
    <row r="693" spans="1:27" ht="12.75" customHeight="1">
      <c r="A693" s="1075"/>
      <c r="B693" s="1075"/>
      <c r="C693" s="1075"/>
      <c r="D693" s="1075"/>
      <c r="E693" s="1075"/>
      <c r="F693" s="1075"/>
      <c r="G693" s="1075"/>
      <c r="H693" s="1075"/>
      <c r="I693" s="1075"/>
      <c r="J693" s="1075"/>
      <c r="K693" s="1075"/>
      <c r="L693" s="1075"/>
      <c r="M693" s="1075"/>
      <c r="N693" s="1075"/>
      <c r="O693" s="1075"/>
      <c r="P693" s="1075"/>
      <c r="Q693" s="1075"/>
      <c r="R693" s="1075"/>
      <c r="S693" s="1075"/>
      <c r="T693" s="1075"/>
      <c r="U693" s="1075"/>
      <c r="V693" s="1075"/>
      <c r="W693" s="1075"/>
      <c r="X693" s="1075"/>
      <c r="Y693" s="1075"/>
      <c r="Z693" s="1075"/>
      <c r="AA693" s="1075"/>
    </row>
    <row r="694" spans="1:27" ht="12.75" customHeight="1">
      <c r="A694" s="1075"/>
      <c r="B694" s="1075"/>
      <c r="C694" s="1075"/>
      <c r="D694" s="1075"/>
      <c r="E694" s="1075"/>
      <c r="F694" s="1075"/>
      <c r="G694" s="1075"/>
      <c r="H694" s="1075"/>
      <c r="I694" s="1075"/>
      <c r="J694" s="1075"/>
      <c r="K694" s="1075"/>
      <c r="L694" s="1075"/>
      <c r="M694" s="1075"/>
      <c r="N694" s="1075"/>
      <c r="O694" s="1075"/>
      <c r="P694" s="1075"/>
      <c r="Q694" s="1075"/>
      <c r="R694" s="1075"/>
      <c r="S694" s="1075"/>
      <c r="T694" s="1075"/>
      <c r="U694" s="1075"/>
      <c r="V694" s="1075"/>
      <c r="W694" s="1075"/>
      <c r="X694" s="1075"/>
      <c r="Y694" s="1075"/>
      <c r="Z694" s="1075"/>
      <c r="AA694" s="1075"/>
    </row>
    <row r="695" spans="1:27" ht="12.75" customHeight="1">
      <c r="A695" s="1075"/>
      <c r="B695" s="1075"/>
      <c r="C695" s="1075"/>
      <c r="D695" s="1075"/>
      <c r="E695" s="1075"/>
      <c r="F695" s="1075"/>
      <c r="G695" s="1075"/>
      <c r="H695" s="1075"/>
      <c r="I695" s="1075"/>
      <c r="J695" s="1075"/>
      <c r="K695" s="1075"/>
      <c r="L695" s="1075"/>
      <c r="M695" s="1075"/>
      <c r="N695" s="1075"/>
      <c r="O695" s="1075"/>
      <c r="P695" s="1075"/>
      <c r="Q695" s="1075"/>
      <c r="R695" s="1075"/>
      <c r="S695" s="1075"/>
      <c r="T695" s="1075"/>
      <c r="U695" s="1075"/>
      <c r="V695" s="1075"/>
      <c r="W695" s="1075"/>
      <c r="X695" s="1075"/>
      <c r="Y695" s="1075"/>
      <c r="Z695" s="1075"/>
      <c r="AA695" s="1075"/>
    </row>
    <row r="696" spans="1:27" ht="12.75" customHeight="1">
      <c r="A696" s="1075"/>
      <c r="B696" s="1075"/>
      <c r="C696" s="1075"/>
      <c r="D696" s="1075"/>
      <c r="E696" s="1075"/>
      <c r="F696" s="1075"/>
      <c r="G696" s="1075"/>
      <c r="H696" s="1075"/>
      <c r="I696" s="1075"/>
      <c r="J696" s="1075"/>
      <c r="K696" s="1075"/>
      <c r="L696" s="1075"/>
      <c r="M696" s="1075"/>
      <c r="N696" s="1075"/>
      <c r="O696" s="1075"/>
      <c r="P696" s="1075"/>
      <c r="Q696" s="1075"/>
      <c r="R696" s="1075"/>
      <c r="S696" s="1075"/>
      <c r="T696" s="1075"/>
      <c r="U696" s="1075"/>
      <c r="V696" s="1075"/>
      <c r="W696" s="1075"/>
      <c r="X696" s="1075"/>
      <c r="Y696" s="1075"/>
      <c r="Z696" s="1075"/>
      <c r="AA696" s="1075"/>
    </row>
    <row r="697" spans="1:27" ht="12.75" customHeight="1">
      <c r="A697" s="1075"/>
      <c r="B697" s="1075"/>
      <c r="C697" s="1075"/>
      <c r="D697" s="1075"/>
      <c r="E697" s="1075"/>
      <c r="F697" s="1075"/>
      <c r="G697" s="1075"/>
      <c r="H697" s="1075"/>
      <c r="I697" s="1075"/>
      <c r="J697" s="1075"/>
      <c r="K697" s="1075"/>
      <c r="L697" s="1075"/>
      <c r="M697" s="1075"/>
      <c r="N697" s="1075"/>
      <c r="O697" s="1075"/>
      <c r="P697" s="1075"/>
      <c r="Q697" s="1075"/>
      <c r="R697" s="1075"/>
      <c r="S697" s="1075"/>
      <c r="T697" s="1075"/>
      <c r="U697" s="1075"/>
      <c r="V697" s="1075"/>
      <c r="W697" s="1075"/>
      <c r="X697" s="1075"/>
      <c r="Y697" s="1075"/>
      <c r="Z697" s="1075"/>
      <c r="AA697" s="1075"/>
    </row>
    <row r="698" spans="1:27" ht="12.75" customHeight="1">
      <c r="A698" s="1075"/>
      <c r="B698" s="1075"/>
      <c r="C698" s="1075"/>
      <c r="D698" s="1075"/>
      <c r="E698" s="1075"/>
      <c r="F698" s="1075"/>
      <c r="G698" s="1075"/>
      <c r="H698" s="1075"/>
      <c r="I698" s="1075"/>
      <c r="J698" s="1075"/>
      <c r="K698" s="1075"/>
      <c r="L698" s="1075"/>
      <c r="M698" s="1075"/>
      <c r="N698" s="1075"/>
      <c r="O698" s="1075"/>
      <c r="P698" s="1075"/>
      <c r="Q698" s="1075"/>
      <c r="R698" s="1075"/>
      <c r="S698" s="1075"/>
      <c r="T698" s="1075"/>
      <c r="U698" s="1075"/>
      <c r="V698" s="1075"/>
      <c r="W698" s="1075"/>
      <c r="X698" s="1075"/>
      <c r="Y698" s="1075"/>
      <c r="Z698" s="1075"/>
      <c r="AA698" s="1075"/>
    </row>
    <row r="699" spans="1:27" ht="12.75" customHeight="1">
      <c r="A699" s="1075"/>
      <c r="B699" s="1075"/>
      <c r="C699" s="1075"/>
      <c r="D699" s="1075"/>
      <c r="E699" s="1075"/>
      <c r="F699" s="1075"/>
      <c r="G699" s="1075"/>
      <c r="H699" s="1075"/>
      <c r="I699" s="1075"/>
      <c r="J699" s="1075"/>
      <c r="K699" s="1075"/>
      <c r="L699" s="1075"/>
      <c r="M699" s="1075"/>
      <c r="N699" s="1075"/>
      <c r="O699" s="1075"/>
      <c r="P699" s="1075"/>
      <c r="Q699" s="1075"/>
      <c r="R699" s="1075"/>
      <c r="S699" s="1075"/>
      <c r="T699" s="1075"/>
      <c r="U699" s="1075"/>
      <c r="V699" s="1075"/>
      <c r="W699" s="1075"/>
      <c r="X699" s="1075"/>
      <c r="Y699" s="1075"/>
      <c r="Z699" s="1075"/>
      <c r="AA699" s="1075"/>
    </row>
    <row r="700" spans="1:27" ht="12.75" customHeight="1">
      <c r="A700" s="1075"/>
      <c r="B700" s="1075"/>
      <c r="C700" s="1075"/>
      <c r="D700" s="1075"/>
      <c r="E700" s="1075"/>
      <c r="F700" s="1075"/>
      <c r="G700" s="1075"/>
      <c r="H700" s="1075"/>
      <c r="I700" s="1075"/>
      <c r="J700" s="1075"/>
      <c r="K700" s="1075"/>
      <c r="L700" s="1075"/>
      <c r="M700" s="1075"/>
      <c r="N700" s="1075"/>
      <c r="O700" s="1075"/>
      <c r="P700" s="1075"/>
      <c r="Q700" s="1075"/>
      <c r="R700" s="1075"/>
      <c r="S700" s="1075"/>
      <c r="T700" s="1075"/>
      <c r="U700" s="1075"/>
      <c r="V700" s="1075"/>
      <c r="W700" s="1075"/>
      <c r="X700" s="1075"/>
      <c r="Y700" s="1075"/>
      <c r="Z700" s="1075"/>
      <c r="AA700" s="1075"/>
    </row>
    <row r="701" spans="1:27" ht="12.75" customHeight="1">
      <c r="A701" s="1075"/>
      <c r="B701" s="1075"/>
      <c r="C701" s="1075"/>
      <c r="D701" s="1075"/>
      <c r="E701" s="1075"/>
      <c r="F701" s="1075"/>
      <c r="G701" s="1075"/>
      <c r="H701" s="1075"/>
      <c r="I701" s="1075"/>
      <c r="J701" s="1075"/>
      <c r="K701" s="1075"/>
      <c r="L701" s="1075"/>
      <c r="M701" s="1075"/>
      <c r="N701" s="1075"/>
      <c r="O701" s="1075"/>
      <c r="P701" s="1075"/>
      <c r="Q701" s="1075"/>
      <c r="R701" s="1075"/>
      <c r="S701" s="1075"/>
      <c r="T701" s="1075"/>
      <c r="U701" s="1075"/>
      <c r="V701" s="1075"/>
      <c r="W701" s="1075"/>
      <c r="X701" s="1075"/>
      <c r="Y701" s="1075"/>
      <c r="Z701" s="1075"/>
      <c r="AA701" s="1075"/>
    </row>
    <row r="702" spans="1:27" ht="12.75" customHeight="1">
      <c r="A702" s="1075"/>
      <c r="B702" s="1075"/>
      <c r="C702" s="1075"/>
      <c r="D702" s="1075"/>
      <c r="E702" s="1075"/>
      <c r="F702" s="1075"/>
      <c r="G702" s="1075"/>
      <c r="H702" s="1075"/>
      <c r="I702" s="1075"/>
      <c r="J702" s="1075"/>
      <c r="K702" s="1075"/>
      <c r="L702" s="1075"/>
      <c r="M702" s="1075"/>
      <c r="N702" s="1075"/>
      <c r="O702" s="1075"/>
      <c r="P702" s="1075"/>
      <c r="Q702" s="1075"/>
      <c r="R702" s="1075"/>
      <c r="S702" s="1075"/>
      <c r="T702" s="1075"/>
      <c r="U702" s="1075"/>
      <c r="V702" s="1075"/>
      <c r="W702" s="1075"/>
      <c r="X702" s="1075"/>
      <c r="Y702" s="1075"/>
      <c r="Z702" s="1075"/>
      <c r="AA702" s="1075"/>
    </row>
    <row r="703" spans="1:27" ht="12.75" customHeight="1">
      <c r="A703" s="1075"/>
      <c r="B703" s="1075"/>
      <c r="C703" s="1075"/>
      <c r="D703" s="1075"/>
      <c r="E703" s="1075"/>
      <c r="F703" s="1075"/>
      <c r="G703" s="1075"/>
      <c r="H703" s="1075"/>
      <c r="I703" s="1075"/>
      <c r="J703" s="1075"/>
      <c r="K703" s="1075"/>
      <c r="L703" s="1075"/>
      <c r="M703" s="1075"/>
      <c r="N703" s="1075"/>
      <c r="O703" s="1075"/>
      <c r="P703" s="1075"/>
      <c r="Q703" s="1075"/>
      <c r="R703" s="1075"/>
      <c r="S703" s="1075"/>
      <c r="T703" s="1075"/>
      <c r="U703" s="1075"/>
      <c r="V703" s="1075"/>
      <c r="W703" s="1075"/>
      <c r="X703" s="1075"/>
      <c r="Y703" s="1075"/>
      <c r="Z703" s="1075"/>
      <c r="AA703" s="1075"/>
    </row>
    <row r="704" spans="1:27" ht="12.75" customHeight="1">
      <c r="A704" s="1075"/>
      <c r="B704" s="1075"/>
      <c r="C704" s="1075"/>
      <c r="D704" s="1075"/>
      <c r="E704" s="1075"/>
      <c r="F704" s="1075"/>
      <c r="G704" s="1075"/>
      <c r="H704" s="1075"/>
      <c r="I704" s="1075"/>
      <c r="J704" s="1075"/>
      <c r="K704" s="1075"/>
      <c r="L704" s="1075"/>
      <c r="M704" s="1075"/>
      <c r="N704" s="1075"/>
      <c r="O704" s="1075"/>
      <c r="P704" s="1075"/>
      <c r="Q704" s="1075"/>
      <c r="R704" s="1075"/>
      <c r="S704" s="1075"/>
      <c r="T704" s="1075"/>
      <c r="U704" s="1075"/>
      <c r="V704" s="1075"/>
      <c r="W704" s="1075"/>
      <c r="X704" s="1075"/>
      <c r="Y704" s="1075"/>
      <c r="Z704" s="1075"/>
      <c r="AA704" s="1075"/>
    </row>
    <row r="705" spans="1:27" ht="12.75" customHeight="1">
      <c r="A705" s="1075"/>
      <c r="B705" s="1075"/>
      <c r="C705" s="1075"/>
      <c r="D705" s="1075"/>
      <c r="E705" s="1075"/>
      <c r="F705" s="1075"/>
      <c r="G705" s="1075"/>
      <c r="H705" s="1075"/>
      <c r="I705" s="1075"/>
      <c r="J705" s="1075"/>
      <c r="K705" s="1075"/>
      <c r="L705" s="1075"/>
      <c r="M705" s="1075"/>
      <c r="N705" s="1075"/>
      <c r="O705" s="1075"/>
      <c r="P705" s="1075"/>
      <c r="Q705" s="1075"/>
      <c r="R705" s="1075"/>
      <c r="S705" s="1075"/>
      <c r="T705" s="1075"/>
      <c r="U705" s="1075"/>
      <c r="V705" s="1075"/>
      <c r="W705" s="1075"/>
      <c r="X705" s="1075"/>
      <c r="Y705" s="1075"/>
      <c r="Z705" s="1075"/>
      <c r="AA705" s="1075"/>
    </row>
    <row r="706" spans="1:27" ht="12.75" customHeight="1">
      <c r="A706" s="1075"/>
      <c r="B706" s="1075"/>
      <c r="C706" s="1075"/>
      <c r="D706" s="1075"/>
      <c r="E706" s="1075"/>
      <c r="F706" s="1075"/>
      <c r="G706" s="1075"/>
      <c r="H706" s="1075"/>
      <c r="I706" s="1075"/>
      <c r="J706" s="1075"/>
      <c r="K706" s="1075"/>
      <c r="L706" s="1075"/>
      <c r="M706" s="1075"/>
      <c r="N706" s="1075"/>
      <c r="O706" s="1075"/>
      <c r="P706" s="1075"/>
      <c r="Q706" s="1075"/>
      <c r="R706" s="1075"/>
      <c r="S706" s="1075"/>
      <c r="T706" s="1075"/>
      <c r="U706" s="1075"/>
      <c r="V706" s="1075"/>
      <c r="W706" s="1075"/>
      <c r="X706" s="1075"/>
      <c r="Y706" s="1075"/>
      <c r="Z706" s="1075"/>
      <c r="AA706" s="1075"/>
    </row>
    <row r="707" spans="1:27" ht="12.75" customHeight="1">
      <c r="A707" s="1075"/>
      <c r="B707" s="1075"/>
      <c r="C707" s="1075"/>
      <c r="D707" s="1075"/>
      <c r="E707" s="1075"/>
      <c r="F707" s="1075"/>
      <c r="G707" s="1075"/>
      <c r="H707" s="1075"/>
      <c r="I707" s="1075"/>
      <c r="J707" s="1075"/>
      <c r="K707" s="1075"/>
      <c r="L707" s="1075"/>
      <c r="M707" s="1075"/>
      <c r="N707" s="1075"/>
      <c r="O707" s="1075"/>
      <c r="P707" s="1075"/>
      <c r="Q707" s="1075"/>
      <c r="R707" s="1075"/>
      <c r="S707" s="1075"/>
      <c r="T707" s="1075"/>
      <c r="U707" s="1075"/>
      <c r="V707" s="1075"/>
      <c r="W707" s="1075"/>
      <c r="X707" s="1075"/>
      <c r="Y707" s="1075"/>
      <c r="Z707" s="1075"/>
      <c r="AA707" s="1075"/>
    </row>
    <row r="708" spans="1:27" ht="12.75" customHeight="1">
      <c r="A708" s="1075"/>
      <c r="B708" s="1075"/>
      <c r="C708" s="1075"/>
      <c r="D708" s="1075"/>
      <c r="E708" s="1075"/>
      <c r="F708" s="1075"/>
      <c r="G708" s="1075"/>
      <c r="H708" s="1075"/>
      <c r="I708" s="1075"/>
      <c r="J708" s="1075"/>
      <c r="K708" s="1075"/>
      <c r="L708" s="1075"/>
      <c r="M708" s="1075"/>
      <c r="N708" s="1075"/>
      <c r="O708" s="1075"/>
      <c r="P708" s="1075"/>
      <c r="Q708" s="1075"/>
      <c r="R708" s="1075"/>
      <c r="S708" s="1075"/>
      <c r="T708" s="1075"/>
      <c r="U708" s="1075"/>
      <c r="V708" s="1075"/>
      <c r="W708" s="1075"/>
      <c r="X708" s="1075"/>
      <c r="Y708" s="1075"/>
      <c r="Z708" s="1075"/>
      <c r="AA708" s="1075"/>
    </row>
    <row r="709" spans="1:27" ht="12.75" customHeight="1">
      <c r="A709" s="1075"/>
      <c r="B709" s="1075"/>
      <c r="C709" s="1075"/>
      <c r="D709" s="1075"/>
      <c r="E709" s="1075"/>
      <c r="F709" s="1075"/>
      <c r="G709" s="1075"/>
      <c r="H709" s="1075"/>
      <c r="I709" s="1075"/>
      <c r="J709" s="1075"/>
      <c r="K709" s="1075"/>
      <c r="L709" s="1075"/>
      <c r="M709" s="1075"/>
      <c r="N709" s="1075"/>
      <c r="O709" s="1075"/>
      <c r="P709" s="1075"/>
      <c r="Q709" s="1075"/>
      <c r="R709" s="1075"/>
      <c r="S709" s="1075"/>
      <c r="T709" s="1075"/>
      <c r="U709" s="1075"/>
      <c r="V709" s="1075"/>
      <c r="W709" s="1075"/>
      <c r="X709" s="1075"/>
      <c r="Y709" s="1075"/>
      <c r="Z709" s="1075"/>
      <c r="AA709" s="1075"/>
    </row>
    <row r="710" spans="1:27" ht="12.75" customHeight="1">
      <c r="A710" s="1075"/>
      <c r="B710" s="1075"/>
      <c r="C710" s="1075"/>
      <c r="D710" s="1075"/>
      <c r="E710" s="1075"/>
      <c r="F710" s="1075"/>
      <c r="G710" s="1075"/>
      <c r="H710" s="1075"/>
      <c r="I710" s="1075"/>
      <c r="J710" s="1075"/>
      <c r="K710" s="1075"/>
      <c r="L710" s="1075"/>
      <c r="M710" s="1075"/>
      <c r="N710" s="1075"/>
      <c r="O710" s="1075"/>
      <c r="P710" s="1075"/>
      <c r="Q710" s="1075"/>
      <c r="R710" s="1075"/>
      <c r="S710" s="1075"/>
      <c r="T710" s="1075"/>
      <c r="U710" s="1075"/>
      <c r="V710" s="1075"/>
      <c r="W710" s="1075"/>
      <c r="X710" s="1075"/>
      <c r="Y710" s="1075"/>
      <c r="Z710" s="1075"/>
      <c r="AA710" s="1075"/>
    </row>
    <row r="711" spans="1:27" ht="12.75" customHeight="1">
      <c r="A711" s="1075"/>
      <c r="B711" s="1075"/>
      <c r="C711" s="1075"/>
      <c r="D711" s="1075"/>
      <c r="E711" s="1075"/>
      <c r="F711" s="1075"/>
      <c r="G711" s="1075"/>
      <c r="H711" s="1075"/>
      <c r="I711" s="1075"/>
      <c r="J711" s="1075"/>
      <c r="K711" s="1075"/>
      <c r="L711" s="1075"/>
      <c r="M711" s="1075"/>
      <c r="N711" s="1075"/>
      <c r="O711" s="1075"/>
      <c r="P711" s="1075"/>
      <c r="Q711" s="1075"/>
      <c r="R711" s="1075"/>
      <c r="S711" s="1075"/>
      <c r="T711" s="1075"/>
      <c r="U711" s="1075"/>
      <c r="V711" s="1075"/>
      <c r="W711" s="1075"/>
      <c r="X711" s="1075"/>
      <c r="Y711" s="1075"/>
      <c r="Z711" s="1075"/>
      <c r="AA711" s="1075"/>
    </row>
    <row r="712" spans="1:27" ht="12.75" customHeight="1">
      <c r="A712" s="1075"/>
      <c r="B712" s="1075"/>
      <c r="C712" s="1075"/>
      <c r="D712" s="1075"/>
      <c r="E712" s="1075"/>
      <c r="F712" s="1075"/>
      <c r="G712" s="1075"/>
      <c r="H712" s="1075"/>
      <c r="I712" s="1075"/>
      <c r="J712" s="1075"/>
      <c r="K712" s="1075"/>
      <c r="L712" s="1075"/>
      <c r="M712" s="1075"/>
      <c r="N712" s="1075"/>
      <c r="O712" s="1075"/>
      <c r="P712" s="1075"/>
      <c r="Q712" s="1075"/>
      <c r="R712" s="1075"/>
      <c r="S712" s="1075"/>
      <c r="T712" s="1075"/>
      <c r="U712" s="1075"/>
      <c r="V712" s="1075"/>
      <c r="W712" s="1075"/>
      <c r="X712" s="1075"/>
      <c r="Y712" s="1075"/>
      <c r="Z712" s="1075"/>
      <c r="AA712" s="1075"/>
    </row>
    <row r="713" spans="1:27" ht="12.75" customHeight="1">
      <c r="A713" s="1075"/>
      <c r="B713" s="1075"/>
      <c r="C713" s="1075"/>
      <c r="D713" s="1075"/>
      <c r="E713" s="1075"/>
      <c r="F713" s="1075"/>
      <c r="G713" s="1075"/>
      <c r="H713" s="1075"/>
      <c r="I713" s="1075"/>
      <c r="J713" s="1075"/>
      <c r="K713" s="1075"/>
      <c r="L713" s="1075"/>
      <c r="M713" s="1075"/>
      <c r="N713" s="1075"/>
      <c r="O713" s="1075"/>
      <c r="P713" s="1075"/>
      <c r="Q713" s="1075"/>
      <c r="R713" s="1075"/>
      <c r="S713" s="1075"/>
      <c r="T713" s="1075"/>
      <c r="U713" s="1075"/>
      <c r="V713" s="1075"/>
      <c r="W713" s="1075"/>
      <c r="X713" s="1075"/>
      <c r="Y713" s="1075"/>
      <c r="Z713" s="1075"/>
      <c r="AA713" s="1075"/>
    </row>
    <row r="714" spans="1:27" ht="12.75" customHeight="1">
      <c r="A714" s="1075"/>
      <c r="B714" s="1075"/>
      <c r="C714" s="1075"/>
      <c r="D714" s="1075"/>
      <c r="E714" s="1075"/>
      <c r="F714" s="1075"/>
      <c r="G714" s="1075"/>
      <c r="H714" s="1075"/>
      <c r="I714" s="1075"/>
      <c r="J714" s="1075"/>
      <c r="K714" s="1075"/>
      <c r="L714" s="1075"/>
      <c r="M714" s="1075"/>
      <c r="N714" s="1075"/>
      <c r="O714" s="1075"/>
      <c r="P714" s="1075"/>
      <c r="Q714" s="1075"/>
      <c r="R714" s="1075"/>
      <c r="S714" s="1075"/>
      <c r="T714" s="1075"/>
      <c r="U714" s="1075"/>
      <c r="V714" s="1075"/>
      <c r="W714" s="1075"/>
      <c r="X714" s="1075"/>
      <c r="Y714" s="1075"/>
      <c r="Z714" s="1075"/>
      <c r="AA714" s="1075"/>
    </row>
    <row r="715" spans="1:27" ht="12.75" customHeight="1">
      <c r="A715" s="1075"/>
      <c r="B715" s="1075"/>
      <c r="C715" s="1075"/>
      <c r="D715" s="1075"/>
      <c r="E715" s="1075"/>
      <c r="F715" s="1075"/>
      <c r="G715" s="1075"/>
      <c r="H715" s="1075"/>
      <c r="I715" s="1075"/>
      <c r="J715" s="1075"/>
      <c r="K715" s="1075"/>
      <c r="L715" s="1075"/>
      <c r="M715" s="1075"/>
      <c r="N715" s="1075"/>
      <c r="O715" s="1075"/>
      <c r="P715" s="1075"/>
      <c r="Q715" s="1075"/>
      <c r="R715" s="1075"/>
      <c r="S715" s="1075"/>
      <c r="T715" s="1075"/>
      <c r="U715" s="1075"/>
      <c r="V715" s="1075"/>
      <c r="W715" s="1075"/>
      <c r="X715" s="1075"/>
      <c r="Y715" s="1075"/>
      <c r="Z715" s="1075"/>
      <c r="AA715" s="1075"/>
    </row>
    <row r="716" spans="1:27" ht="12.75" customHeight="1">
      <c r="A716" s="1075"/>
      <c r="B716" s="1075"/>
      <c r="C716" s="1075"/>
      <c r="D716" s="1075"/>
      <c r="E716" s="1075"/>
      <c r="F716" s="1075"/>
      <c r="G716" s="1075"/>
      <c r="H716" s="1075"/>
      <c r="I716" s="1075"/>
      <c r="J716" s="1075"/>
      <c r="K716" s="1075"/>
      <c r="L716" s="1075"/>
      <c r="M716" s="1075"/>
      <c r="N716" s="1075"/>
      <c r="O716" s="1075"/>
      <c r="P716" s="1075"/>
      <c r="Q716" s="1075"/>
      <c r="R716" s="1075"/>
      <c r="S716" s="1075"/>
      <c r="T716" s="1075"/>
      <c r="U716" s="1075"/>
      <c r="V716" s="1075"/>
      <c r="W716" s="1075"/>
      <c r="X716" s="1075"/>
      <c r="Y716" s="1075"/>
      <c r="Z716" s="1075"/>
      <c r="AA716" s="1075"/>
    </row>
    <row r="717" spans="1:27" ht="12.75" customHeight="1">
      <c r="A717" s="1075"/>
      <c r="B717" s="1075"/>
      <c r="C717" s="1075"/>
      <c r="D717" s="1075"/>
      <c r="E717" s="1075"/>
      <c r="F717" s="1075"/>
      <c r="G717" s="1075"/>
      <c r="H717" s="1075"/>
      <c r="I717" s="1075"/>
      <c r="J717" s="1075"/>
      <c r="K717" s="1075"/>
      <c r="L717" s="1075"/>
      <c r="M717" s="1075"/>
      <c r="N717" s="1075"/>
      <c r="O717" s="1075"/>
      <c r="P717" s="1075"/>
      <c r="Q717" s="1075"/>
      <c r="R717" s="1075"/>
      <c r="S717" s="1075"/>
      <c r="T717" s="1075"/>
      <c r="U717" s="1075"/>
      <c r="V717" s="1075"/>
      <c r="W717" s="1075"/>
      <c r="X717" s="1075"/>
      <c r="Y717" s="1075"/>
      <c r="Z717" s="1075"/>
      <c r="AA717" s="1075"/>
    </row>
    <row r="718" spans="1:27" ht="12.75" customHeight="1">
      <c r="A718" s="1075"/>
      <c r="B718" s="1075"/>
      <c r="C718" s="1075"/>
      <c r="D718" s="1075"/>
      <c r="E718" s="1075"/>
      <c r="F718" s="1075"/>
      <c r="G718" s="1075"/>
      <c r="H718" s="1075"/>
      <c r="I718" s="1075"/>
      <c r="J718" s="1075"/>
      <c r="K718" s="1075"/>
      <c r="L718" s="1075"/>
      <c r="M718" s="1075"/>
      <c r="N718" s="1075"/>
      <c r="O718" s="1075"/>
      <c r="P718" s="1075"/>
      <c r="Q718" s="1075"/>
      <c r="R718" s="1075"/>
      <c r="S718" s="1075"/>
      <c r="T718" s="1075"/>
      <c r="U718" s="1075"/>
      <c r="V718" s="1075"/>
      <c r="W718" s="1075"/>
      <c r="X718" s="1075"/>
      <c r="Y718" s="1075"/>
      <c r="Z718" s="1075"/>
      <c r="AA718" s="1075"/>
    </row>
    <row r="719" spans="1:27" ht="12.75" customHeight="1">
      <c r="A719" s="1075"/>
      <c r="B719" s="1075"/>
      <c r="C719" s="1075"/>
      <c r="D719" s="1075"/>
      <c r="E719" s="1075"/>
      <c r="F719" s="1075"/>
      <c r="G719" s="1075"/>
      <c r="H719" s="1075"/>
      <c r="I719" s="1075"/>
      <c r="J719" s="1075"/>
      <c r="K719" s="1075"/>
      <c r="L719" s="1075"/>
      <c r="M719" s="1075"/>
      <c r="N719" s="1075"/>
      <c r="O719" s="1075"/>
      <c r="P719" s="1075"/>
      <c r="Q719" s="1075"/>
      <c r="R719" s="1075"/>
      <c r="S719" s="1075"/>
      <c r="T719" s="1075"/>
      <c r="U719" s="1075"/>
      <c r="V719" s="1075"/>
      <c r="W719" s="1075"/>
      <c r="X719" s="1075"/>
      <c r="Y719" s="1075"/>
      <c r="Z719" s="1075"/>
      <c r="AA719" s="1075"/>
    </row>
    <row r="720" spans="1:27" ht="12.75" customHeight="1">
      <c r="A720" s="1075"/>
      <c r="B720" s="1075"/>
      <c r="C720" s="1075"/>
      <c r="D720" s="1075"/>
      <c r="E720" s="1075"/>
      <c r="F720" s="1075"/>
      <c r="G720" s="1075"/>
      <c r="H720" s="1075"/>
      <c r="I720" s="1075"/>
      <c r="J720" s="1075"/>
      <c r="K720" s="1075"/>
      <c r="L720" s="1075"/>
      <c r="M720" s="1075"/>
      <c r="N720" s="1075"/>
      <c r="O720" s="1075"/>
      <c r="P720" s="1075"/>
      <c r="Q720" s="1075"/>
      <c r="R720" s="1075"/>
      <c r="S720" s="1075"/>
      <c r="T720" s="1075"/>
      <c r="U720" s="1075"/>
      <c r="V720" s="1075"/>
      <c r="W720" s="1075"/>
      <c r="X720" s="1075"/>
      <c r="Y720" s="1075"/>
      <c r="Z720" s="1075"/>
      <c r="AA720" s="1075"/>
    </row>
    <row r="721" spans="1:27" ht="12.75" customHeight="1">
      <c r="A721" s="1075"/>
      <c r="B721" s="1075"/>
      <c r="C721" s="1075"/>
      <c r="D721" s="1075"/>
      <c r="E721" s="1075"/>
      <c r="F721" s="1075"/>
      <c r="G721" s="1075"/>
      <c r="H721" s="1075"/>
      <c r="I721" s="1075"/>
      <c r="J721" s="1075"/>
      <c r="K721" s="1075"/>
      <c r="L721" s="1075"/>
      <c r="M721" s="1075"/>
      <c r="N721" s="1075"/>
      <c r="O721" s="1075"/>
      <c r="P721" s="1075"/>
      <c r="Q721" s="1075"/>
      <c r="R721" s="1075"/>
      <c r="S721" s="1075"/>
      <c r="T721" s="1075"/>
      <c r="U721" s="1075"/>
      <c r="V721" s="1075"/>
      <c r="W721" s="1075"/>
      <c r="X721" s="1075"/>
      <c r="Y721" s="1075"/>
      <c r="Z721" s="1075"/>
      <c r="AA721" s="1075"/>
    </row>
    <row r="722" spans="1:27" ht="12.75" customHeight="1">
      <c r="A722" s="1075"/>
      <c r="B722" s="1075"/>
      <c r="C722" s="1075"/>
      <c r="D722" s="1075"/>
      <c r="E722" s="1075"/>
      <c r="F722" s="1075"/>
      <c r="G722" s="1075"/>
      <c r="H722" s="1075"/>
      <c r="I722" s="1075"/>
      <c r="J722" s="1075"/>
      <c r="K722" s="1075"/>
      <c r="L722" s="1075"/>
      <c r="M722" s="1075"/>
      <c r="N722" s="1075"/>
      <c r="O722" s="1075"/>
      <c r="P722" s="1075"/>
      <c r="Q722" s="1075"/>
      <c r="R722" s="1075"/>
      <c r="S722" s="1075"/>
      <c r="T722" s="1075"/>
      <c r="U722" s="1075"/>
      <c r="V722" s="1075"/>
      <c r="W722" s="1075"/>
      <c r="X722" s="1075"/>
      <c r="Y722" s="1075"/>
      <c r="Z722" s="1075"/>
      <c r="AA722" s="1075"/>
    </row>
    <row r="723" spans="1:27" ht="12.75" customHeight="1">
      <c r="A723" s="1075"/>
      <c r="B723" s="1075"/>
      <c r="C723" s="1075"/>
      <c r="D723" s="1075"/>
      <c r="E723" s="1075"/>
      <c r="F723" s="1075"/>
      <c r="G723" s="1075"/>
      <c r="H723" s="1075"/>
      <c r="I723" s="1075"/>
      <c r="J723" s="1075"/>
      <c r="K723" s="1075"/>
      <c r="L723" s="1075"/>
      <c r="M723" s="1075"/>
      <c r="N723" s="1075"/>
      <c r="O723" s="1075"/>
      <c r="P723" s="1075"/>
      <c r="Q723" s="1075"/>
      <c r="R723" s="1075"/>
      <c r="S723" s="1075"/>
      <c r="T723" s="1075"/>
      <c r="U723" s="1075"/>
      <c r="V723" s="1075"/>
      <c r="W723" s="1075"/>
      <c r="X723" s="1075"/>
      <c r="Y723" s="1075"/>
      <c r="Z723" s="1075"/>
      <c r="AA723" s="1075"/>
    </row>
    <row r="724" spans="1:27" ht="12.75" customHeight="1">
      <c r="A724" s="1075"/>
      <c r="B724" s="1075"/>
      <c r="C724" s="1075"/>
      <c r="D724" s="1075"/>
      <c r="E724" s="1075"/>
      <c r="F724" s="1075"/>
      <c r="G724" s="1075"/>
      <c r="H724" s="1075"/>
      <c r="I724" s="1075"/>
      <c r="J724" s="1075"/>
      <c r="K724" s="1075"/>
      <c r="L724" s="1075"/>
      <c r="M724" s="1075"/>
      <c r="N724" s="1075"/>
      <c r="O724" s="1075"/>
      <c r="P724" s="1075"/>
      <c r="Q724" s="1075"/>
      <c r="R724" s="1075"/>
      <c r="S724" s="1075"/>
      <c r="T724" s="1075"/>
      <c r="U724" s="1075"/>
      <c r="V724" s="1075"/>
      <c r="W724" s="1075"/>
      <c r="X724" s="1075"/>
      <c r="Y724" s="1075"/>
      <c r="Z724" s="1075"/>
      <c r="AA724" s="1075"/>
    </row>
    <row r="725" spans="1:27" ht="12.75" customHeight="1">
      <c r="A725" s="1075"/>
      <c r="B725" s="1075"/>
      <c r="C725" s="1075"/>
      <c r="D725" s="1075"/>
      <c r="E725" s="1075"/>
      <c r="F725" s="1075"/>
      <c r="G725" s="1075"/>
      <c r="H725" s="1075"/>
      <c r="I725" s="1075"/>
      <c r="J725" s="1075"/>
      <c r="K725" s="1075"/>
      <c r="L725" s="1075"/>
      <c r="M725" s="1075"/>
      <c r="N725" s="1075"/>
      <c r="O725" s="1075"/>
      <c r="P725" s="1075"/>
      <c r="Q725" s="1075"/>
      <c r="R725" s="1075"/>
      <c r="S725" s="1075"/>
      <c r="T725" s="1075"/>
      <c r="U725" s="1075"/>
      <c r="V725" s="1075"/>
      <c r="W725" s="1075"/>
      <c r="X725" s="1075"/>
      <c r="Y725" s="1075"/>
      <c r="Z725" s="1075"/>
      <c r="AA725" s="1075"/>
    </row>
    <row r="726" spans="1:27" ht="12.75" customHeight="1">
      <c r="A726" s="1075"/>
      <c r="B726" s="1075"/>
      <c r="C726" s="1075"/>
      <c r="D726" s="1075"/>
      <c r="E726" s="1075"/>
      <c r="F726" s="1075"/>
      <c r="G726" s="1075"/>
      <c r="H726" s="1075"/>
      <c r="I726" s="1075"/>
      <c r="J726" s="1075"/>
      <c r="K726" s="1075"/>
      <c r="L726" s="1075"/>
      <c r="M726" s="1075"/>
      <c r="N726" s="1075"/>
      <c r="O726" s="1075"/>
      <c r="P726" s="1075"/>
      <c r="Q726" s="1075"/>
      <c r="R726" s="1075"/>
      <c r="S726" s="1075"/>
      <c r="T726" s="1075"/>
      <c r="U726" s="1075"/>
      <c r="V726" s="1075"/>
      <c r="W726" s="1075"/>
      <c r="X726" s="1075"/>
      <c r="Y726" s="1075"/>
      <c r="Z726" s="1075"/>
      <c r="AA726" s="1075"/>
    </row>
    <row r="727" spans="1:27" ht="12.75" customHeight="1">
      <c r="A727" s="1075"/>
      <c r="B727" s="1075"/>
      <c r="C727" s="1075"/>
      <c r="D727" s="1075"/>
      <c r="E727" s="1075"/>
      <c r="F727" s="1075"/>
      <c r="G727" s="1075"/>
      <c r="H727" s="1075"/>
      <c r="I727" s="1075"/>
      <c r="J727" s="1075"/>
      <c r="K727" s="1075"/>
      <c r="L727" s="1075"/>
      <c r="M727" s="1075"/>
      <c r="N727" s="1075"/>
      <c r="O727" s="1075"/>
      <c r="P727" s="1075"/>
      <c r="Q727" s="1075"/>
      <c r="R727" s="1075"/>
      <c r="S727" s="1075"/>
      <c r="T727" s="1075"/>
      <c r="U727" s="1075"/>
      <c r="V727" s="1075"/>
      <c r="W727" s="1075"/>
      <c r="X727" s="1075"/>
      <c r="Y727" s="1075"/>
      <c r="Z727" s="1075"/>
      <c r="AA727" s="1075"/>
    </row>
    <row r="728" spans="1:27" ht="12.75" customHeight="1">
      <c r="A728" s="1075"/>
      <c r="B728" s="1075"/>
      <c r="C728" s="1075"/>
      <c r="D728" s="1075"/>
      <c r="E728" s="1075"/>
      <c r="F728" s="1075"/>
      <c r="G728" s="1075"/>
      <c r="H728" s="1075"/>
      <c r="I728" s="1075"/>
      <c r="J728" s="1075"/>
      <c r="K728" s="1075"/>
      <c r="L728" s="1075"/>
      <c r="M728" s="1075"/>
      <c r="N728" s="1075"/>
      <c r="O728" s="1075"/>
      <c r="P728" s="1075"/>
      <c r="Q728" s="1075"/>
      <c r="R728" s="1075"/>
      <c r="S728" s="1075"/>
      <c r="T728" s="1075"/>
      <c r="U728" s="1075"/>
      <c r="V728" s="1075"/>
      <c r="W728" s="1075"/>
      <c r="X728" s="1075"/>
      <c r="Y728" s="1075"/>
      <c r="Z728" s="1075"/>
      <c r="AA728" s="1075"/>
    </row>
    <row r="729" spans="1:27" ht="12.75" customHeight="1">
      <c r="A729" s="1075"/>
      <c r="B729" s="1075"/>
      <c r="C729" s="1075"/>
      <c r="D729" s="1075"/>
      <c r="E729" s="1075"/>
      <c r="F729" s="1075"/>
      <c r="G729" s="1075"/>
      <c r="H729" s="1075"/>
      <c r="I729" s="1075"/>
      <c r="J729" s="1075"/>
      <c r="K729" s="1075"/>
      <c r="L729" s="1075"/>
      <c r="M729" s="1075"/>
      <c r="N729" s="1075"/>
      <c r="O729" s="1075"/>
      <c r="P729" s="1075"/>
      <c r="Q729" s="1075"/>
      <c r="R729" s="1075"/>
      <c r="S729" s="1075"/>
      <c r="T729" s="1075"/>
      <c r="U729" s="1075"/>
      <c r="V729" s="1075"/>
      <c r="W729" s="1075"/>
      <c r="X729" s="1075"/>
      <c r="Y729" s="1075"/>
      <c r="Z729" s="1075"/>
      <c r="AA729" s="1075"/>
    </row>
    <row r="730" spans="1:27" ht="12.75" customHeight="1">
      <c r="A730" s="1075"/>
      <c r="B730" s="1075"/>
      <c r="C730" s="1075"/>
      <c r="D730" s="1075"/>
      <c r="E730" s="1075"/>
      <c r="F730" s="1075"/>
      <c r="G730" s="1075"/>
      <c r="H730" s="1075"/>
      <c r="I730" s="1075"/>
      <c r="J730" s="1075"/>
      <c r="K730" s="1075"/>
      <c r="L730" s="1075"/>
      <c r="M730" s="1075"/>
      <c r="N730" s="1075"/>
      <c r="O730" s="1075"/>
      <c r="P730" s="1075"/>
      <c r="Q730" s="1075"/>
      <c r="R730" s="1075"/>
      <c r="S730" s="1075"/>
      <c r="T730" s="1075"/>
      <c r="U730" s="1075"/>
      <c r="V730" s="1075"/>
      <c r="W730" s="1075"/>
      <c r="X730" s="1075"/>
      <c r="Y730" s="1075"/>
      <c r="Z730" s="1075"/>
      <c r="AA730" s="1075"/>
    </row>
    <row r="731" spans="1:27" ht="12.75" customHeight="1">
      <c r="A731" s="1075"/>
      <c r="B731" s="1075"/>
      <c r="C731" s="1075"/>
      <c r="D731" s="1075"/>
      <c r="E731" s="1075"/>
      <c r="F731" s="1075"/>
      <c r="G731" s="1075"/>
      <c r="H731" s="1075"/>
      <c r="I731" s="1075"/>
      <c r="J731" s="1075"/>
      <c r="K731" s="1075"/>
      <c r="L731" s="1075"/>
      <c r="M731" s="1075"/>
      <c r="N731" s="1075"/>
      <c r="O731" s="1075"/>
      <c r="P731" s="1075"/>
      <c r="Q731" s="1075"/>
      <c r="R731" s="1075"/>
      <c r="S731" s="1075"/>
      <c r="T731" s="1075"/>
      <c r="U731" s="1075"/>
      <c r="V731" s="1075"/>
      <c r="W731" s="1075"/>
      <c r="X731" s="1075"/>
      <c r="Y731" s="1075"/>
      <c r="Z731" s="1075"/>
      <c r="AA731" s="1075"/>
    </row>
    <row r="732" spans="1:27" ht="12.75" customHeight="1">
      <c r="A732" s="1075"/>
      <c r="B732" s="1075"/>
      <c r="C732" s="1075"/>
      <c r="D732" s="1075"/>
      <c r="E732" s="1075"/>
      <c r="F732" s="1075"/>
      <c r="G732" s="1075"/>
      <c r="H732" s="1075"/>
      <c r="I732" s="1075"/>
      <c r="J732" s="1075"/>
      <c r="K732" s="1075"/>
      <c r="L732" s="1075"/>
      <c r="M732" s="1075"/>
      <c r="N732" s="1075"/>
      <c r="O732" s="1075"/>
      <c r="P732" s="1075"/>
      <c r="Q732" s="1075"/>
      <c r="R732" s="1075"/>
      <c r="S732" s="1075"/>
      <c r="T732" s="1075"/>
      <c r="U732" s="1075"/>
      <c r="V732" s="1075"/>
      <c r="W732" s="1075"/>
      <c r="X732" s="1075"/>
      <c r="Y732" s="1075"/>
      <c r="Z732" s="1075"/>
      <c r="AA732" s="1075"/>
    </row>
    <row r="733" spans="1:27" ht="12.75" customHeight="1">
      <c r="A733" s="1075"/>
      <c r="B733" s="1075"/>
      <c r="C733" s="1075"/>
      <c r="D733" s="1075"/>
      <c r="E733" s="1075"/>
      <c r="F733" s="1075"/>
      <c r="G733" s="1075"/>
      <c r="H733" s="1075"/>
      <c r="I733" s="1075"/>
      <c r="J733" s="1075"/>
      <c r="K733" s="1075"/>
      <c r="L733" s="1075"/>
      <c r="M733" s="1075"/>
      <c r="N733" s="1075"/>
      <c r="O733" s="1075"/>
      <c r="P733" s="1075"/>
      <c r="Q733" s="1075"/>
      <c r="R733" s="1075"/>
      <c r="S733" s="1075"/>
      <c r="T733" s="1075"/>
      <c r="U733" s="1075"/>
      <c r="V733" s="1075"/>
      <c r="W733" s="1075"/>
      <c r="X733" s="1075"/>
      <c r="Y733" s="1075"/>
      <c r="Z733" s="1075"/>
      <c r="AA733" s="1075"/>
    </row>
    <row r="734" spans="1:27" ht="12.75" customHeight="1">
      <c r="A734" s="1075"/>
      <c r="B734" s="1075"/>
      <c r="C734" s="1075"/>
      <c r="D734" s="1075"/>
      <c r="E734" s="1075"/>
      <c r="F734" s="1075"/>
      <c r="G734" s="1075"/>
      <c r="H734" s="1075"/>
      <c r="I734" s="1075"/>
      <c r="J734" s="1075"/>
      <c r="K734" s="1075"/>
      <c r="L734" s="1075"/>
      <c r="M734" s="1075"/>
      <c r="N734" s="1075"/>
      <c r="O734" s="1075"/>
      <c r="P734" s="1075"/>
      <c r="Q734" s="1075"/>
      <c r="R734" s="1075"/>
      <c r="S734" s="1075"/>
      <c r="T734" s="1075"/>
      <c r="U734" s="1075"/>
      <c r="V734" s="1075"/>
      <c r="W734" s="1075"/>
      <c r="X734" s="1075"/>
      <c r="Y734" s="1075"/>
      <c r="Z734" s="1075"/>
      <c r="AA734" s="1075"/>
    </row>
    <row r="735" spans="1:27" ht="12.75" customHeight="1">
      <c r="A735" s="1075"/>
      <c r="B735" s="1075"/>
      <c r="C735" s="1075"/>
      <c r="D735" s="1075"/>
      <c r="E735" s="1075"/>
      <c r="F735" s="1075"/>
      <c r="G735" s="1075"/>
      <c r="H735" s="1075"/>
      <c r="I735" s="1075"/>
      <c r="J735" s="1075"/>
      <c r="K735" s="1075"/>
      <c r="L735" s="1075"/>
      <c r="M735" s="1075"/>
      <c r="N735" s="1075"/>
      <c r="O735" s="1075"/>
      <c r="P735" s="1075"/>
      <c r="Q735" s="1075"/>
      <c r="R735" s="1075"/>
      <c r="S735" s="1075"/>
      <c r="T735" s="1075"/>
      <c r="U735" s="1075"/>
      <c r="V735" s="1075"/>
      <c r="W735" s="1075"/>
      <c r="X735" s="1075"/>
      <c r="Y735" s="1075"/>
      <c r="Z735" s="1075"/>
      <c r="AA735" s="1075"/>
    </row>
    <row r="736" spans="1:27" ht="12.75" customHeight="1">
      <c r="A736" s="1075"/>
      <c r="B736" s="1075"/>
      <c r="C736" s="1075"/>
      <c r="D736" s="1075"/>
      <c r="E736" s="1075"/>
      <c r="F736" s="1075"/>
      <c r="G736" s="1075"/>
      <c r="H736" s="1075"/>
      <c r="I736" s="1075"/>
      <c r="J736" s="1075"/>
      <c r="K736" s="1075"/>
      <c r="L736" s="1075"/>
      <c r="M736" s="1075"/>
      <c r="N736" s="1075"/>
      <c r="O736" s="1075"/>
      <c r="P736" s="1075"/>
      <c r="Q736" s="1075"/>
      <c r="R736" s="1075"/>
      <c r="S736" s="1075"/>
      <c r="T736" s="1075"/>
      <c r="U736" s="1075"/>
      <c r="V736" s="1075"/>
      <c r="W736" s="1075"/>
      <c r="X736" s="1075"/>
      <c r="Y736" s="1075"/>
      <c r="Z736" s="1075"/>
      <c r="AA736" s="1075"/>
    </row>
    <row r="737" spans="1:27" ht="12.75" customHeight="1">
      <c r="A737" s="1075"/>
      <c r="B737" s="1075"/>
      <c r="C737" s="1075"/>
      <c r="D737" s="1075"/>
      <c r="E737" s="1075"/>
      <c r="F737" s="1075"/>
      <c r="G737" s="1075"/>
      <c r="H737" s="1075"/>
      <c r="I737" s="1075"/>
      <c r="J737" s="1075"/>
      <c r="K737" s="1075"/>
      <c r="L737" s="1075"/>
      <c r="M737" s="1075"/>
      <c r="N737" s="1075"/>
      <c r="O737" s="1075"/>
      <c r="P737" s="1075"/>
      <c r="Q737" s="1075"/>
      <c r="R737" s="1075"/>
      <c r="S737" s="1075"/>
      <c r="T737" s="1075"/>
      <c r="U737" s="1075"/>
      <c r="V737" s="1075"/>
      <c r="W737" s="1075"/>
      <c r="X737" s="1075"/>
      <c r="Y737" s="1075"/>
      <c r="Z737" s="1075"/>
      <c r="AA737" s="1075"/>
    </row>
    <row r="738" spans="1:27" ht="12.75" customHeight="1">
      <c r="A738" s="1075"/>
      <c r="B738" s="1075"/>
      <c r="C738" s="1075"/>
      <c r="D738" s="1075"/>
      <c r="E738" s="1075"/>
      <c r="F738" s="1075"/>
      <c r="G738" s="1075"/>
      <c r="H738" s="1075"/>
      <c r="I738" s="1075"/>
      <c r="J738" s="1075"/>
      <c r="K738" s="1075"/>
      <c r="L738" s="1075"/>
      <c r="M738" s="1075"/>
      <c r="N738" s="1075"/>
      <c r="O738" s="1075"/>
      <c r="P738" s="1075"/>
      <c r="Q738" s="1075"/>
      <c r="R738" s="1075"/>
      <c r="S738" s="1075"/>
      <c r="T738" s="1075"/>
      <c r="U738" s="1075"/>
      <c r="V738" s="1075"/>
      <c r="W738" s="1075"/>
      <c r="X738" s="1075"/>
      <c r="Y738" s="1075"/>
      <c r="Z738" s="1075"/>
      <c r="AA738" s="1075"/>
    </row>
    <row r="739" spans="1:27" ht="12.75" customHeight="1">
      <c r="A739" s="1075"/>
      <c r="B739" s="1075"/>
      <c r="C739" s="1075"/>
      <c r="D739" s="1075"/>
      <c r="E739" s="1075"/>
      <c r="F739" s="1075"/>
      <c r="G739" s="1075"/>
      <c r="H739" s="1075"/>
      <c r="I739" s="1075"/>
      <c r="J739" s="1075"/>
      <c r="K739" s="1075"/>
      <c r="L739" s="1075"/>
      <c r="M739" s="1075"/>
      <c r="N739" s="1075"/>
      <c r="O739" s="1075"/>
      <c r="P739" s="1075"/>
      <c r="Q739" s="1075"/>
      <c r="R739" s="1075"/>
      <c r="S739" s="1075"/>
      <c r="T739" s="1075"/>
      <c r="U739" s="1075"/>
      <c r="V739" s="1075"/>
      <c r="W739" s="1075"/>
      <c r="X739" s="1075"/>
      <c r="Y739" s="1075"/>
      <c r="Z739" s="1075"/>
      <c r="AA739" s="1075"/>
    </row>
    <row r="740" spans="1:27" ht="12.75" customHeight="1">
      <c r="A740" s="1075"/>
      <c r="B740" s="1075"/>
      <c r="C740" s="1075"/>
      <c r="D740" s="1075"/>
      <c r="E740" s="1075"/>
      <c r="F740" s="1075"/>
      <c r="G740" s="1075"/>
      <c r="H740" s="1075"/>
      <c r="I740" s="1075"/>
      <c r="J740" s="1075"/>
      <c r="K740" s="1075"/>
      <c r="L740" s="1075"/>
      <c r="M740" s="1075"/>
      <c r="N740" s="1075"/>
      <c r="O740" s="1075"/>
      <c r="P740" s="1075"/>
      <c r="Q740" s="1075"/>
      <c r="R740" s="1075"/>
      <c r="S740" s="1075"/>
      <c r="T740" s="1075"/>
      <c r="U740" s="1075"/>
      <c r="V740" s="1075"/>
      <c r="W740" s="1075"/>
      <c r="X740" s="1075"/>
      <c r="Y740" s="1075"/>
      <c r="Z740" s="1075"/>
      <c r="AA740" s="1075"/>
    </row>
    <row r="741" spans="1:27" ht="12.75" customHeight="1">
      <c r="A741" s="1075"/>
      <c r="B741" s="1075"/>
      <c r="C741" s="1075"/>
      <c r="D741" s="1075"/>
      <c r="E741" s="1075"/>
      <c r="F741" s="1075"/>
      <c r="G741" s="1075"/>
      <c r="H741" s="1075"/>
      <c r="I741" s="1075"/>
      <c r="J741" s="1075"/>
      <c r="K741" s="1075"/>
      <c r="L741" s="1075"/>
      <c r="M741" s="1075"/>
      <c r="N741" s="1075"/>
      <c r="O741" s="1075"/>
      <c r="P741" s="1075"/>
      <c r="Q741" s="1075"/>
      <c r="R741" s="1075"/>
      <c r="S741" s="1075"/>
      <c r="T741" s="1075"/>
      <c r="U741" s="1075"/>
      <c r="V741" s="1075"/>
      <c r="W741" s="1075"/>
      <c r="X741" s="1075"/>
      <c r="Y741" s="1075"/>
      <c r="Z741" s="1075"/>
      <c r="AA741" s="1075"/>
    </row>
    <row r="742" spans="1:27" ht="12.75" customHeight="1">
      <c r="A742" s="1075"/>
      <c r="B742" s="1075"/>
      <c r="C742" s="1075"/>
      <c r="D742" s="1075"/>
      <c r="E742" s="1075"/>
      <c r="F742" s="1075"/>
      <c r="G742" s="1075"/>
      <c r="H742" s="1075"/>
      <c r="I742" s="1075"/>
      <c r="J742" s="1075"/>
      <c r="K742" s="1075"/>
      <c r="L742" s="1075"/>
      <c r="M742" s="1075"/>
      <c r="N742" s="1075"/>
      <c r="O742" s="1075"/>
      <c r="P742" s="1075"/>
      <c r="Q742" s="1075"/>
      <c r="R742" s="1075"/>
      <c r="S742" s="1075"/>
      <c r="T742" s="1075"/>
      <c r="U742" s="1075"/>
      <c r="V742" s="1075"/>
      <c r="W742" s="1075"/>
      <c r="X742" s="1075"/>
      <c r="Y742" s="1075"/>
      <c r="Z742" s="1075"/>
      <c r="AA742" s="1075"/>
    </row>
    <row r="743" spans="1:27" ht="12.75" customHeight="1">
      <c r="A743" s="1075"/>
      <c r="B743" s="1075"/>
      <c r="C743" s="1075"/>
      <c r="D743" s="1075"/>
      <c r="E743" s="1075"/>
      <c r="F743" s="1075"/>
      <c r="G743" s="1075"/>
      <c r="H743" s="1075"/>
      <c r="I743" s="1075"/>
      <c r="J743" s="1075"/>
      <c r="K743" s="1075"/>
      <c r="L743" s="1075"/>
      <c r="M743" s="1075"/>
      <c r="N743" s="1075"/>
      <c r="O743" s="1075"/>
      <c r="P743" s="1075"/>
      <c r="Q743" s="1075"/>
      <c r="R743" s="1075"/>
      <c r="S743" s="1075"/>
      <c r="T743" s="1075"/>
      <c r="U743" s="1075"/>
      <c r="V743" s="1075"/>
      <c r="W743" s="1075"/>
      <c r="X743" s="1075"/>
      <c r="Y743" s="1075"/>
      <c r="Z743" s="1075"/>
      <c r="AA743" s="1075"/>
    </row>
    <row r="744" spans="1:27" ht="12.75" customHeight="1">
      <c r="A744" s="1075"/>
      <c r="B744" s="1075"/>
      <c r="C744" s="1075"/>
      <c r="D744" s="1075"/>
      <c r="E744" s="1075"/>
      <c r="F744" s="1075"/>
      <c r="G744" s="1075"/>
      <c r="H744" s="1075"/>
      <c r="I744" s="1075"/>
      <c r="J744" s="1075"/>
      <c r="K744" s="1075"/>
      <c r="L744" s="1075"/>
      <c r="M744" s="1075"/>
      <c r="N744" s="1075"/>
      <c r="O744" s="1075"/>
      <c r="P744" s="1075"/>
      <c r="Q744" s="1075"/>
      <c r="R744" s="1075"/>
      <c r="S744" s="1075"/>
      <c r="T744" s="1075"/>
      <c r="U744" s="1075"/>
      <c r="V744" s="1075"/>
      <c r="W744" s="1075"/>
      <c r="X744" s="1075"/>
      <c r="Y744" s="1075"/>
      <c r="Z744" s="1075"/>
      <c r="AA744" s="1075"/>
    </row>
    <row r="745" spans="1:27" ht="12.75" customHeight="1">
      <c r="A745" s="1075"/>
      <c r="B745" s="1075"/>
      <c r="C745" s="1075"/>
      <c r="D745" s="1075"/>
      <c r="E745" s="1075"/>
      <c r="F745" s="1075"/>
      <c r="G745" s="1075"/>
      <c r="H745" s="1075"/>
      <c r="I745" s="1075"/>
      <c r="J745" s="1075"/>
      <c r="K745" s="1075"/>
      <c r="L745" s="1075"/>
      <c r="M745" s="1075"/>
      <c r="N745" s="1075"/>
      <c r="O745" s="1075"/>
      <c r="P745" s="1075"/>
      <c r="Q745" s="1075"/>
      <c r="R745" s="1075"/>
      <c r="S745" s="1075"/>
      <c r="T745" s="1075"/>
      <c r="U745" s="1075"/>
      <c r="V745" s="1075"/>
      <c r="W745" s="1075"/>
      <c r="X745" s="1075"/>
      <c r="Y745" s="1075"/>
      <c r="Z745" s="1075"/>
      <c r="AA745" s="1075"/>
    </row>
    <row r="746" spans="1:27" ht="12.75" customHeight="1">
      <c r="A746" s="1075"/>
      <c r="B746" s="1075"/>
      <c r="C746" s="1075"/>
      <c r="D746" s="1075"/>
      <c r="E746" s="1075"/>
      <c r="F746" s="1075"/>
      <c r="G746" s="1075"/>
      <c r="H746" s="1075"/>
      <c r="I746" s="1075"/>
      <c r="J746" s="1075"/>
      <c r="K746" s="1075"/>
      <c r="L746" s="1075"/>
      <c r="M746" s="1075"/>
      <c r="N746" s="1075"/>
      <c r="O746" s="1075"/>
      <c r="P746" s="1075"/>
      <c r="Q746" s="1075"/>
      <c r="R746" s="1075"/>
      <c r="S746" s="1075"/>
      <c r="T746" s="1075"/>
      <c r="U746" s="1075"/>
      <c r="V746" s="1075"/>
      <c r="W746" s="1075"/>
      <c r="X746" s="1075"/>
      <c r="Y746" s="1075"/>
      <c r="Z746" s="1075"/>
      <c r="AA746" s="1075"/>
    </row>
    <row r="747" spans="1:27" ht="12.75" customHeight="1">
      <c r="A747" s="1075"/>
      <c r="B747" s="1075"/>
      <c r="C747" s="1075"/>
      <c r="D747" s="1075"/>
      <c r="E747" s="1075"/>
      <c r="F747" s="1075"/>
      <c r="G747" s="1075"/>
      <c r="H747" s="1075"/>
      <c r="I747" s="1075"/>
      <c r="J747" s="1075"/>
      <c r="K747" s="1075"/>
      <c r="L747" s="1075"/>
      <c r="M747" s="1075"/>
      <c r="N747" s="1075"/>
      <c r="O747" s="1075"/>
      <c r="P747" s="1075"/>
      <c r="Q747" s="1075"/>
      <c r="R747" s="1075"/>
      <c r="S747" s="1075"/>
      <c r="T747" s="1075"/>
      <c r="U747" s="1075"/>
      <c r="V747" s="1075"/>
      <c r="W747" s="1075"/>
      <c r="X747" s="1075"/>
      <c r="Y747" s="1075"/>
      <c r="Z747" s="1075"/>
      <c r="AA747" s="1075"/>
    </row>
    <row r="748" spans="1:27" ht="12.75" customHeight="1">
      <c r="A748" s="1075"/>
      <c r="B748" s="1075"/>
      <c r="C748" s="1075"/>
      <c r="D748" s="1075"/>
      <c r="E748" s="1075"/>
      <c r="F748" s="1075"/>
      <c r="G748" s="1075"/>
      <c r="H748" s="1075"/>
      <c r="I748" s="1075"/>
      <c r="J748" s="1075"/>
      <c r="K748" s="1075"/>
      <c r="L748" s="1075"/>
      <c r="M748" s="1075"/>
      <c r="N748" s="1075"/>
      <c r="O748" s="1075"/>
      <c r="P748" s="1075"/>
      <c r="Q748" s="1075"/>
      <c r="R748" s="1075"/>
      <c r="S748" s="1075"/>
      <c r="T748" s="1075"/>
      <c r="U748" s="1075"/>
      <c r="V748" s="1075"/>
      <c r="W748" s="1075"/>
      <c r="X748" s="1075"/>
      <c r="Y748" s="1075"/>
      <c r="Z748" s="1075"/>
      <c r="AA748" s="1075"/>
    </row>
    <row r="749" spans="1:27" ht="12.75" customHeight="1">
      <c r="A749" s="1075"/>
      <c r="B749" s="1075"/>
      <c r="C749" s="1075"/>
      <c r="D749" s="1075"/>
      <c r="E749" s="1075"/>
      <c r="F749" s="1075"/>
      <c r="G749" s="1075"/>
      <c r="H749" s="1075"/>
      <c r="I749" s="1075"/>
      <c r="J749" s="1075"/>
      <c r="K749" s="1075"/>
      <c r="L749" s="1075"/>
      <c r="M749" s="1075"/>
      <c r="N749" s="1075"/>
      <c r="O749" s="1075"/>
      <c r="P749" s="1075"/>
      <c r="Q749" s="1075"/>
      <c r="R749" s="1075"/>
      <c r="S749" s="1075"/>
      <c r="T749" s="1075"/>
      <c r="U749" s="1075"/>
      <c r="V749" s="1075"/>
      <c r="W749" s="1075"/>
      <c r="X749" s="1075"/>
      <c r="Y749" s="1075"/>
      <c r="Z749" s="1075"/>
      <c r="AA749" s="1075"/>
    </row>
    <row r="750" spans="1:27" ht="12.75" customHeight="1">
      <c r="A750" s="1075"/>
      <c r="B750" s="1075"/>
      <c r="C750" s="1075"/>
      <c r="D750" s="1075"/>
      <c r="E750" s="1075"/>
      <c r="F750" s="1075"/>
      <c r="G750" s="1075"/>
      <c r="H750" s="1075"/>
      <c r="I750" s="1075"/>
      <c r="J750" s="1075"/>
      <c r="K750" s="1075"/>
      <c r="L750" s="1075"/>
      <c r="M750" s="1075"/>
      <c r="N750" s="1075"/>
      <c r="O750" s="1075"/>
      <c r="P750" s="1075"/>
      <c r="Q750" s="1075"/>
      <c r="R750" s="1075"/>
      <c r="S750" s="1075"/>
      <c r="T750" s="1075"/>
      <c r="U750" s="1075"/>
      <c r="V750" s="1075"/>
      <c r="W750" s="1075"/>
      <c r="X750" s="1075"/>
      <c r="Y750" s="1075"/>
      <c r="Z750" s="1075"/>
      <c r="AA750" s="1075"/>
    </row>
    <row r="751" spans="1:27" ht="12.75" customHeight="1">
      <c r="A751" s="1075"/>
      <c r="B751" s="1075"/>
      <c r="C751" s="1075"/>
      <c r="D751" s="1075"/>
      <c r="E751" s="1075"/>
      <c r="F751" s="1075"/>
      <c r="G751" s="1075"/>
      <c r="H751" s="1075"/>
      <c r="I751" s="1075"/>
      <c r="J751" s="1075"/>
      <c r="K751" s="1075"/>
      <c r="L751" s="1075"/>
      <c r="M751" s="1075"/>
      <c r="N751" s="1075"/>
      <c r="O751" s="1075"/>
      <c r="P751" s="1075"/>
      <c r="Q751" s="1075"/>
      <c r="R751" s="1075"/>
      <c r="S751" s="1075"/>
      <c r="T751" s="1075"/>
      <c r="U751" s="1075"/>
      <c r="V751" s="1075"/>
      <c r="W751" s="1075"/>
      <c r="X751" s="1075"/>
      <c r="Y751" s="1075"/>
      <c r="Z751" s="1075"/>
      <c r="AA751" s="1075"/>
    </row>
    <row r="752" spans="1:27" ht="12.75" customHeight="1">
      <c r="A752" s="1075"/>
      <c r="B752" s="1075"/>
      <c r="C752" s="1075"/>
      <c r="D752" s="1075"/>
      <c r="E752" s="1075"/>
      <c r="F752" s="1075"/>
      <c r="G752" s="1075"/>
      <c r="H752" s="1075"/>
      <c r="I752" s="1075"/>
      <c r="J752" s="1075"/>
      <c r="K752" s="1075"/>
      <c r="L752" s="1075"/>
      <c r="M752" s="1075"/>
      <c r="N752" s="1075"/>
      <c r="O752" s="1075"/>
      <c r="P752" s="1075"/>
      <c r="Q752" s="1075"/>
      <c r="R752" s="1075"/>
      <c r="S752" s="1075"/>
      <c r="T752" s="1075"/>
      <c r="U752" s="1075"/>
      <c r="V752" s="1075"/>
      <c r="W752" s="1075"/>
      <c r="X752" s="1075"/>
      <c r="Y752" s="1075"/>
      <c r="Z752" s="1075"/>
      <c r="AA752" s="1075"/>
    </row>
    <row r="753" spans="1:27" ht="12.75" customHeight="1">
      <c r="A753" s="1075"/>
      <c r="B753" s="1075"/>
      <c r="C753" s="1075"/>
      <c r="D753" s="1075"/>
      <c r="E753" s="1075"/>
      <c r="F753" s="1075"/>
      <c r="G753" s="1075"/>
      <c r="H753" s="1075"/>
      <c r="I753" s="1075"/>
      <c r="J753" s="1075"/>
      <c r="K753" s="1075"/>
      <c r="L753" s="1075"/>
      <c r="M753" s="1075"/>
      <c r="N753" s="1075"/>
      <c r="O753" s="1075"/>
      <c r="P753" s="1075"/>
      <c r="Q753" s="1075"/>
      <c r="R753" s="1075"/>
      <c r="S753" s="1075"/>
      <c r="T753" s="1075"/>
      <c r="U753" s="1075"/>
      <c r="V753" s="1075"/>
      <c r="W753" s="1075"/>
      <c r="X753" s="1075"/>
      <c r="Y753" s="1075"/>
      <c r="Z753" s="1075"/>
      <c r="AA753" s="1075"/>
    </row>
    <row r="754" spans="1:27" ht="12.75" customHeight="1">
      <c r="A754" s="1075"/>
      <c r="B754" s="1075"/>
      <c r="C754" s="1075"/>
      <c r="D754" s="1075"/>
      <c r="E754" s="1075"/>
      <c r="F754" s="1075"/>
      <c r="G754" s="1075"/>
      <c r="H754" s="1075"/>
      <c r="I754" s="1075"/>
      <c r="J754" s="1075"/>
      <c r="K754" s="1075"/>
      <c r="L754" s="1075"/>
      <c r="M754" s="1075"/>
      <c r="N754" s="1075"/>
      <c r="O754" s="1075"/>
      <c r="P754" s="1075"/>
      <c r="Q754" s="1075"/>
      <c r="R754" s="1075"/>
      <c r="S754" s="1075"/>
      <c r="T754" s="1075"/>
      <c r="U754" s="1075"/>
      <c r="V754" s="1075"/>
      <c r="W754" s="1075"/>
      <c r="X754" s="1075"/>
      <c r="Y754" s="1075"/>
      <c r="Z754" s="1075"/>
      <c r="AA754" s="1075"/>
    </row>
    <row r="755" spans="1:27" ht="12.75" customHeight="1">
      <c r="A755" s="1075"/>
      <c r="B755" s="1075"/>
      <c r="C755" s="1075"/>
      <c r="D755" s="1075"/>
      <c r="E755" s="1075"/>
      <c r="F755" s="1075"/>
      <c r="G755" s="1075"/>
      <c r="H755" s="1075"/>
      <c r="I755" s="1075"/>
      <c r="J755" s="1075"/>
      <c r="K755" s="1075"/>
      <c r="L755" s="1075"/>
      <c r="M755" s="1075"/>
      <c r="N755" s="1075"/>
      <c r="O755" s="1075"/>
      <c r="P755" s="1075"/>
      <c r="Q755" s="1075"/>
      <c r="R755" s="1075"/>
      <c r="S755" s="1075"/>
      <c r="T755" s="1075"/>
      <c r="U755" s="1075"/>
      <c r="V755" s="1075"/>
      <c r="W755" s="1075"/>
      <c r="X755" s="1075"/>
      <c r="Y755" s="1075"/>
      <c r="Z755" s="1075"/>
      <c r="AA755" s="1075"/>
    </row>
    <row r="756" spans="1:27" ht="12.75" customHeight="1">
      <c r="A756" s="1075"/>
      <c r="B756" s="1075"/>
      <c r="C756" s="1075"/>
      <c r="D756" s="1075"/>
      <c r="E756" s="1075"/>
      <c r="F756" s="1075"/>
      <c r="G756" s="1075"/>
      <c r="H756" s="1075"/>
      <c r="I756" s="1075"/>
      <c r="J756" s="1075"/>
      <c r="K756" s="1075"/>
      <c r="L756" s="1075"/>
      <c r="M756" s="1075"/>
      <c r="N756" s="1075"/>
      <c r="O756" s="1075"/>
      <c r="P756" s="1075"/>
      <c r="Q756" s="1075"/>
      <c r="R756" s="1075"/>
      <c r="S756" s="1075"/>
      <c r="T756" s="1075"/>
      <c r="U756" s="1075"/>
      <c r="V756" s="1075"/>
      <c r="W756" s="1075"/>
      <c r="X756" s="1075"/>
      <c r="Y756" s="1075"/>
      <c r="Z756" s="1075"/>
      <c r="AA756" s="1075"/>
    </row>
    <row r="757" spans="1:27" ht="12.75" customHeight="1">
      <c r="A757" s="1075"/>
      <c r="B757" s="1075"/>
      <c r="C757" s="1075"/>
      <c r="D757" s="1075"/>
      <c r="E757" s="1075"/>
      <c r="F757" s="1075"/>
      <c r="G757" s="1075"/>
      <c r="H757" s="1075"/>
      <c r="I757" s="1075"/>
      <c r="J757" s="1075"/>
      <c r="K757" s="1075"/>
      <c r="L757" s="1075"/>
      <c r="M757" s="1075"/>
      <c r="N757" s="1075"/>
      <c r="O757" s="1075"/>
      <c r="P757" s="1075"/>
      <c r="Q757" s="1075"/>
      <c r="R757" s="1075"/>
      <c r="S757" s="1075"/>
      <c r="T757" s="1075"/>
      <c r="U757" s="1075"/>
      <c r="V757" s="1075"/>
      <c r="W757" s="1075"/>
      <c r="X757" s="1075"/>
      <c r="Y757" s="1075"/>
      <c r="Z757" s="1075"/>
      <c r="AA757" s="1075"/>
    </row>
    <row r="758" spans="1:27" ht="12.75" customHeight="1">
      <c r="A758" s="1075"/>
      <c r="B758" s="1075"/>
      <c r="C758" s="1075"/>
      <c r="D758" s="1075"/>
      <c r="E758" s="1075"/>
      <c r="F758" s="1075"/>
      <c r="G758" s="1075"/>
      <c r="H758" s="1075"/>
      <c r="I758" s="1075"/>
      <c r="J758" s="1075"/>
      <c r="K758" s="1075"/>
      <c r="L758" s="1075"/>
      <c r="M758" s="1075"/>
      <c r="N758" s="1075"/>
      <c r="O758" s="1075"/>
      <c r="P758" s="1075"/>
      <c r="Q758" s="1075"/>
      <c r="R758" s="1075"/>
      <c r="S758" s="1075"/>
      <c r="T758" s="1075"/>
      <c r="U758" s="1075"/>
      <c r="V758" s="1075"/>
      <c r="W758" s="1075"/>
      <c r="X758" s="1075"/>
      <c r="Y758" s="1075"/>
      <c r="Z758" s="1075"/>
      <c r="AA758" s="1075"/>
    </row>
    <row r="759" spans="1:27" ht="12.75" customHeight="1">
      <c r="A759" s="1075"/>
      <c r="B759" s="1075"/>
      <c r="C759" s="1075"/>
      <c r="D759" s="1075"/>
      <c r="E759" s="1075"/>
      <c r="F759" s="1075"/>
      <c r="G759" s="1075"/>
      <c r="H759" s="1075"/>
      <c r="I759" s="1075"/>
      <c r="J759" s="1075"/>
      <c r="K759" s="1075"/>
      <c r="L759" s="1075"/>
      <c r="M759" s="1075"/>
      <c r="N759" s="1075"/>
      <c r="O759" s="1075"/>
      <c r="P759" s="1075"/>
      <c r="Q759" s="1075"/>
      <c r="R759" s="1075"/>
      <c r="S759" s="1075"/>
      <c r="T759" s="1075"/>
      <c r="U759" s="1075"/>
      <c r="V759" s="1075"/>
      <c r="W759" s="1075"/>
      <c r="X759" s="1075"/>
      <c r="Y759" s="1075"/>
      <c r="Z759" s="1075"/>
      <c r="AA759" s="1075"/>
    </row>
    <row r="760" spans="1:27" ht="12.75" customHeight="1">
      <c r="A760" s="1075"/>
      <c r="B760" s="1075"/>
      <c r="C760" s="1075"/>
      <c r="D760" s="1075"/>
      <c r="E760" s="1075"/>
      <c r="F760" s="1075"/>
      <c r="G760" s="1075"/>
      <c r="H760" s="1075"/>
      <c r="I760" s="1075"/>
      <c r="J760" s="1075"/>
      <c r="K760" s="1075"/>
      <c r="L760" s="1075"/>
      <c r="M760" s="1075"/>
      <c r="N760" s="1075"/>
      <c r="O760" s="1075"/>
      <c r="P760" s="1075"/>
      <c r="Q760" s="1075"/>
      <c r="R760" s="1075"/>
      <c r="S760" s="1075"/>
      <c r="T760" s="1075"/>
      <c r="U760" s="1075"/>
      <c r="V760" s="1075"/>
      <c r="W760" s="1075"/>
      <c r="X760" s="1075"/>
      <c r="Y760" s="1075"/>
      <c r="Z760" s="1075"/>
      <c r="AA760" s="1075"/>
    </row>
    <row r="761" spans="1:27" ht="12.75" customHeight="1">
      <c r="A761" s="1075"/>
      <c r="B761" s="1075"/>
      <c r="C761" s="1075"/>
      <c r="D761" s="1075"/>
      <c r="E761" s="1075"/>
      <c r="F761" s="1075"/>
      <c r="G761" s="1075"/>
      <c r="H761" s="1075"/>
      <c r="I761" s="1075"/>
      <c r="J761" s="1075"/>
      <c r="K761" s="1075"/>
      <c r="L761" s="1075"/>
      <c r="M761" s="1075"/>
      <c r="N761" s="1075"/>
      <c r="O761" s="1075"/>
      <c r="P761" s="1075"/>
      <c r="Q761" s="1075"/>
      <c r="R761" s="1075"/>
      <c r="S761" s="1075"/>
      <c r="T761" s="1075"/>
      <c r="U761" s="1075"/>
      <c r="V761" s="1075"/>
      <c r="W761" s="1075"/>
      <c r="X761" s="1075"/>
      <c r="Y761" s="1075"/>
      <c r="Z761" s="1075"/>
      <c r="AA761" s="1075"/>
    </row>
    <row r="762" spans="1:27" ht="12.75" customHeight="1">
      <c r="A762" s="1075"/>
      <c r="B762" s="1075"/>
      <c r="C762" s="1075"/>
      <c r="D762" s="1075"/>
      <c r="E762" s="1075"/>
      <c r="F762" s="1075"/>
      <c r="G762" s="1075"/>
      <c r="H762" s="1075"/>
      <c r="I762" s="1075"/>
      <c r="J762" s="1075"/>
      <c r="K762" s="1075"/>
      <c r="L762" s="1075"/>
      <c r="M762" s="1075"/>
      <c r="N762" s="1075"/>
      <c r="O762" s="1075"/>
      <c r="P762" s="1075"/>
      <c r="Q762" s="1075"/>
      <c r="R762" s="1075"/>
      <c r="S762" s="1075"/>
      <c r="T762" s="1075"/>
      <c r="U762" s="1075"/>
      <c r="V762" s="1075"/>
      <c r="W762" s="1075"/>
      <c r="X762" s="1075"/>
      <c r="Y762" s="1075"/>
      <c r="Z762" s="1075"/>
      <c r="AA762" s="1075"/>
    </row>
    <row r="763" spans="1:27" ht="12.75" customHeight="1">
      <c r="A763" s="1075"/>
      <c r="B763" s="1075"/>
      <c r="C763" s="1075"/>
      <c r="D763" s="1075"/>
      <c r="E763" s="1075"/>
      <c r="F763" s="1075"/>
      <c r="G763" s="1075"/>
      <c r="H763" s="1075"/>
      <c r="I763" s="1075"/>
      <c r="J763" s="1075"/>
      <c r="K763" s="1075"/>
      <c r="L763" s="1075"/>
      <c r="M763" s="1075"/>
      <c r="N763" s="1075"/>
      <c r="O763" s="1075"/>
      <c r="P763" s="1075"/>
      <c r="Q763" s="1075"/>
      <c r="R763" s="1075"/>
      <c r="S763" s="1075"/>
      <c r="T763" s="1075"/>
      <c r="U763" s="1075"/>
      <c r="V763" s="1075"/>
      <c r="W763" s="1075"/>
      <c r="X763" s="1075"/>
      <c r="Y763" s="1075"/>
      <c r="Z763" s="1075"/>
      <c r="AA763" s="1075"/>
    </row>
    <row r="764" spans="1:27" ht="12.75" customHeight="1">
      <c r="A764" s="1075"/>
      <c r="B764" s="1075"/>
      <c r="C764" s="1075"/>
      <c r="D764" s="1075"/>
      <c r="E764" s="1075"/>
      <c r="F764" s="1075"/>
      <c r="G764" s="1075"/>
      <c r="H764" s="1075"/>
      <c r="I764" s="1075"/>
      <c r="J764" s="1075"/>
      <c r="K764" s="1075"/>
      <c r="L764" s="1075"/>
      <c r="M764" s="1075"/>
      <c r="N764" s="1075"/>
      <c r="O764" s="1075"/>
      <c r="P764" s="1075"/>
      <c r="Q764" s="1075"/>
      <c r="R764" s="1075"/>
      <c r="S764" s="1075"/>
      <c r="T764" s="1075"/>
      <c r="U764" s="1075"/>
      <c r="V764" s="1075"/>
      <c r="W764" s="1075"/>
      <c r="X764" s="1075"/>
      <c r="Y764" s="1075"/>
      <c r="Z764" s="1075"/>
      <c r="AA764" s="1075"/>
    </row>
    <row r="765" spans="1:27" ht="12.75" customHeight="1">
      <c r="A765" s="1075"/>
      <c r="B765" s="1075"/>
      <c r="C765" s="1075"/>
      <c r="D765" s="1075"/>
      <c r="E765" s="1075"/>
      <c r="F765" s="1075"/>
      <c r="G765" s="1075"/>
      <c r="H765" s="1075"/>
      <c r="I765" s="1075"/>
      <c r="J765" s="1075"/>
      <c r="K765" s="1075"/>
      <c r="L765" s="1075"/>
      <c r="M765" s="1075"/>
      <c r="N765" s="1075"/>
      <c r="O765" s="1075"/>
      <c r="P765" s="1075"/>
      <c r="Q765" s="1075"/>
      <c r="R765" s="1075"/>
      <c r="S765" s="1075"/>
      <c r="T765" s="1075"/>
      <c r="U765" s="1075"/>
      <c r="V765" s="1075"/>
      <c r="W765" s="1075"/>
      <c r="X765" s="1075"/>
      <c r="Y765" s="1075"/>
      <c r="Z765" s="1075"/>
      <c r="AA765" s="1075"/>
    </row>
    <row r="766" spans="1:27" ht="12.75" customHeight="1">
      <c r="A766" s="1075"/>
      <c r="B766" s="1075"/>
      <c r="C766" s="1075"/>
      <c r="D766" s="1075"/>
      <c r="E766" s="1075"/>
      <c r="F766" s="1075"/>
      <c r="G766" s="1075"/>
      <c r="H766" s="1075"/>
      <c r="I766" s="1075"/>
      <c r="J766" s="1075"/>
      <c r="K766" s="1075"/>
      <c r="L766" s="1075"/>
      <c r="M766" s="1075"/>
      <c r="N766" s="1075"/>
      <c r="O766" s="1075"/>
      <c r="P766" s="1075"/>
      <c r="Q766" s="1075"/>
      <c r="R766" s="1075"/>
      <c r="S766" s="1075"/>
      <c r="T766" s="1075"/>
      <c r="U766" s="1075"/>
      <c r="V766" s="1075"/>
      <c r="W766" s="1075"/>
      <c r="X766" s="1075"/>
      <c r="Y766" s="1075"/>
      <c r="Z766" s="1075"/>
      <c r="AA766" s="1075"/>
    </row>
    <row r="767" spans="1:27" ht="12.75" customHeight="1">
      <c r="A767" s="1075"/>
      <c r="B767" s="1075"/>
      <c r="C767" s="1075"/>
      <c r="D767" s="1075"/>
      <c r="E767" s="1075"/>
      <c r="F767" s="1075"/>
      <c r="G767" s="1075"/>
      <c r="H767" s="1075"/>
      <c r="I767" s="1075"/>
      <c r="J767" s="1075"/>
      <c r="K767" s="1075"/>
      <c r="L767" s="1075"/>
      <c r="M767" s="1075"/>
      <c r="N767" s="1075"/>
      <c r="O767" s="1075"/>
      <c r="P767" s="1075"/>
      <c r="Q767" s="1075"/>
      <c r="R767" s="1075"/>
      <c r="S767" s="1075"/>
      <c r="T767" s="1075"/>
      <c r="U767" s="1075"/>
      <c r="V767" s="1075"/>
      <c r="W767" s="1075"/>
      <c r="X767" s="1075"/>
      <c r="Y767" s="1075"/>
      <c r="Z767" s="1075"/>
      <c r="AA767" s="1075"/>
    </row>
    <row r="768" spans="1:27" ht="12.75" customHeight="1">
      <c r="A768" s="1075"/>
      <c r="B768" s="1075"/>
      <c r="C768" s="1075"/>
      <c r="D768" s="1075"/>
      <c r="E768" s="1075"/>
      <c r="F768" s="1075"/>
      <c r="G768" s="1075"/>
      <c r="H768" s="1075"/>
      <c r="I768" s="1075"/>
      <c r="J768" s="1075"/>
      <c r="K768" s="1075"/>
      <c r="L768" s="1075"/>
      <c r="M768" s="1075"/>
      <c r="N768" s="1075"/>
      <c r="O768" s="1075"/>
      <c r="P768" s="1075"/>
      <c r="Q768" s="1075"/>
      <c r="R768" s="1075"/>
      <c r="S768" s="1075"/>
      <c r="T768" s="1075"/>
      <c r="U768" s="1075"/>
      <c r="V768" s="1075"/>
      <c r="W768" s="1075"/>
      <c r="X768" s="1075"/>
      <c r="Y768" s="1075"/>
      <c r="Z768" s="1075"/>
      <c r="AA768" s="1075"/>
    </row>
    <row r="769" spans="1:27" ht="12.75" customHeight="1">
      <c r="A769" s="1075"/>
      <c r="B769" s="1075"/>
      <c r="C769" s="1075"/>
      <c r="D769" s="1075"/>
      <c r="E769" s="1075"/>
      <c r="F769" s="1075"/>
      <c r="G769" s="1075"/>
      <c r="H769" s="1075"/>
      <c r="I769" s="1075"/>
      <c r="J769" s="1075"/>
      <c r="K769" s="1075"/>
      <c r="L769" s="1075"/>
      <c r="M769" s="1075"/>
      <c r="N769" s="1075"/>
      <c r="O769" s="1075"/>
      <c r="P769" s="1075"/>
      <c r="Q769" s="1075"/>
      <c r="R769" s="1075"/>
      <c r="S769" s="1075"/>
      <c r="T769" s="1075"/>
      <c r="U769" s="1075"/>
      <c r="V769" s="1075"/>
      <c r="W769" s="1075"/>
      <c r="X769" s="1075"/>
      <c r="Y769" s="1075"/>
      <c r="Z769" s="1075"/>
      <c r="AA769" s="1075"/>
    </row>
    <row r="770" spans="1:27" ht="12.75" customHeight="1">
      <c r="A770" s="1075"/>
      <c r="B770" s="1075"/>
      <c r="C770" s="1075"/>
      <c r="D770" s="1075"/>
      <c r="E770" s="1075"/>
      <c r="F770" s="1075"/>
      <c r="G770" s="1075"/>
      <c r="H770" s="1075"/>
      <c r="I770" s="1075"/>
      <c r="J770" s="1075"/>
      <c r="K770" s="1075"/>
      <c r="L770" s="1075"/>
      <c r="M770" s="1075"/>
      <c r="N770" s="1075"/>
      <c r="O770" s="1075"/>
      <c r="P770" s="1075"/>
      <c r="Q770" s="1075"/>
      <c r="R770" s="1075"/>
      <c r="S770" s="1075"/>
      <c r="T770" s="1075"/>
      <c r="U770" s="1075"/>
      <c r="V770" s="1075"/>
      <c r="W770" s="1075"/>
      <c r="X770" s="1075"/>
      <c r="Y770" s="1075"/>
      <c r="Z770" s="1075"/>
      <c r="AA770" s="1075"/>
    </row>
    <row r="771" spans="1:27" ht="12.75" customHeight="1">
      <c r="A771" s="1075"/>
      <c r="B771" s="1075"/>
      <c r="C771" s="1075"/>
      <c r="D771" s="1075"/>
      <c r="E771" s="1075"/>
      <c r="F771" s="1075"/>
      <c r="G771" s="1075"/>
      <c r="H771" s="1075"/>
      <c r="I771" s="1075"/>
      <c r="J771" s="1075"/>
      <c r="K771" s="1075"/>
      <c r="L771" s="1075"/>
      <c r="M771" s="1075"/>
      <c r="N771" s="1075"/>
      <c r="O771" s="1075"/>
      <c r="P771" s="1075"/>
      <c r="Q771" s="1075"/>
      <c r="R771" s="1075"/>
      <c r="S771" s="1075"/>
      <c r="T771" s="1075"/>
      <c r="U771" s="1075"/>
      <c r="V771" s="1075"/>
      <c r="W771" s="1075"/>
      <c r="X771" s="1075"/>
      <c r="Y771" s="1075"/>
      <c r="Z771" s="1075"/>
      <c r="AA771" s="1075"/>
    </row>
    <row r="772" spans="1:27" ht="12.75" customHeight="1">
      <c r="A772" s="1075"/>
      <c r="B772" s="1075"/>
      <c r="C772" s="1075"/>
      <c r="D772" s="1075"/>
      <c r="E772" s="1075"/>
      <c r="F772" s="1075"/>
      <c r="G772" s="1075"/>
      <c r="H772" s="1075"/>
      <c r="I772" s="1075"/>
      <c r="J772" s="1075"/>
      <c r="K772" s="1075"/>
      <c r="L772" s="1075"/>
      <c r="M772" s="1075"/>
      <c r="N772" s="1075"/>
      <c r="O772" s="1075"/>
      <c r="P772" s="1075"/>
      <c r="Q772" s="1075"/>
      <c r="R772" s="1075"/>
      <c r="S772" s="1075"/>
      <c r="T772" s="1075"/>
      <c r="U772" s="1075"/>
      <c r="V772" s="1075"/>
      <c r="W772" s="1075"/>
      <c r="X772" s="1075"/>
      <c r="Y772" s="1075"/>
      <c r="Z772" s="1075"/>
      <c r="AA772" s="1075"/>
    </row>
    <row r="773" spans="1:27" ht="12.75" customHeight="1">
      <c r="A773" s="1075"/>
      <c r="B773" s="1075"/>
      <c r="C773" s="1075"/>
      <c r="D773" s="1075"/>
      <c r="E773" s="1075"/>
      <c r="F773" s="1075"/>
      <c r="G773" s="1075"/>
      <c r="H773" s="1075"/>
      <c r="I773" s="1075"/>
      <c r="J773" s="1075"/>
      <c r="K773" s="1075"/>
      <c r="L773" s="1075"/>
      <c r="M773" s="1075"/>
      <c r="N773" s="1075"/>
      <c r="O773" s="1075"/>
      <c r="P773" s="1075"/>
      <c r="Q773" s="1075"/>
      <c r="R773" s="1075"/>
      <c r="S773" s="1075"/>
      <c r="T773" s="1075"/>
      <c r="U773" s="1075"/>
      <c r="V773" s="1075"/>
      <c r="W773" s="1075"/>
      <c r="X773" s="1075"/>
      <c r="Y773" s="1075"/>
      <c r="Z773" s="1075"/>
      <c r="AA773" s="1075"/>
    </row>
    <row r="774" spans="1:27" ht="12.75" customHeight="1">
      <c r="A774" s="1075"/>
      <c r="B774" s="1075"/>
      <c r="C774" s="1075"/>
      <c r="D774" s="1075"/>
      <c r="E774" s="1075"/>
      <c r="F774" s="1075"/>
      <c r="G774" s="1075"/>
      <c r="H774" s="1075"/>
      <c r="I774" s="1075"/>
      <c r="J774" s="1075"/>
      <c r="K774" s="1075"/>
      <c r="L774" s="1075"/>
      <c r="M774" s="1075"/>
      <c r="N774" s="1075"/>
      <c r="O774" s="1075"/>
      <c r="P774" s="1075"/>
      <c r="Q774" s="1075"/>
      <c r="R774" s="1075"/>
      <c r="S774" s="1075"/>
      <c r="T774" s="1075"/>
      <c r="U774" s="1075"/>
      <c r="V774" s="1075"/>
      <c r="W774" s="1075"/>
      <c r="X774" s="1075"/>
      <c r="Y774" s="1075"/>
      <c r="Z774" s="1075"/>
      <c r="AA774" s="1075"/>
    </row>
    <row r="775" spans="1:27" ht="12.75" customHeight="1">
      <c r="A775" s="1075"/>
      <c r="B775" s="1075"/>
      <c r="C775" s="1075"/>
      <c r="D775" s="1075"/>
      <c r="E775" s="1075"/>
      <c r="F775" s="1075"/>
      <c r="G775" s="1075"/>
      <c r="H775" s="1075"/>
      <c r="I775" s="1075"/>
      <c r="J775" s="1075"/>
      <c r="K775" s="1075"/>
      <c r="L775" s="1075"/>
      <c r="M775" s="1075"/>
      <c r="N775" s="1075"/>
      <c r="O775" s="1075"/>
      <c r="P775" s="1075"/>
      <c r="Q775" s="1075"/>
      <c r="R775" s="1075"/>
      <c r="S775" s="1075"/>
      <c r="T775" s="1075"/>
      <c r="U775" s="1075"/>
      <c r="V775" s="1075"/>
      <c r="W775" s="1075"/>
      <c r="X775" s="1075"/>
      <c r="Y775" s="1075"/>
      <c r="Z775" s="1075"/>
      <c r="AA775" s="1075"/>
    </row>
    <row r="776" spans="1:27" ht="12.75" customHeight="1">
      <c r="A776" s="1075"/>
      <c r="B776" s="1075"/>
      <c r="C776" s="1075"/>
      <c r="D776" s="1075"/>
      <c r="E776" s="1075"/>
      <c r="F776" s="1075"/>
      <c r="G776" s="1075"/>
      <c r="H776" s="1075"/>
      <c r="I776" s="1075"/>
      <c r="J776" s="1075"/>
      <c r="K776" s="1075"/>
      <c r="L776" s="1075"/>
      <c r="M776" s="1075"/>
      <c r="N776" s="1075"/>
      <c r="O776" s="1075"/>
      <c r="P776" s="1075"/>
      <c r="Q776" s="1075"/>
      <c r="R776" s="1075"/>
      <c r="S776" s="1075"/>
      <c r="T776" s="1075"/>
      <c r="U776" s="1075"/>
      <c r="V776" s="1075"/>
      <c r="W776" s="1075"/>
      <c r="X776" s="1075"/>
      <c r="Y776" s="1075"/>
      <c r="Z776" s="1075"/>
      <c r="AA776" s="1075"/>
    </row>
    <row r="777" spans="1:27" ht="12.75" customHeight="1">
      <c r="A777" s="1075"/>
      <c r="B777" s="1075"/>
      <c r="C777" s="1075"/>
      <c r="D777" s="1075"/>
      <c r="E777" s="1075"/>
      <c r="F777" s="1075"/>
      <c r="G777" s="1075"/>
      <c r="H777" s="1075"/>
      <c r="I777" s="1075"/>
      <c r="J777" s="1075"/>
      <c r="K777" s="1075"/>
      <c r="L777" s="1075"/>
      <c r="M777" s="1075"/>
      <c r="N777" s="1075"/>
      <c r="O777" s="1075"/>
      <c r="P777" s="1075"/>
      <c r="Q777" s="1075"/>
      <c r="R777" s="1075"/>
      <c r="S777" s="1075"/>
      <c r="T777" s="1075"/>
      <c r="U777" s="1075"/>
      <c r="V777" s="1075"/>
      <c r="W777" s="1075"/>
      <c r="X777" s="1075"/>
      <c r="Y777" s="1075"/>
      <c r="Z777" s="1075"/>
      <c r="AA777" s="1075"/>
    </row>
    <row r="778" spans="1:27" ht="12.75" customHeight="1">
      <c r="A778" s="1075"/>
      <c r="B778" s="1075"/>
      <c r="C778" s="1075"/>
      <c r="D778" s="1075"/>
      <c r="E778" s="1075"/>
      <c r="F778" s="1075"/>
      <c r="G778" s="1075"/>
      <c r="H778" s="1075"/>
      <c r="I778" s="1075"/>
      <c r="J778" s="1075"/>
      <c r="K778" s="1075"/>
      <c r="L778" s="1075"/>
      <c r="M778" s="1075"/>
      <c r="N778" s="1075"/>
      <c r="O778" s="1075"/>
      <c r="P778" s="1075"/>
      <c r="Q778" s="1075"/>
      <c r="R778" s="1075"/>
      <c r="S778" s="1075"/>
      <c r="T778" s="1075"/>
      <c r="U778" s="1075"/>
      <c r="V778" s="1075"/>
      <c r="W778" s="1075"/>
      <c r="X778" s="1075"/>
      <c r="Y778" s="1075"/>
      <c r="Z778" s="1075"/>
      <c r="AA778" s="1075"/>
    </row>
    <row r="779" spans="1:27" ht="12.75" customHeight="1">
      <c r="A779" s="1075"/>
      <c r="B779" s="1075"/>
      <c r="C779" s="1075"/>
      <c r="D779" s="1075"/>
      <c r="E779" s="1075"/>
      <c r="F779" s="1075"/>
      <c r="G779" s="1075"/>
      <c r="H779" s="1075"/>
      <c r="I779" s="1075"/>
      <c r="J779" s="1075"/>
      <c r="K779" s="1075"/>
      <c r="L779" s="1075"/>
      <c r="M779" s="1075"/>
      <c r="N779" s="1075"/>
      <c r="O779" s="1075"/>
      <c r="P779" s="1075"/>
      <c r="Q779" s="1075"/>
      <c r="R779" s="1075"/>
      <c r="S779" s="1075"/>
      <c r="T779" s="1075"/>
      <c r="U779" s="1075"/>
      <c r="V779" s="1075"/>
      <c r="W779" s="1075"/>
      <c r="X779" s="1075"/>
      <c r="Y779" s="1075"/>
      <c r="Z779" s="1075"/>
      <c r="AA779" s="1075"/>
    </row>
    <row r="780" spans="1:27" ht="12.75" customHeight="1">
      <c r="A780" s="1075"/>
      <c r="B780" s="1075"/>
      <c r="C780" s="1075"/>
      <c r="D780" s="1075"/>
      <c r="E780" s="1075"/>
      <c r="F780" s="1075"/>
      <c r="G780" s="1075"/>
      <c r="H780" s="1075"/>
      <c r="I780" s="1075"/>
      <c r="J780" s="1075"/>
      <c r="K780" s="1075"/>
      <c r="L780" s="1075"/>
      <c r="M780" s="1075"/>
      <c r="N780" s="1075"/>
      <c r="O780" s="1075"/>
      <c r="P780" s="1075"/>
      <c r="Q780" s="1075"/>
      <c r="R780" s="1075"/>
      <c r="S780" s="1075"/>
      <c r="T780" s="1075"/>
      <c r="U780" s="1075"/>
      <c r="V780" s="1075"/>
      <c r="W780" s="1075"/>
      <c r="X780" s="1075"/>
      <c r="Y780" s="1075"/>
      <c r="Z780" s="1075"/>
      <c r="AA780" s="1075"/>
    </row>
    <row r="781" spans="1:27" ht="12.75" customHeight="1">
      <c r="A781" s="1075"/>
      <c r="B781" s="1075"/>
      <c r="C781" s="1075"/>
      <c r="D781" s="1075"/>
      <c r="E781" s="1075"/>
      <c r="F781" s="1075"/>
      <c r="G781" s="1075"/>
      <c r="H781" s="1075"/>
      <c r="I781" s="1075"/>
      <c r="J781" s="1075"/>
      <c r="K781" s="1075"/>
      <c r="L781" s="1075"/>
      <c r="M781" s="1075"/>
      <c r="N781" s="1075"/>
      <c r="O781" s="1075"/>
      <c r="P781" s="1075"/>
      <c r="Q781" s="1075"/>
      <c r="R781" s="1075"/>
      <c r="S781" s="1075"/>
      <c r="T781" s="1075"/>
      <c r="U781" s="1075"/>
      <c r="V781" s="1075"/>
      <c r="W781" s="1075"/>
      <c r="X781" s="1075"/>
      <c r="Y781" s="1075"/>
      <c r="Z781" s="1075"/>
      <c r="AA781" s="1075"/>
    </row>
    <row r="782" spans="1:27" ht="12.75" customHeight="1">
      <c r="A782" s="1075"/>
      <c r="B782" s="1075"/>
      <c r="C782" s="1075"/>
      <c r="D782" s="1075"/>
      <c r="E782" s="1075"/>
      <c r="F782" s="1075"/>
      <c r="G782" s="1075"/>
      <c r="H782" s="1075"/>
      <c r="I782" s="1075"/>
      <c r="J782" s="1075"/>
      <c r="K782" s="1075"/>
      <c r="L782" s="1075"/>
      <c r="M782" s="1075"/>
      <c r="N782" s="1075"/>
      <c r="O782" s="1075"/>
      <c r="P782" s="1075"/>
      <c r="Q782" s="1075"/>
      <c r="R782" s="1075"/>
      <c r="S782" s="1075"/>
      <c r="T782" s="1075"/>
      <c r="U782" s="1075"/>
      <c r="V782" s="1075"/>
      <c r="W782" s="1075"/>
      <c r="X782" s="1075"/>
      <c r="Y782" s="1075"/>
      <c r="Z782" s="1075"/>
      <c r="AA782" s="1075"/>
    </row>
    <row r="783" spans="1:27" ht="12.75" customHeight="1">
      <c r="A783" s="1075"/>
      <c r="B783" s="1075"/>
      <c r="C783" s="1075"/>
      <c r="D783" s="1075"/>
      <c r="E783" s="1075"/>
      <c r="F783" s="1075"/>
      <c r="G783" s="1075"/>
      <c r="H783" s="1075"/>
      <c r="I783" s="1075"/>
      <c r="J783" s="1075"/>
      <c r="K783" s="1075"/>
      <c r="L783" s="1075"/>
      <c r="M783" s="1075"/>
      <c r="N783" s="1075"/>
      <c r="O783" s="1075"/>
      <c r="P783" s="1075"/>
      <c r="Q783" s="1075"/>
      <c r="R783" s="1075"/>
      <c r="S783" s="1075"/>
      <c r="T783" s="1075"/>
      <c r="U783" s="1075"/>
      <c r="V783" s="1075"/>
      <c r="W783" s="1075"/>
      <c r="X783" s="1075"/>
      <c r="Y783" s="1075"/>
      <c r="Z783" s="1075"/>
      <c r="AA783" s="1075"/>
    </row>
    <row r="784" spans="1:27" ht="12.75" customHeight="1">
      <c r="A784" s="1075"/>
      <c r="B784" s="1075"/>
      <c r="C784" s="1075"/>
      <c r="D784" s="1075"/>
      <c r="E784" s="1075"/>
      <c r="F784" s="1075"/>
      <c r="G784" s="1075"/>
      <c r="H784" s="1075"/>
      <c r="I784" s="1075"/>
      <c r="J784" s="1075"/>
      <c r="K784" s="1075"/>
      <c r="L784" s="1075"/>
      <c r="M784" s="1075"/>
      <c r="N784" s="1075"/>
      <c r="O784" s="1075"/>
      <c r="P784" s="1075"/>
      <c r="Q784" s="1075"/>
      <c r="R784" s="1075"/>
      <c r="S784" s="1075"/>
      <c r="T784" s="1075"/>
      <c r="U784" s="1075"/>
      <c r="V784" s="1075"/>
      <c r="W784" s="1075"/>
      <c r="X784" s="1075"/>
      <c r="Y784" s="1075"/>
      <c r="Z784" s="1075"/>
      <c r="AA784" s="1075"/>
    </row>
    <row r="785" spans="1:27" ht="12.75" customHeight="1">
      <c r="A785" s="1075"/>
      <c r="B785" s="1075"/>
      <c r="C785" s="1075"/>
      <c r="D785" s="1075"/>
      <c r="E785" s="1075"/>
      <c r="F785" s="1075"/>
      <c r="G785" s="1075"/>
      <c r="H785" s="1075"/>
      <c r="I785" s="1075"/>
      <c r="J785" s="1075"/>
      <c r="K785" s="1075"/>
      <c r="L785" s="1075"/>
      <c r="M785" s="1075"/>
      <c r="N785" s="1075"/>
      <c r="O785" s="1075"/>
      <c r="P785" s="1075"/>
      <c r="Q785" s="1075"/>
      <c r="R785" s="1075"/>
      <c r="S785" s="1075"/>
      <c r="T785" s="1075"/>
      <c r="U785" s="1075"/>
      <c r="V785" s="1075"/>
      <c r="W785" s="1075"/>
      <c r="X785" s="1075"/>
      <c r="Y785" s="1075"/>
      <c r="Z785" s="1075"/>
      <c r="AA785" s="1075"/>
    </row>
    <row r="786" spans="1:27" ht="12.75" customHeight="1">
      <c r="A786" s="1075"/>
      <c r="B786" s="1075"/>
      <c r="C786" s="1075"/>
      <c r="D786" s="1075"/>
      <c r="E786" s="1075"/>
      <c r="F786" s="1075"/>
      <c r="G786" s="1075"/>
      <c r="H786" s="1075"/>
      <c r="I786" s="1075"/>
      <c r="J786" s="1075"/>
      <c r="K786" s="1075"/>
      <c r="L786" s="1075"/>
      <c r="M786" s="1075"/>
      <c r="N786" s="1075"/>
      <c r="O786" s="1075"/>
      <c r="P786" s="1075"/>
      <c r="Q786" s="1075"/>
      <c r="R786" s="1075"/>
      <c r="S786" s="1075"/>
      <c r="T786" s="1075"/>
      <c r="U786" s="1075"/>
      <c r="V786" s="1075"/>
      <c r="W786" s="1075"/>
      <c r="X786" s="1075"/>
      <c r="Y786" s="1075"/>
      <c r="Z786" s="1075"/>
      <c r="AA786" s="1075"/>
    </row>
    <row r="787" spans="1:27" ht="12.75" customHeight="1">
      <c r="A787" s="1075"/>
      <c r="B787" s="1075"/>
      <c r="C787" s="1075"/>
      <c r="D787" s="1075"/>
      <c r="E787" s="1075"/>
      <c r="F787" s="1075"/>
      <c r="G787" s="1075"/>
      <c r="H787" s="1075"/>
      <c r="I787" s="1075"/>
      <c r="J787" s="1075"/>
      <c r="K787" s="1075"/>
      <c r="L787" s="1075"/>
      <c r="M787" s="1075"/>
      <c r="N787" s="1075"/>
      <c r="O787" s="1075"/>
      <c r="P787" s="1075"/>
      <c r="Q787" s="1075"/>
      <c r="R787" s="1075"/>
      <c r="S787" s="1075"/>
      <c r="T787" s="1075"/>
      <c r="U787" s="1075"/>
      <c r="V787" s="1075"/>
      <c r="W787" s="1075"/>
      <c r="X787" s="1075"/>
      <c r="Y787" s="1075"/>
      <c r="Z787" s="1075"/>
      <c r="AA787" s="1075"/>
    </row>
    <row r="788" spans="1:27" ht="12.75" customHeight="1">
      <c r="A788" s="1075"/>
      <c r="B788" s="1075"/>
      <c r="C788" s="1075"/>
      <c r="D788" s="1075"/>
      <c r="E788" s="1075"/>
      <c r="F788" s="1075"/>
      <c r="G788" s="1075"/>
      <c r="H788" s="1075"/>
      <c r="I788" s="1075"/>
      <c r="J788" s="1075"/>
      <c r="K788" s="1075"/>
      <c r="L788" s="1075"/>
      <c r="M788" s="1075"/>
      <c r="N788" s="1075"/>
      <c r="O788" s="1075"/>
      <c r="P788" s="1075"/>
      <c r="Q788" s="1075"/>
      <c r="R788" s="1075"/>
      <c r="S788" s="1075"/>
      <c r="T788" s="1075"/>
      <c r="U788" s="1075"/>
      <c r="V788" s="1075"/>
      <c r="W788" s="1075"/>
      <c r="X788" s="1075"/>
      <c r="Y788" s="1075"/>
      <c r="Z788" s="1075"/>
      <c r="AA788" s="1075"/>
    </row>
    <row r="789" spans="1:27" ht="12.75" customHeight="1">
      <c r="A789" s="1075"/>
      <c r="B789" s="1075"/>
      <c r="C789" s="1075"/>
      <c r="D789" s="1075"/>
      <c r="E789" s="1075"/>
      <c r="F789" s="1075"/>
      <c r="G789" s="1075"/>
      <c r="H789" s="1075"/>
      <c r="I789" s="1075"/>
      <c r="J789" s="1075"/>
      <c r="K789" s="1075"/>
      <c r="L789" s="1075"/>
      <c r="M789" s="1075"/>
      <c r="N789" s="1075"/>
      <c r="O789" s="1075"/>
      <c r="P789" s="1075"/>
      <c r="Q789" s="1075"/>
      <c r="R789" s="1075"/>
      <c r="S789" s="1075"/>
      <c r="T789" s="1075"/>
      <c r="U789" s="1075"/>
      <c r="V789" s="1075"/>
      <c r="W789" s="1075"/>
      <c r="X789" s="1075"/>
      <c r="Y789" s="1075"/>
      <c r="Z789" s="1075"/>
      <c r="AA789" s="1075"/>
    </row>
    <row r="790" spans="1:27" ht="12.75" customHeight="1">
      <c r="A790" s="1075"/>
      <c r="B790" s="1075"/>
      <c r="C790" s="1075"/>
      <c r="D790" s="1075"/>
      <c r="E790" s="1075"/>
      <c r="F790" s="1075"/>
      <c r="G790" s="1075"/>
      <c r="H790" s="1075"/>
      <c r="I790" s="1075"/>
      <c r="J790" s="1075"/>
      <c r="K790" s="1075"/>
      <c r="L790" s="1075"/>
      <c r="M790" s="1075"/>
      <c r="N790" s="1075"/>
      <c r="O790" s="1075"/>
      <c r="P790" s="1075"/>
      <c r="Q790" s="1075"/>
      <c r="R790" s="1075"/>
      <c r="S790" s="1075"/>
      <c r="T790" s="1075"/>
      <c r="U790" s="1075"/>
      <c r="V790" s="1075"/>
      <c r="W790" s="1075"/>
      <c r="X790" s="1075"/>
      <c r="Y790" s="1075"/>
      <c r="Z790" s="1075"/>
      <c r="AA790" s="1075"/>
    </row>
    <row r="791" spans="1:27" ht="12.75" customHeight="1">
      <c r="A791" s="1075"/>
      <c r="B791" s="1075"/>
      <c r="C791" s="1075"/>
      <c r="D791" s="1075"/>
      <c r="E791" s="1075"/>
      <c r="F791" s="1075"/>
      <c r="G791" s="1075"/>
      <c r="H791" s="1075"/>
      <c r="I791" s="1075"/>
      <c r="J791" s="1075"/>
      <c r="K791" s="1075"/>
      <c r="L791" s="1075"/>
      <c r="M791" s="1075"/>
      <c r="N791" s="1075"/>
      <c r="O791" s="1075"/>
      <c r="P791" s="1075"/>
      <c r="Q791" s="1075"/>
      <c r="R791" s="1075"/>
      <c r="S791" s="1075"/>
      <c r="T791" s="1075"/>
      <c r="U791" s="1075"/>
      <c r="V791" s="1075"/>
      <c r="W791" s="1075"/>
      <c r="X791" s="1075"/>
      <c r="Y791" s="1075"/>
      <c r="Z791" s="1075"/>
      <c r="AA791" s="1075"/>
    </row>
    <row r="792" spans="1:27" ht="12.75" customHeight="1">
      <c r="A792" s="1075"/>
      <c r="B792" s="1075"/>
      <c r="C792" s="1075"/>
      <c r="D792" s="1075"/>
      <c r="E792" s="1075"/>
      <c r="F792" s="1075"/>
      <c r="G792" s="1075"/>
      <c r="H792" s="1075"/>
      <c r="I792" s="1075"/>
      <c r="J792" s="1075"/>
      <c r="K792" s="1075"/>
      <c r="L792" s="1075"/>
      <c r="M792" s="1075"/>
      <c r="N792" s="1075"/>
      <c r="O792" s="1075"/>
      <c r="P792" s="1075"/>
      <c r="Q792" s="1075"/>
      <c r="R792" s="1075"/>
      <c r="S792" s="1075"/>
      <c r="T792" s="1075"/>
      <c r="U792" s="1075"/>
      <c r="V792" s="1075"/>
      <c r="W792" s="1075"/>
      <c r="X792" s="1075"/>
      <c r="Y792" s="1075"/>
      <c r="Z792" s="1075"/>
      <c r="AA792" s="1075"/>
    </row>
    <row r="793" spans="1:27" ht="12.75" customHeight="1">
      <c r="A793" s="1075"/>
      <c r="B793" s="1075"/>
      <c r="C793" s="1075"/>
      <c r="D793" s="1075"/>
      <c r="E793" s="1075"/>
      <c r="F793" s="1075"/>
      <c r="G793" s="1075"/>
      <c r="H793" s="1075"/>
      <c r="I793" s="1075"/>
      <c r="J793" s="1075"/>
      <c r="K793" s="1075"/>
      <c r="L793" s="1075"/>
      <c r="M793" s="1075"/>
      <c r="N793" s="1075"/>
      <c r="O793" s="1075"/>
      <c r="P793" s="1075"/>
      <c r="Q793" s="1075"/>
      <c r="R793" s="1075"/>
      <c r="S793" s="1075"/>
      <c r="T793" s="1075"/>
      <c r="U793" s="1075"/>
      <c r="V793" s="1075"/>
      <c r="W793" s="1075"/>
      <c r="X793" s="1075"/>
      <c r="Y793" s="1075"/>
      <c r="Z793" s="1075"/>
      <c r="AA793" s="1075"/>
    </row>
    <row r="794" spans="1:27" ht="12.75" customHeight="1">
      <c r="A794" s="1075"/>
      <c r="B794" s="1075"/>
      <c r="C794" s="1075"/>
      <c r="D794" s="1075"/>
      <c r="E794" s="1075"/>
      <c r="F794" s="1075"/>
      <c r="G794" s="1075"/>
      <c r="H794" s="1075"/>
      <c r="I794" s="1075"/>
      <c r="J794" s="1075"/>
      <c r="K794" s="1075"/>
      <c r="L794" s="1075"/>
      <c r="M794" s="1075"/>
      <c r="N794" s="1075"/>
      <c r="O794" s="1075"/>
      <c r="P794" s="1075"/>
      <c r="Q794" s="1075"/>
      <c r="R794" s="1075"/>
      <c r="S794" s="1075"/>
      <c r="T794" s="1075"/>
      <c r="U794" s="1075"/>
      <c r="V794" s="1075"/>
      <c r="W794" s="1075"/>
      <c r="X794" s="1075"/>
      <c r="Y794" s="1075"/>
      <c r="Z794" s="1075"/>
      <c r="AA794" s="1075"/>
    </row>
    <row r="795" spans="1:27" ht="12.75" customHeight="1">
      <c r="A795" s="1075"/>
      <c r="B795" s="1075"/>
      <c r="C795" s="1075"/>
      <c r="D795" s="1075"/>
      <c r="E795" s="1075"/>
      <c r="F795" s="1075"/>
      <c r="G795" s="1075"/>
      <c r="H795" s="1075"/>
      <c r="I795" s="1075"/>
      <c r="J795" s="1075"/>
      <c r="K795" s="1075"/>
      <c r="L795" s="1075"/>
      <c r="M795" s="1075"/>
      <c r="N795" s="1075"/>
      <c r="O795" s="1075"/>
      <c r="P795" s="1075"/>
      <c r="Q795" s="1075"/>
      <c r="R795" s="1075"/>
      <c r="S795" s="1075"/>
      <c r="T795" s="1075"/>
      <c r="U795" s="1075"/>
      <c r="V795" s="1075"/>
      <c r="W795" s="1075"/>
      <c r="X795" s="1075"/>
      <c r="Y795" s="1075"/>
      <c r="Z795" s="1075"/>
      <c r="AA795" s="1075"/>
    </row>
    <row r="796" spans="1:27" ht="12.75" customHeight="1">
      <c r="A796" s="1075"/>
      <c r="B796" s="1075"/>
      <c r="C796" s="1075"/>
      <c r="D796" s="1075"/>
      <c r="E796" s="1075"/>
      <c r="F796" s="1075"/>
      <c r="G796" s="1075"/>
      <c r="H796" s="1075"/>
      <c r="I796" s="1075"/>
      <c r="J796" s="1075"/>
      <c r="K796" s="1075"/>
      <c r="L796" s="1075"/>
      <c r="M796" s="1075"/>
      <c r="N796" s="1075"/>
      <c r="O796" s="1075"/>
      <c r="P796" s="1075"/>
      <c r="Q796" s="1075"/>
      <c r="R796" s="1075"/>
      <c r="S796" s="1075"/>
      <c r="T796" s="1075"/>
      <c r="U796" s="1075"/>
      <c r="V796" s="1075"/>
      <c r="W796" s="1075"/>
      <c r="X796" s="1075"/>
      <c r="Y796" s="1075"/>
      <c r="Z796" s="1075"/>
      <c r="AA796" s="1075"/>
    </row>
    <row r="797" spans="1:27" ht="12.75" customHeight="1">
      <c r="A797" s="1075"/>
      <c r="B797" s="1075"/>
      <c r="C797" s="1075"/>
      <c r="D797" s="1075"/>
      <c r="E797" s="1075"/>
      <c r="F797" s="1075"/>
      <c r="G797" s="1075"/>
      <c r="H797" s="1075"/>
      <c r="I797" s="1075"/>
      <c r="J797" s="1075"/>
      <c r="K797" s="1075"/>
      <c r="L797" s="1075"/>
      <c r="M797" s="1075"/>
      <c r="N797" s="1075"/>
      <c r="O797" s="1075"/>
      <c r="P797" s="1075"/>
      <c r="Q797" s="1075"/>
      <c r="R797" s="1075"/>
      <c r="S797" s="1075"/>
      <c r="T797" s="1075"/>
      <c r="U797" s="1075"/>
      <c r="V797" s="1075"/>
      <c r="W797" s="1075"/>
      <c r="X797" s="1075"/>
      <c r="Y797" s="1075"/>
      <c r="Z797" s="1075"/>
      <c r="AA797" s="1075"/>
    </row>
    <row r="798" spans="1:27" ht="12.75" customHeight="1">
      <c r="A798" s="1075"/>
      <c r="B798" s="1075"/>
      <c r="C798" s="1075"/>
      <c r="D798" s="1075"/>
      <c r="E798" s="1075"/>
      <c r="F798" s="1075"/>
      <c r="G798" s="1075"/>
      <c r="H798" s="1075"/>
      <c r="I798" s="1075"/>
      <c r="J798" s="1075"/>
      <c r="K798" s="1075"/>
      <c r="L798" s="1075"/>
      <c r="M798" s="1075"/>
      <c r="N798" s="1075"/>
      <c r="O798" s="1075"/>
      <c r="P798" s="1075"/>
      <c r="Q798" s="1075"/>
      <c r="R798" s="1075"/>
      <c r="S798" s="1075"/>
      <c r="T798" s="1075"/>
      <c r="U798" s="1075"/>
      <c r="V798" s="1075"/>
      <c r="W798" s="1075"/>
      <c r="X798" s="1075"/>
      <c r="Y798" s="1075"/>
      <c r="Z798" s="1075"/>
      <c r="AA798" s="1075"/>
    </row>
    <row r="799" spans="1:27" ht="12.75" customHeight="1">
      <c r="A799" s="1075"/>
      <c r="B799" s="1075"/>
      <c r="C799" s="1075"/>
      <c r="D799" s="1075"/>
      <c r="E799" s="1075"/>
      <c r="F799" s="1075"/>
      <c r="G799" s="1075"/>
      <c r="H799" s="1075"/>
      <c r="I799" s="1075"/>
      <c r="J799" s="1075"/>
      <c r="K799" s="1075"/>
      <c r="L799" s="1075"/>
      <c r="M799" s="1075"/>
      <c r="N799" s="1075"/>
      <c r="O799" s="1075"/>
      <c r="P799" s="1075"/>
      <c r="Q799" s="1075"/>
      <c r="R799" s="1075"/>
      <c r="S799" s="1075"/>
      <c r="T799" s="1075"/>
      <c r="U799" s="1075"/>
      <c r="V799" s="1075"/>
      <c r="W799" s="1075"/>
      <c r="X799" s="1075"/>
      <c r="Y799" s="1075"/>
      <c r="Z799" s="1075"/>
      <c r="AA799" s="1075"/>
    </row>
    <row r="800" spans="1:27" ht="12.75" customHeight="1">
      <c r="A800" s="1075"/>
      <c r="B800" s="1075"/>
      <c r="C800" s="1075"/>
      <c r="D800" s="1075"/>
      <c r="E800" s="1075"/>
      <c r="F800" s="1075"/>
      <c r="G800" s="1075"/>
      <c r="H800" s="1075"/>
      <c r="I800" s="1075"/>
      <c r="J800" s="1075"/>
      <c r="K800" s="1075"/>
      <c r="L800" s="1075"/>
      <c r="M800" s="1075"/>
      <c r="N800" s="1075"/>
      <c r="O800" s="1075"/>
      <c r="P800" s="1075"/>
      <c r="Q800" s="1075"/>
      <c r="R800" s="1075"/>
      <c r="S800" s="1075"/>
      <c r="T800" s="1075"/>
      <c r="U800" s="1075"/>
      <c r="V800" s="1075"/>
      <c r="W800" s="1075"/>
      <c r="X800" s="1075"/>
      <c r="Y800" s="1075"/>
      <c r="Z800" s="1075"/>
      <c r="AA800" s="1075"/>
    </row>
    <row r="801" spans="1:27" ht="12.75" customHeight="1">
      <c r="A801" s="1075"/>
      <c r="B801" s="1075"/>
      <c r="C801" s="1075"/>
      <c r="D801" s="1075"/>
      <c r="E801" s="1075"/>
      <c r="F801" s="1075"/>
      <c r="G801" s="1075"/>
      <c r="H801" s="1075"/>
      <c r="I801" s="1075"/>
      <c r="J801" s="1075"/>
      <c r="K801" s="1075"/>
      <c r="L801" s="1075"/>
      <c r="M801" s="1075"/>
      <c r="N801" s="1075"/>
      <c r="O801" s="1075"/>
      <c r="P801" s="1075"/>
      <c r="Q801" s="1075"/>
      <c r="R801" s="1075"/>
      <c r="S801" s="1075"/>
      <c r="T801" s="1075"/>
      <c r="U801" s="1075"/>
      <c r="V801" s="1075"/>
      <c r="W801" s="1075"/>
      <c r="X801" s="1075"/>
      <c r="Y801" s="1075"/>
      <c r="Z801" s="1075"/>
      <c r="AA801" s="1075"/>
    </row>
    <row r="802" spans="1:27" ht="12.75" customHeight="1">
      <c r="A802" s="1075"/>
      <c r="B802" s="1075"/>
      <c r="C802" s="1075"/>
      <c r="D802" s="1075"/>
      <c r="E802" s="1075"/>
      <c r="F802" s="1075"/>
      <c r="G802" s="1075"/>
      <c r="H802" s="1075"/>
      <c r="I802" s="1075"/>
      <c r="J802" s="1075"/>
      <c r="K802" s="1075"/>
      <c r="L802" s="1075"/>
      <c r="M802" s="1075"/>
      <c r="N802" s="1075"/>
      <c r="O802" s="1075"/>
      <c r="P802" s="1075"/>
      <c r="Q802" s="1075"/>
      <c r="R802" s="1075"/>
      <c r="S802" s="1075"/>
      <c r="T802" s="1075"/>
      <c r="U802" s="1075"/>
      <c r="V802" s="1075"/>
      <c r="W802" s="1075"/>
      <c r="X802" s="1075"/>
      <c r="Y802" s="1075"/>
      <c r="Z802" s="1075"/>
      <c r="AA802" s="1075"/>
    </row>
    <row r="803" spans="1:27" ht="12.75" customHeight="1">
      <c r="A803" s="1075"/>
      <c r="B803" s="1075"/>
      <c r="C803" s="1075"/>
      <c r="D803" s="1075"/>
      <c r="E803" s="1075"/>
      <c r="F803" s="1075"/>
      <c r="G803" s="1075"/>
      <c r="H803" s="1075"/>
      <c r="I803" s="1075"/>
      <c r="J803" s="1075"/>
      <c r="K803" s="1075"/>
      <c r="L803" s="1075"/>
      <c r="M803" s="1075"/>
      <c r="N803" s="1075"/>
      <c r="O803" s="1075"/>
      <c r="P803" s="1075"/>
      <c r="Q803" s="1075"/>
      <c r="R803" s="1075"/>
      <c r="S803" s="1075"/>
      <c r="T803" s="1075"/>
      <c r="U803" s="1075"/>
      <c r="V803" s="1075"/>
      <c r="W803" s="1075"/>
      <c r="X803" s="1075"/>
      <c r="Y803" s="1075"/>
      <c r="Z803" s="1075"/>
      <c r="AA803" s="1075"/>
    </row>
    <row r="804" spans="1:27" ht="12.75" customHeight="1">
      <c r="A804" s="1075"/>
      <c r="B804" s="1075"/>
      <c r="C804" s="1075"/>
      <c r="D804" s="1075"/>
      <c r="E804" s="1075"/>
      <c r="F804" s="1075"/>
      <c r="G804" s="1075"/>
      <c r="H804" s="1075"/>
      <c r="I804" s="1075"/>
      <c r="J804" s="1075"/>
      <c r="K804" s="1075"/>
      <c r="L804" s="1075"/>
      <c r="M804" s="1075"/>
      <c r="N804" s="1075"/>
      <c r="O804" s="1075"/>
      <c r="P804" s="1075"/>
      <c r="Q804" s="1075"/>
      <c r="R804" s="1075"/>
      <c r="S804" s="1075"/>
      <c r="T804" s="1075"/>
      <c r="U804" s="1075"/>
      <c r="V804" s="1075"/>
      <c r="W804" s="1075"/>
      <c r="X804" s="1075"/>
      <c r="Y804" s="1075"/>
      <c r="Z804" s="1075"/>
      <c r="AA804" s="1075"/>
    </row>
    <row r="805" spans="1:27" ht="12.75" customHeight="1">
      <c r="A805" s="1075"/>
      <c r="B805" s="1075"/>
      <c r="C805" s="1075"/>
      <c r="D805" s="1075"/>
      <c r="E805" s="1075"/>
      <c r="F805" s="1075"/>
      <c r="G805" s="1075"/>
      <c r="H805" s="1075"/>
      <c r="I805" s="1075"/>
      <c r="J805" s="1075"/>
      <c r="K805" s="1075"/>
      <c r="L805" s="1075"/>
      <c r="M805" s="1075"/>
      <c r="N805" s="1075"/>
      <c r="O805" s="1075"/>
      <c r="P805" s="1075"/>
      <c r="Q805" s="1075"/>
      <c r="R805" s="1075"/>
      <c r="S805" s="1075"/>
      <c r="T805" s="1075"/>
      <c r="U805" s="1075"/>
      <c r="V805" s="1075"/>
      <c r="W805" s="1075"/>
      <c r="X805" s="1075"/>
      <c r="Y805" s="1075"/>
      <c r="Z805" s="1075"/>
      <c r="AA805" s="1075"/>
    </row>
    <row r="806" spans="1:27" ht="12.75" customHeight="1">
      <c r="A806" s="1075"/>
      <c r="B806" s="1075"/>
      <c r="C806" s="1075"/>
      <c r="D806" s="1075"/>
      <c r="E806" s="1075"/>
      <c r="F806" s="1075"/>
      <c r="G806" s="1075"/>
      <c r="H806" s="1075"/>
      <c r="I806" s="1075"/>
      <c r="J806" s="1075"/>
      <c r="K806" s="1075"/>
      <c r="L806" s="1075"/>
      <c r="M806" s="1075"/>
      <c r="N806" s="1075"/>
      <c r="O806" s="1075"/>
      <c r="P806" s="1075"/>
      <c r="Q806" s="1075"/>
      <c r="R806" s="1075"/>
      <c r="S806" s="1075"/>
      <c r="T806" s="1075"/>
      <c r="U806" s="1075"/>
      <c r="V806" s="1075"/>
      <c r="W806" s="1075"/>
      <c r="X806" s="1075"/>
      <c r="Y806" s="1075"/>
      <c r="Z806" s="1075"/>
      <c r="AA806" s="1075"/>
    </row>
    <row r="807" spans="1:27" ht="12.75" customHeight="1">
      <c r="A807" s="1075"/>
      <c r="B807" s="1075"/>
      <c r="C807" s="1075"/>
      <c r="D807" s="1075"/>
      <c r="E807" s="1075"/>
      <c r="F807" s="1075"/>
      <c r="G807" s="1075"/>
      <c r="H807" s="1075"/>
      <c r="I807" s="1075"/>
      <c r="J807" s="1075"/>
      <c r="K807" s="1075"/>
      <c r="L807" s="1075"/>
      <c r="M807" s="1075"/>
      <c r="N807" s="1075"/>
      <c r="O807" s="1075"/>
      <c r="P807" s="1075"/>
      <c r="Q807" s="1075"/>
      <c r="R807" s="1075"/>
      <c r="S807" s="1075"/>
      <c r="T807" s="1075"/>
      <c r="U807" s="1075"/>
      <c r="V807" s="1075"/>
      <c r="W807" s="1075"/>
      <c r="X807" s="1075"/>
      <c r="Y807" s="1075"/>
      <c r="Z807" s="1075"/>
      <c r="AA807" s="1075"/>
    </row>
    <row r="808" spans="1:27" ht="12.75" customHeight="1">
      <c r="A808" s="1075"/>
      <c r="B808" s="1075"/>
      <c r="C808" s="1075"/>
      <c r="D808" s="1075"/>
      <c r="E808" s="1075"/>
      <c r="F808" s="1075"/>
      <c r="G808" s="1075"/>
      <c r="H808" s="1075"/>
      <c r="I808" s="1075"/>
      <c r="J808" s="1075"/>
      <c r="K808" s="1075"/>
      <c r="L808" s="1075"/>
      <c r="M808" s="1075"/>
      <c r="N808" s="1075"/>
      <c r="O808" s="1075"/>
      <c r="P808" s="1075"/>
      <c r="Q808" s="1075"/>
      <c r="R808" s="1075"/>
      <c r="S808" s="1075"/>
      <c r="T808" s="1075"/>
      <c r="U808" s="1075"/>
      <c r="V808" s="1075"/>
      <c r="W808" s="1075"/>
      <c r="X808" s="1075"/>
      <c r="Y808" s="1075"/>
      <c r="Z808" s="1075"/>
      <c r="AA808" s="1075"/>
    </row>
    <row r="809" spans="1:27" ht="12.75" customHeight="1">
      <c r="A809" s="1075"/>
      <c r="B809" s="1075"/>
      <c r="C809" s="1075"/>
      <c r="D809" s="1075"/>
      <c r="E809" s="1075"/>
      <c r="F809" s="1075"/>
      <c r="G809" s="1075"/>
      <c r="H809" s="1075"/>
      <c r="I809" s="1075"/>
      <c r="J809" s="1075"/>
      <c r="K809" s="1075"/>
      <c r="L809" s="1075"/>
      <c r="M809" s="1075"/>
      <c r="N809" s="1075"/>
      <c r="O809" s="1075"/>
      <c r="P809" s="1075"/>
      <c r="Q809" s="1075"/>
      <c r="R809" s="1075"/>
      <c r="S809" s="1075"/>
      <c r="T809" s="1075"/>
      <c r="U809" s="1075"/>
      <c r="V809" s="1075"/>
      <c r="W809" s="1075"/>
      <c r="X809" s="1075"/>
      <c r="Y809" s="1075"/>
      <c r="Z809" s="1075"/>
      <c r="AA809" s="1075"/>
    </row>
    <row r="810" spans="1:27" ht="12.75" customHeight="1">
      <c r="A810" s="1075"/>
      <c r="B810" s="1075"/>
      <c r="C810" s="1075"/>
      <c r="D810" s="1075"/>
      <c r="E810" s="1075"/>
      <c r="F810" s="1075"/>
      <c r="G810" s="1075"/>
      <c r="H810" s="1075"/>
      <c r="I810" s="1075"/>
      <c r="J810" s="1075"/>
      <c r="K810" s="1075"/>
      <c r="L810" s="1075"/>
      <c r="M810" s="1075"/>
      <c r="N810" s="1075"/>
      <c r="O810" s="1075"/>
      <c r="P810" s="1075"/>
      <c r="Q810" s="1075"/>
      <c r="R810" s="1075"/>
      <c r="S810" s="1075"/>
      <c r="T810" s="1075"/>
      <c r="U810" s="1075"/>
      <c r="V810" s="1075"/>
      <c r="W810" s="1075"/>
      <c r="X810" s="1075"/>
      <c r="Y810" s="1075"/>
      <c r="Z810" s="1075"/>
      <c r="AA810" s="1075"/>
    </row>
    <row r="811" spans="1:27" ht="12.75" customHeight="1">
      <c r="A811" s="1075"/>
      <c r="B811" s="1075"/>
      <c r="C811" s="1075"/>
      <c r="D811" s="1075"/>
      <c r="E811" s="1075"/>
      <c r="F811" s="1075"/>
      <c r="G811" s="1075"/>
      <c r="H811" s="1075"/>
      <c r="I811" s="1075"/>
      <c r="J811" s="1075"/>
      <c r="K811" s="1075"/>
      <c r="L811" s="1075"/>
      <c r="M811" s="1075"/>
      <c r="N811" s="1075"/>
      <c r="O811" s="1075"/>
      <c r="P811" s="1075"/>
      <c r="Q811" s="1075"/>
      <c r="R811" s="1075"/>
      <c r="S811" s="1075"/>
      <c r="T811" s="1075"/>
      <c r="U811" s="1075"/>
      <c r="V811" s="1075"/>
      <c r="W811" s="1075"/>
      <c r="X811" s="1075"/>
      <c r="Y811" s="1075"/>
      <c r="Z811" s="1075"/>
      <c r="AA811" s="1075"/>
    </row>
    <row r="812" spans="1:27" ht="12.75" customHeight="1">
      <c r="A812" s="1075"/>
      <c r="B812" s="1075"/>
      <c r="C812" s="1075"/>
      <c r="D812" s="1075"/>
      <c r="E812" s="1075"/>
      <c r="F812" s="1075"/>
      <c r="G812" s="1075"/>
      <c r="H812" s="1075"/>
      <c r="I812" s="1075"/>
      <c r="J812" s="1075"/>
      <c r="K812" s="1075"/>
      <c r="L812" s="1075"/>
      <c r="M812" s="1075"/>
      <c r="N812" s="1075"/>
      <c r="O812" s="1075"/>
      <c r="P812" s="1075"/>
      <c r="Q812" s="1075"/>
      <c r="R812" s="1075"/>
      <c r="S812" s="1075"/>
      <c r="T812" s="1075"/>
      <c r="U812" s="1075"/>
      <c r="V812" s="1075"/>
      <c r="W812" s="1075"/>
      <c r="X812" s="1075"/>
      <c r="Y812" s="1075"/>
      <c r="Z812" s="1075"/>
      <c r="AA812" s="1075"/>
    </row>
    <row r="813" spans="1:27" ht="12.75" customHeight="1">
      <c r="A813" s="1075"/>
      <c r="B813" s="1075"/>
      <c r="C813" s="1075"/>
      <c r="D813" s="1075"/>
      <c r="E813" s="1075"/>
      <c r="F813" s="1075"/>
      <c r="G813" s="1075"/>
      <c r="H813" s="1075"/>
      <c r="I813" s="1075"/>
      <c r="J813" s="1075"/>
      <c r="K813" s="1075"/>
      <c r="L813" s="1075"/>
      <c r="M813" s="1075"/>
      <c r="N813" s="1075"/>
      <c r="O813" s="1075"/>
      <c r="P813" s="1075"/>
      <c r="Q813" s="1075"/>
      <c r="R813" s="1075"/>
      <c r="S813" s="1075"/>
      <c r="T813" s="1075"/>
      <c r="U813" s="1075"/>
      <c r="V813" s="1075"/>
      <c r="W813" s="1075"/>
      <c r="X813" s="1075"/>
      <c r="Y813" s="1075"/>
      <c r="Z813" s="1075"/>
      <c r="AA813" s="1075"/>
    </row>
    <row r="814" spans="1:27" ht="12.75" customHeight="1">
      <c r="A814" s="1075"/>
      <c r="B814" s="1075"/>
      <c r="C814" s="1075"/>
      <c r="D814" s="1075"/>
      <c r="E814" s="1075"/>
      <c r="F814" s="1075"/>
      <c r="G814" s="1075"/>
      <c r="H814" s="1075"/>
      <c r="I814" s="1075"/>
      <c r="J814" s="1075"/>
      <c r="K814" s="1075"/>
      <c r="L814" s="1075"/>
      <c r="M814" s="1075"/>
      <c r="N814" s="1075"/>
      <c r="O814" s="1075"/>
      <c r="P814" s="1075"/>
      <c r="Q814" s="1075"/>
      <c r="R814" s="1075"/>
      <c r="S814" s="1075"/>
      <c r="T814" s="1075"/>
      <c r="U814" s="1075"/>
      <c r="V814" s="1075"/>
      <c r="W814" s="1075"/>
      <c r="X814" s="1075"/>
      <c r="Y814" s="1075"/>
      <c r="Z814" s="1075"/>
      <c r="AA814" s="1075"/>
    </row>
    <row r="815" spans="1:27" ht="12.75" customHeight="1">
      <c r="A815" s="1075"/>
      <c r="B815" s="1075"/>
      <c r="C815" s="1075"/>
      <c r="D815" s="1075"/>
      <c r="E815" s="1075"/>
      <c r="F815" s="1075"/>
      <c r="G815" s="1075"/>
      <c r="H815" s="1075"/>
      <c r="I815" s="1075"/>
      <c r="J815" s="1075"/>
      <c r="K815" s="1075"/>
      <c r="L815" s="1075"/>
      <c r="M815" s="1075"/>
      <c r="N815" s="1075"/>
      <c r="O815" s="1075"/>
      <c r="P815" s="1075"/>
      <c r="Q815" s="1075"/>
      <c r="R815" s="1075"/>
      <c r="S815" s="1075"/>
      <c r="T815" s="1075"/>
      <c r="U815" s="1075"/>
      <c r="V815" s="1075"/>
      <c r="W815" s="1075"/>
      <c r="X815" s="1075"/>
      <c r="Y815" s="1075"/>
      <c r="Z815" s="1075"/>
      <c r="AA815" s="1075"/>
    </row>
    <row r="816" spans="1:27" ht="12.75" customHeight="1">
      <c r="A816" s="1075"/>
      <c r="B816" s="1075"/>
      <c r="C816" s="1075"/>
      <c r="D816" s="1075"/>
      <c r="E816" s="1075"/>
      <c r="F816" s="1075"/>
      <c r="G816" s="1075"/>
      <c r="H816" s="1075"/>
      <c r="I816" s="1075"/>
      <c r="J816" s="1075"/>
      <c r="K816" s="1075"/>
      <c r="L816" s="1075"/>
      <c r="M816" s="1075"/>
      <c r="N816" s="1075"/>
      <c r="O816" s="1075"/>
      <c r="P816" s="1075"/>
      <c r="Q816" s="1075"/>
      <c r="R816" s="1075"/>
      <c r="S816" s="1075"/>
      <c r="T816" s="1075"/>
      <c r="U816" s="1075"/>
      <c r="V816" s="1075"/>
      <c r="W816" s="1075"/>
      <c r="X816" s="1075"/>
      <c r="Y816" s="1075"/>
      <c r="Z816" s="1075"/>
      <c r="AA816" s="1075"/>
    </row>
    <row r="817" spans="1:27" ht="12.75" customHeight="1">
      <c r="A817" s="1075"/>
      <c r="B817" s="1075"/>
      <c r="C817" s="1075"/>
      <c r="D817" s="1075"/>
      <c r="E817" s="1075"/>
      <c r="F817" s="1075"/>
      <c r="G817" s="1075"/>
      <c r="H817" s="1075"/>
      <c r="I817" s="1075"/>
      <c r="J817" s="1075"/>
      <c r="K817" s="1075"/>
      <c r="L817" s="1075"/>
      <c r="M817" s="1075"/>
      <c r="N817" s="1075"/>
      <c r="O817" s="1075"/>
      <c r="P817" s="1075"/>
      <c r="Q817" s="1075"/>
      <c r="R817" s="1075"/>
      <c r="S817" s="1075"/>
      <c r="T817" s="1075"/>
      <c r="U817" s="1075"/>
      <c r="V817" s="1075"/>
      <c r="W817" s="1075"/>
      <c r="X817" s="1075"/>
      <c r="Y817" s="1075"/>
      <c r="Z817" s="1075"/>
      <c r="AA817" s="1075"/>
    </row>
    <row r="818" spans="1:27" ht="12.75" customHeight="1">
      <c r="A818" s="1075"/>
      <c r="B818" s="1075"/>
      <c r="C818" s="1075"/>
      <c r="D818" s="1075"/>
      <c r="E818" s="1075"/>
      <c r="F818" s="1075"/>
      <c r="G818" s="1075"/>
      <c r="H818" s="1075"/>
      <c r="I818" s="1075"/>
      <c r="J818" s="1075"/>
      <c r="K818" s="1075"/>
      <c r="L818" s="1075"/>
      <c r="M818" s="1075"/>
      <c r="N818" s="1075"/>
      <c r="O818" s="1075"/>
      <c r="P818" s="1075"/>
      <c r="Q818" s="1075"/>
      <c r="R818" s="1075"/>
      <c r="S818" s="1075"/>
      <c r="T818" s="1075"/>
      <c r="U818" s="1075"/>
      <c r="V818" s="1075"/>
      <c r="W818" s="1075"/>
      <c r="X818" s="1075"/>
      <c r="Y818" s="1075"/>
      <c r="Z818" s="1075"/>
      <c r="AA818" s="1075"/>
    </row>
    <row r="819" spans="1:27" ht="12.75" customHeight="1">
      <c r="A819" s="1075"/>
      <c r="B819" s="1075"/>
      <c r="C819" s="1075"/>
      <c r="D819" s="1075"/>
      <c r="E819" s="1075"/>
      <c r="F819" s="1075"/>
      <c r="G819" s="1075"/>
      <c r="H819" s="1075"/>
      <c r="I819" s="1075"/>
      <c r="J819" s="1075"/>
      <c r="K819" s="1075"/>
      <c r="L819" s="1075"/>
      <c r="M819" s="1075"/>
      <c r="N819" s="1075"/>
      <c r="O819" s="1075"/>
      <c r="P819" s="1075"/>
      <c r="Q819" s="1075"/>
      <c r="R819" s="1075"/>
      <c r="S819" s="1075"/>
      <c r="T819" s="1075"/>
      <c r="U819" s="1075"/>
      <c r="V819" s="1075"/>
      <c r="W819" s="1075"/>
      <c r="X819" s="1075"/>
      <c r="Y819" s="1075"/>
      <c r="Z819" s="1075"/>
      <c r="AA819" s="1075"/>
    </row>
    <row r="820" spans="1:27" ht="12.75" customHeight="1">
      <c r="A820" s="1075"/>
      <c r="B820" s="1075"/>
      <c r="C820" s="1075"/>
      <c r="D820" s="1075"/>
      <c r="E820" s="1075"/>
      <c r="F820" s="1075"/>
      <c r="G820" s="1075"/>
      <c r="H820" s="1075"/>
      <c r="I820" s="1075"/>
      <c r="J820" s="1075"/>
      <c r="K820" s="1075"/>
      <c r="L820" s="1075"/>
      <c r="M820" s="1075"/>
      <c r="N820" s="1075"/>
      <c r="O820" s="1075"/>
      <c r="P820" s="1075"/>
      <c r="Q820" s="1075"/>
      <c r="R820" s="1075"/>
      <c r="S820" s="1075"/>
      <c r="T820" s="1075"/>
      <c r="U820" s="1075"/>
      <c r="V820" s="1075"/>
      <c r="W820" s="1075"/>
      <c r="X820" s="1075"/>
      <c r="Y820" s="1075"/>
      <c r="Z820" s="1075"/>
      <c r="AA820" s="1075"/>
    </row>
    <row r="821" spans="1:27" ht="12.75" customHeight="1">
      <c r="A821" s="1075"/>
      <c r="B821" s="1075"/>
      <c r="C821" s="1075"/>
      <c r="D821" s="1075"/>
      <c r="E821" s="1075"/>
      <c r="F821" s="1075"/>
      <c r="G821" s="1075"/>
      <c r="H821" s="1075"/>
      <c r="I821" s="1075"/>
      <c r="J821" s="1075"/>
      <c r="K821" s="1075"/>
      <c r="L821" s="1075"/>
      <c r="M821" s="1075"/>
      <c r="N821" s="1075"/>
      <c r="O821" s="1075"/>
      <c r="P821" s="1075"/>
      <c r="Q821" s="1075"/>
      <c r="R821" s="1075"/>
      <c r="S821" s="1075"/>
      <c r="T821" s="1075"/>
      <c r="U821" s="1075"/>
      <c r="V821" s="1075"/>
      <c r="W821" s="1075"/>
      <c r="X821" s="1075"/>
      <c r="Y821" s="1075"/>
      <c r="Z821" s="1075"/>
      <c r="AA821" s="1075"/>
    </row>
    <row r="822" spans="1:27" ht="12.75" customHeight="1">
      <c r="A822" s="1075"/>
      <c r="B822" s="1075"/>
      <c r="C822" s="1075"/>
      <c r="D822" s="1075"/>
      <c r="E822" s="1075"/>
      <c r="F822" s="1075"/>
      <c r="G822" s="1075"/>
      <c r="H822" s="1075"/>
      <c r="I822" s="1075"/>
      <c r="J822" s="1075"/>
      <c r="K822" s="1075"/>
      <c r="L822" s="1075"/>
      <c r="M822" s="1075"/>
      <c r="N822" s="1075"/>
      <c r="O822" s="1075"/>
      <c r="P822" s="1075"/>
      <c r="Q822" s="1075"/>
      <c r="R822" s="1075"/>
      <c r="S822" s="1075"/>
      <c r="T822" s="1075"/>
      <c r="U822" s="1075"/>
      <c r="V822" s="1075"/>
      <c r="W822" s="1075"/>
      <c r="X822" s="1075"/>
      <c r="Y822" s="1075"/>
      <c r="Z822" s="1075"/>
      <c r="AA822" s="1075"/>
    </row>
    <row r="823" spans="1:27" ht="12.75" customHeight="1">
      <c r="A823" s="1075"/>
      <c r="B823" s="1075"/>
      <c r="C823" s="1075"/>
      <c r="D823" s="1075"/>
      <c r="E823" s="1075"/>
      <c r="F823" s="1075"/>
      <c r="G823" s="1075"/>
      <c r="H823" s="1075"/>
      <c r="I823" s="1075"/>
      <c r="J823" s="1075"/>
      <c r="K823" s="1075"/>
      <c r="L823" s="1075"/>
      <c r="M823" s="1075"/>
      <c r="N823" s="1075"/>
      <c r="O823" s="1075"/>
      <c r="P823" s="1075"/>
      <c r="Q823" s="1075"/>
      <c r="R823" s="1075"/>
      <c r="S823" s="1075"/>
      <c r="T823" s="1075"/>
      <c r="U823" s="1075"/>
      <c r="V823" s="1075"/>
      <c r="W823" s="1075"/>
      <c r="X823" s="1075"/>
      <c r="Y823" s="1075"/>
      <c r="Z823" s="1075"/>
      <c r="AA823" s="1075"/>
    </row>
    <row r="824" spans="1:27" ht="12.75" customHeight="1">
      <c r="A824" s="1075"/>
      <c r="B824" s="1075"/>
      <c r="C824" s="1075"/>
      <c r="D824" s="1075"/>
      <c r="E824" s="1075"/>
      <c r="F824" s="1075"/>
      <c r="G824" s="1075"/>
      <c r="H824" s="1075"/>
      <c r="I824" s="1075"/>
      <c r="J824" s="1075"/>
      <c r="K824" s="1075"/>
      <c r="L824" s="1075"/>
      <c r="M824" s="1075"/>
      <c r="N824" s="1075"/>
      <c r="O824" s="1075"/>
      <c r="P824" s="1075"/>
      <c r="Q824" s="1075"/>
      <c r="R824" s="1075"/>
      <c r="S824" s="1075"/>
      <c r="T824" s="1075"/>
      <c r="U824" s="1075"/>
      <c r="V824" s="1075"/>
      <c r="W824" s="1075"/>
      <c r="X824" s="1075"/>
      <c r="Y824" s="1075"/>
      <c r="Z824" s="1075"/>
      <c r="AA824" s="1075"/>
    </row>
    <row r="825" spans="1:27" ht="12.75" customHeight="1">
      <c r="A825" s="1075"/>
      <c r="B825" s="1075"/>
      <c r="C825" s="1075"/>
      <c r="D825" s="1075"/>
      <c r="E825" s="1075"/>
      <c r="F825" s="1075"/>
      <c r="G825" s="1075"/>
      <c r="H825" s="1075"/>
      <c r="I825" s="1075"/>
      <c r="J825" s="1075"/>
      <c r="K825" s="1075"/>
      <c r="L825" s="1075"/>
      <c r="M825" s="1075"/>
      <c r="N825" s="1075"/>
      <c r="O825" s="1075"/>
      <c r="P825" s="1075"/>
      <c r="Q825" s="1075"/>
      <c r="R825" s="1075"/>
      <c r="S825" s="1075"/>
      <c r="T825" s="1075"/>
      <c r="U825" s="1075"/>
      <c r="V825" s="1075"/>
      <c r="W825" s="1075"/>
      <c r="X825" s="1075"/>
      <c r="Y825" s="1075"/>
      <c r="Z825" s="1075"/>
      <c r="AA825" s="1075"/>
    </row>
    <row r="826" spans="1:27" ht="12.75" customHeight="1">
      <c r="A826" s="1075"/>
      <c r="B826" s="1075"/>
      <c r="C826" s="1075"/>
      <c r="D826" s="1075"/>
      <c r="E826" s="1075"/>
      <c r="F826" s="1075"/>
      <c r="G826" s="1075"/>
      <c r="H826" s="1075"/>
      <c r="I826" s="1075"/>
      <c r="J826" s="1075"/>
      <c r="K826" s="1075"/>
      <c r="L826" s="1075"/>
      <c r="M826" s="1075"/>
      <c r="N826" s="1075"/>
      <c r="O826" s="1075"/>
      <c r="P826" s="1075"/>
      <c r="Q826" s="1075"/>
      <c r="R826" s="1075"/>
      <c r="S826" s="1075"/>
      <c r="T826" s="1075"/>
      <c r="U826" s="1075"/>
      <c r="V826" s="1075"/>
      <c r="W826" s="1075"/>
      <c r="X826" s="1075"/>
      <c r="Y826" s="1075"/>
      <c r="Z826" s="1075"/>
      <c r="AA826" s="1075"/>
    </row>
    <row r="827" spans="1:27" ht="12.75" customHeight="1">
      <c r="A827" s="1075"/>
      <c r="B827" s="1075"/>
      <c r="C827" s="1075"/>
      <c r="D827" s="1075"/>
      <c r="E827" s="1075"/>
      <c r="F827" s="1075"/>
      <c r="G827" s="1075"/>
      <c r="H827" s="1075"/>
      <c r="I827" s="1075"/>
      <c r="J827" s="1075"/>
      <c r="K827" s="1075"/>
      <c r="L827" s="1075"/>
      <c r="M827" s="1075"/>
      <c r="N827" s="1075"/>
      <c r="O827" s="1075"/>
      <c r="P827" s="1075"/>
      <c r="Q827" s="1075"/>
      <c r="R827" s="1075"/>
      <c r="S827" s="1075"/>
      <c r="T827" s="1075"/>
      <c r="U827" s="1075"/>
      <c r="V827" s="1075"/>
      <c r="W827" s="1075"/>
      <c r="X827" s="1075"/>
      <c r="Y827" s="1075"/>
      <c r="Z827" s="1075"/>
      <c r="AA827" s="1075"/>
    </row>
    <row r="828" spans="1:27" ht="12.75" customHeight="1">
      <c r="A828" s="1075"/>
      <c r="B828" s="1075"/>
      <c r="C828" s="1075"/>
      <c r="D828" s="1075"/>
      <c r="E828" s="1075"/>
      <c r="F828" s="1075"/>
      <c r="G828" s="1075"/>
      <c r="H828" s="1075"/>
      <c r="I828" s="1075"/>
      <c r="J828" s="1075"/>
      <c r="K828" s="1075"/>
      <c r="L828" s="1075"/>
      <c r="M828" s="1075"/>
      <c r="N828" s="1075"/>
      <c r="O828" s="1075"/>
      <c r="P828" s="1075"/>
      <c r="Q828" s="1075"/>
      <c r="R828" s="1075"/>
      <c r="S828" s="1075"/>
      <c r="T828" s="1075"/>
      <c r="U828" s="1075"/>
      <c r="V828" s="1075"/>
      <c r="W828" s="1075"/>
      <c r="X828" s="1075"/>
      <c r="Y828" s="1075"/>
      <c r="Z828" s="1075"/>
      <c r="AA828" s="1075"/>
    </row>
    <row r="829" spans="1:27" ht="12.75" customHeight="1">
      <c r="A829" s="1075"/>
      <c r="B829" s="1075"/>
      <c r="C829" s="1075"/>
      <c r="D829" s="1075"/>
      <c r="E829" s="1075"/>
      <c r="F829" s="1075"/>
      <c r="G829" s="1075"/>
      <c r="H829" s="1075"/>
      <c r="I829" s="1075"/>
      <c r="J829" s="1075"/>
      <c r="K829" s="1075"/>
      <c r="L829" s="1075"/>
      <c r="M829" s="1075"/>
      <c r="N829" s="1075"/>
      <c r="O829" s="1075"/>
      <c r="P829" s="1075"/>
      <c r="Q829" s="1075"/>
      <c r="R829" s="1075"/>
      <c r="S829" s="1075"/>
      <c r="T829" s="1075"/>
      <c r="U829" s="1075"/>
      <c r="V829" s="1075"/>
      <c r="W829" s="1075"/>
      <c r="X829" s="1075"/>
      <c r="Y829" s="1075"/>
      <c r="Z829" s="1075"/>
      <c r="AA829" s="1075"/>
    </row>
    <row r="830" spans="1:27" ht="12.75" customHeight="1">
      <c r="A830" s="1075"/>
      <c r="B830" s="1075"/>
      <c r="C830" s="1075"/>
      <c r="D830" s="1075"/>
      <c r="E830" s="1075"/>
      <c r="F830" s="1075"/>
      <c r="G830" s="1075"/>
      <c r="H830" s="1075"/>
      <c r="I830" s="1075"/>
      <c r="J830" s="1075"/>
      <c r="K830" s="1075"/>
      <c r="L830" s="1075"/>
      <c r="M830" s="1075"/>
      <c r="N830" s="1075"/>
      <c r="O830" s="1075"/>
      <c r="P830" s="1075"/>
      <c r="Q830" s="1075"/>
      <c r="R830" s="1075"/>
      <c r="S830" s="1075"/>
      <c r="T830" s="1075"/>
      <c r="U830" s="1075"/>
      <c r="V830" s="1075"/>
      <c r="W830" s="1075"/>
      <c r="X830" s="1075"/>
      <c r="Y830" s="1075"/>
      <c r="Z830" s="1075"/>
      <c r="AA830" s="1075"/>
    </row>
    <row r="831" spans="1:27" ht="12.75" customHeight="1">
      <c r="A831" s="1075"/>
      <c r="B831" s="1075"/>
      <c r="C831" s="1075"/>
      <c r="D831" s="1075"/>
      <c r="E831" s="1075"/>
      <c r="F831" s="1075"/>
      <c r="G831" s="1075"/>
      <c r="H831" s="1075"/>
      <c r="I831" s="1075"/>
      <c r="J831" s="1075"/>
      <c r="K831" s="1075"/>
      <c r="L831" s="1075"/>
      <c r="M831" s="1075"/>
      <c r="N831" s="1075"/>
      <c r="O831" s="1075"/>
      <c r="P831" s="1075"/>
      <c r="Q831" s="1075"/>
      <c r="R831" s="1075"/>
      <c r="S831" s="1075"/>
      <c r="T831" s="1075"/>
      <c r="U831" s="1075"/>
      <c r="V831" s="1075"/>
      <c r="W831" s="1075"/>
      <c r="X831" s="1075"/>
      <c r="Y831" s="1075"/>
      <c r="Z831" s="1075"/>
      <c r="AA831" s="1075"/>
    </row>
    <row r="832" spans="1:27" ht="12.75" customHeight="1">
      <c r="A832" s="1075"/>
      <c r="B832" s="1075"/>
      <c r="C832" s="1075"/>
      <c r="D832" s="1075"/>
      <c r="E832" s="1075"/>
      <c r="F832" s="1075"/>
      <c r="G832" s="1075"/>
      <c r="H832" s="1075"/>
      <c r="I832" s="1075"/>
      <c r="J832" s="1075"/>
      <c r="K832" s="1075"/>
      <c r="L832" s="1075"/>
      <c r="M832" s="1075"/>
      <c r="N832" s="1075"/>
      <c r="O832" s="1075"/>
      <c r="P832" s="1075"/>
      <c r="Q832" s="1075"/>
      <c r="R832" s="1075"/>
      <c r="S832" s="1075"/>
      <c r="T832" s="1075"/>
      <c r="U832" s="1075"/>
      <c r="V832" s="1075"/>
      <c r="W832" s="1075"/>
      <c r="X832" s="1075"/>
      <c r="Y832" s="1075"/>
      <c r="Z832" s="1075"/>
      <c r="AA832" s="1075"/>
    </row>
    <row r="833" spans="1:27" ht="12.75" customHeight="1">
      <c r="A833" s="1075"/>
      <c r="B833" s="1075"/>
      <c r="C833" s="1075"/>
      <c r="D833" s="1075"/>
      <c r="E833" s="1075"/>
      <c r="F833" s="1075"/>
      <c r="G833" s="1075"/>
      <c r="H833" s="1075"/>
      <c r="I833" s="1075"/>
      <c r="J833" s="1075"/>
      <c r="K833" s="1075"/>
      <c r="L833" s="1075"/>
      <c r="M833" s="1075"/>
      <c r="N833" s="1075"/>
      <c r="O833" s="1075"/>
      <c r="P833" s="1075"/>
      <c r="Q833" s="1075"/>
      <c r="R833" s="1075"/>
      <c r="S833" s="1075"/>
      <c r="T833" s="1075"/>
      <c r="U833" s="1075"/>
      <c r="V833" s="1075"/>
      <c r="W833" s="1075"/>
      <c r="X833" s="1075"/>
      <c r="Y833" s="1075"/>
      <c r="Z833" s="1075"/>
      <c r="AA833" s="1075"/>
    </row>
    <row r="834" spans="1:27" ht="12.75" customHeight="1">
      <c r="A834" s="1075"/>
      <c r="B834" s="1075"/>
      <c r="C834" s="1075"/>
      <c r="D834" s="1075"/>
      <c r="E834" s="1075"/>
      <c r="F834" s="1075"/>
      <c r="G834" s="1075"/>
      <c r="H834" s="1075"/>
      <c r="I834" s="1075"/>
      <c r="J834" s="1075"/>
      <c r="K834" s="1075"/>
      <c r="L834" s="1075"/>
      <c r="M834" s="1075"/>
      <c r="N834" s="1075"/>
      <c r="O834" s="1075"/>
      <c r="P834" s="1075"/>
      <c r="Q834" s="1075"/>
      <c r="R834" s="1075"/>
      <c r="S834" s="1075"/>
      <c r="T834" s="1075"/>
      <c r="U834" s="1075"/>
      <c r="V834" s="1075"/>
      <c r="W834" s="1075"/>
      <c r="X834" s="1075"/>
      <c r="Y834" s="1075"/>
      <c r="Z834" s="1075"/>
      <c r="AA834" s="1075"/>
    </row>
    <row r="835" spans="1:27" ht="12.75" customHeight="1">
      <c r="A835" s="1075"/>
      <c r="B835" s="1075"/>
      <c r="C835" s="1075"/>
      <c r="D835" s="1075"/>
      <c r="E835" s="1075"/>
      <c r="F835" s="1075"/>
      <c r="G835" s="1075"/>
      <c r="H835" s="1075"/>
      <c r="I835" s="1075"/>
      <c r="J835" s="1075"/>
      <c r="K835" s="1075"/>
      <c r="L835" s="1075"/>
      <c r="M835" s="1075"/>
      <c r="N835" s="1075"/>
      <c r="O835" s="1075"/>
      <c r="P835" s="1075"/>
      <c r="Q835" s="1075"/>
      <c r="R835" s="1075"/>
      <c r="S835" s="1075"/>
      <c r="T835" s="1075"/>
      <c r="U835" s="1075"/>
      <c r="V835" s="1075"/>
      <c r="W835" s="1075"/>
      <c r="X835" s="1075"/>
      <c r="Y835" s="1075"/>
      <c r="Z835" s="1075"/>
      <c r="AA835" s="1075"/>
    </row>
    <row r="836" spans="1:27" ht="12.75" customHeight="1">
      <c r="A836" s="1075"/>
      <c r="B836" s="1075"/>
      <c r="C836" s="1075"/>
      <c r="D836" s="1075"/>
      <c r="E836" s="1075"/>
      <c r="F836" s="1075"/>
      <c r="G836" s="1075"/>
      <c r="H836" s="1075"/>
      <c r="I836" s="1075"/>
      <c r="J836" s="1075"/>
      <c r="K836" s="1075"/>
      <c r="L836" s="1075"/>
      <c r="M836" s="1075"/>
      <c r="N836" s="1075"/>
      <c r="O836" s="1075"/>
      <c r="P836" s="1075"/>
      <c r="Q836" s="1075"/>
      <c r="R836" s="1075"/>
      <c r="S836" s="1075"/>
      <c r="T836" s="1075"/>
      <c r="U836" s="1075"/>
      <c r="V836" s="1075"/>
      <c r="W836" s="1075"/>
      <c r="X836" s="1075"/>
      <c r="Y836" s="1075"/>
      <c r="Z836" s="1075"/>
      <c r="AA836" s="1075"/>
    </row>
    <row r="837" spans="1:27" ht="12.75" customHeight="1">
      <c r="A837" s="1075"/>
      <c r="B837" s="1075"/>
      <c r="C837" s="1075"/>
      <c r="D837" s="1075"/>
      <c r="E837" s="1075"/>
      <c r="F837" s="1075"/>
      <c r="G837" s="1075"/>
      <c r="H837" s="1075"/>
      <c r="I837" s="1075"/>
      <c r="J837" s="1075"/>
      <c r="K837" s="1075"/>
      <c r="L837" s="1075"/>
      <c r="M837" s="1075"/>
      <c r="N837" s="1075"/>
      <c r="O837" s="1075"/>
      <c r="P837" s="1075"/>
      <c r="Q837" s="1075"/>
      <c r="R837" s="1075"/>
      <c r="S837" s="1075"/>
      <c r="T837" s="1075"/>
      <c r="U837" s="1075"/>
      <c r="V837" s="1075"/>
      <c r="W837" s="1075"/>
      <c r="X837" s="1075"/>
      <c r="Y837" s="1075"/>
      <c r="Z837" s="1075"/>
      <c r="AA837" s="1075"/>
    </row>
    <row r="838" spans="1:27" ht="12.75" customHeight="1">
      <c r="A838" s="1075"/>
      <c r="B838" s="1075"/>
      <c r="C838" s="1075"/>
      <c r="D838" s="1075"/>
      <c r="E838" s="1075"/>
      <c r="F838" s="1075"/>
      <c r="G838" s="1075"/>
      <c r="H838" s="1075"/>
      <c r="I838" s="1075"/>
      <c r="J838" s="1075"/>
      <c r="K838" s="1075"/>
      <c r="L838" s="1075"/>
      <c r="M838" s="1075"/>
      <c r="N838" s="1075"/>
      <c r="O838" s="1075"/>
      <c r="P838" s="1075"/>
      <c r="Q838" s="1075"/>
      <c r="R838" s="1075"/>
      <c r="S838" s="1075"/>
      <c r="T838" s="1075"/>
      <c r="U838" s="1075"/>
      <c r="V838" s="1075"/>
      <c r="W838" s="1075"/>
      <c r="X838" s="1075"/>
      <c r="Y838" s="1075"/>
      <c r="Z838" s="1075"/>
      <c r="AA838" s="1075"/>
    </row>
    <row r="839" spans="1:27" ht="12.75" customHeight="1">
      <c r="A839" s="1075"/>
      <c r="B839" s="1075"/>
      <c r="C839" s="1075"/>
      <c r="D839" s="1075"/>
      <c r="E839" s="1075"/>
      <c r="F839" s="1075"/>
      <c r="G839" s="1075"/>
      <c r="H839" s="1075"/>
      <c r="I839" s="1075"/>
      <c r="J839" s="1075"/>
      <c r="K839" s="1075"/>
      <c r="L839" s="1075"/>
      <c r="M839" s="1075"/>
      <c r="N839" s="1075"/>
      <c r="O839" s="1075"/>
      <c r="P839" s="1075"/>
      <c r="Q839" s="1075"/>
      <c r="R839" s="1075"/>
      <c r="S839" s="1075"/>
      <c r="T839" s="1075"/>
      <c r="U839" s="1075"/>
      <c r="V839" s="1075"/>
      <c r="W839" s="1075"/>
      <c r="X839" s="1075"/>
      <c r="Y839" s="1075"/>
      <c r="Z839" s="1075"/>
      <c r="AA839" s="1075"/>
    </row>
    <row r="840" spans="1:27" ht="12.75" customHeight="1">
      <c r="A840" s="1075"/>
      <c r="B840" s="1075"/>
      <c r="C840" s="1075"/>
      <c r="D840" s="1075"/>
      <c r="E840" s="1075"/>
      <c r="F840" s="1075"/>
      <c r="G840" s="1075"/>
      <c r="H840" s="1075"/>
      <c r="I840" s="1075"/>
      <c r="J840" s="1075"/>
      <c r="K840" s="1075"/>
      <c r="L840" s="1075"/>
      <c r="M840" s="1075"/>
      <c r="N840" s="1075"/>
      <c r="O840" s="1075"/>
      <c r="P840" s="1075"/>
      <c r="Q840" s="1075"/>
      <c r="R840" s="1075"/>
      <c r="S840" s="1075"/>
      <c r="T840" s="1075"/>
      <c r="U840" s="1075"/>
      <c r="V840" s="1075"/>
      <c r="W840" s="1075"/>
      <c r="X840" s="1075"/>
      <c r="Y840" s="1075"/>
      <c r="Z840" s="1075"/>
      <c r="AA840" s="1075"/>
    </row>
    <row r="841" spans="1:27" ht="12.75" customHeight="1">
      <c r="A841" s="1075"/>
      <c r="B841" s="1075"/>
      <c r="C841" s="1075"/>
      <c r="D841" s="1075"/>
      <c r="E841" s="1075"/>
      <c r="F841" s="1075"/>
      <c r="G841" s="1075"/>
      <c r="H841" s="1075"/>
      <c r="I841" s="1075"/>
      <c r="J841" s="1075"/>
      <c r="K841" s="1075"/>
      <c r="L841" s="1075"/>
      <c r="M841" s="1075"/>
      <c r="N841" s="1075"/>
      <c r="O841" s="1075"/>
      <c r="P841" s="1075"/>
      <c r="Q841" s="1075"/>
      <c r="R841" s="1075"/>
      <c r="S841" s="1075"/>
      <c r="T841" s="1075"/>
      <c r="U841" s="1075"/>
      <c r="V841" s="1075"/>
      <c r="W841" s="1075"/>
      <c r="X841" s="1075"/>
      <c r="Y841" s="1075"/>
      <c r="Z841" s="1075"/>
      <c r="AA841" s="1075"/>
    </row>
    <row r="842" spans="1:27" ht="12.75" customHeight="1">
      <c r="A842" s="1075"/>
      <c r="B842" s="1075"/>
      <c r="C842" s="1075"/>
      <c r="D842" s="1075"/>
      <c r="E842" s="1075"/>
      <c r="F842" s="1075"/>
      <c r="G842" s="1075"/>
      <c r="H842" s="1075"/>
      <c r="I842" s="1075"/>
      <c r="J842" s="1075"/>
      <c r="K842" s="1075"/>
      <c r="L842" s="1075"/>
      <c r="M842" s="1075"/>
      <c r="N842" s="1075"/>
      <c r="O842" s="1075"/>
      <c r="P842" s="1075"/>
      <c r="Q842" s="1075"/>
      <c r="R842" s="1075"/>
      <c r="S842" s="1075"/>
      <c r="T842" s="1075"/>
      <c r="U842" s="1075"/>
      <c r="V842" s="1075"/>
      <c r="W842" s="1075"/>
      <c r="X842" s="1075"/>
      <c r="Y842" s="1075"/>
      <c r="Z842" s="1075"/>
      <c r="AA842" s="1075"/>
    </row>
    <row r="843" spans="1:27" ht="12.75" customHeight="1">
      <c r="A843" s="1075"/>
      <c r="B843" s="1075"/>
      <c r="C843" s="1075"/>
      <c r="D843" s="1075"/>
      <c r="E843" s="1075"/>
      <c r="F843" s="1075"/>
      <c r="G843" s="1075"/>
      <c r="H843" s="1075"/>
      <c r="I843" s="1075"/>
      <c r="J843" s="1075"/>
      <c r="K843" s="1075"/>
      <c r="L843" s="1075"/>
      <c r="M843" s="1075"/>
      <c r="N843" s="1075"/>
      <c r="O843" s="1075"/>
      <c r="P843" s="1075"/>
      <c r="Q843" s="1075"/>
      <c r="R843" s="1075"/>
      <c r="S843" s="1075"/>
      <c r="T843" s="1075"/>
      <c r="U843" s="1075"/>
      <c r="V843" s="1075"/>
      <c r="W843" s="1075"/>
      <c r="X843" s="1075"/>
      <c r="Y843" s="1075"/>
      <c r="Z843" s="1075"/>
      <c r="AA843" s="1075"/>
    </row>
    <row r="844" spans="1:27" ht="12.75" customHeight="1">
      <c r="A844" s="1075"/>
      <c r="B844" s="1075"/>
      <c r="C844" s="1075"/>
      <c r="D844" s="1075"/>
      <c r="E844" s="1075"/>
      <c r="F844" s="1075"/>
      <c r="G844" s="1075"/>
      <c r="H844" s="1075"/>
      <c r="I844" s="1075"/>
      <c r="J844" s="1075"/>
      <c r="K844" s="1075"/>
      <c r="L844" s="1075"/>
      <c r="M844" s="1075"/>
      <c r="N844" s="1075"/>
      <c r="O844" s="1075"/>
      <c r="P844" s="1075"/>
      <c r="Q844" s="1075"/>
      <c r="R844" s="1075"/>
      <c r="S844" s="1075"/>
      <c r="T844" s="1075"/>
      <c r="U844" s="1075"/>
      <c r="V844" s="1075"/>
      <c r="W844" s="1075"/>
      <c r="X844" s="1075"/>
      <c r="Y844" s="1075"/>
      <c r="Z844" s="1075"/>
      <c r="AA844" s="1075"/>
    </row>
    <row r="845" spans="1:27" ht="12.75" customHeight="1">
      <c r="A845" s="1075"/>
      <c r="B845" s="1075"/>
      <c r="C845" s="1075"/>
      <c r="D845" s="1075"/>
      <c r="E845" s="1075"/>
      <c r="F845" s="1075"/>
      <c r="G845" s="1075"/>
      <c r="H845" s="1075"/>
      <c r="I845" s="1075"/>
      <c r="J845" s="1075"/>
      <c r="K845" s="1075"/>
      <c r="L845" s="1075"/>
      <c r="M845" s="1075"/>
      <c r="N845" s="1075"/>
      <c r="O845" s="1075"/>
      <c r="P845" s="1075"/>
      <c r="Q845" s="1075"/>
      <c r="R845" s="1075"/>
      <c r="S845" s="1075"/>
      <c r="T845" s="1075"/>
      <c r="U845" s="1075"/>
      <c r="V845" s="1075"/>
      <c r="W845" s="1075"/>
      <c r="X845" s="1075"/>
      <c r="Y845" s="1075"/>
      <c r="Z845" s="1075"/>
      <c r="AA845" s="1075"/>
    </row>
    <row r="846" spans="1:27" ht="12.75" customHeight="1">
      <c r="A846" s="1075"/>
      <c r="B846" s="1075"/>
      <c r="C846" s="1075"/>
      <c r="D846" s="1075"/>
      <c r="E846" s="1075"/>
      <c r="F846" s="1075"/>
      <c r="G846" s="1075"/>
      <c r="H846" s="1075"/>
      <c r="I846" s="1075"/>
      <c r="J846" s="1075"/>
      <c r="K846" s="1075"/>
      <c r="L846" s="1075"/>
      <c r="M846" s="1075"/>
      <c r="N846" s="1075"/>
      <c r="O846" s="1075"/>
      <c r="P846" s="1075"/>
      <c r="Q846" s="1075"/>
      <c r="R846" s="1075"/>
      <c r="S846" s="1075"/>
      <c r="T846" s="1075"/>
      <c r="U846" s="1075"/>
      <c r="V846" s="1075"/>
      <c r="W846" s="1075"/>
      <c r="X846" s="1075"/>
      <c r="Y846" s="1075"/>
      <c r="Z846" s="1075"/>
      <c r="AA846" s="1075"/>
    </row>
    <row r="847" spans="1:27" ht="12.75" customHeight="1">
      <c r="A847" s="1075"/>
      <c r="B847" s="1075"/>
      <c r="C847" s="1075"/>
      <c r="D847" s="1075"/>
      <c r="E847" s="1075"/>
      <c r="F847" s="1075"/>
      <c r="G847" s="1075"/>
      <c r="H847" s="1075"/>
      <c r="I847" s="1075"/>
      <c r="J847" s="1075"/>
      <c r="K847" s="1075"/>
      <c r="L847" s="1075"/>
      <c r="M847" s="1075"/>
      <c r="N847" s="1075"/>
      <c r="O847" s="1075"/>
      <c r="P847" s="1075"/>
      <c r="Q847" s="1075"/>
      <c r="R847" s="1075"/>
      <c r="S847" s="1075"/>
      <c r="T847" s="1075"/>
      <c r="U847" s="1075"/>
      <c r="V847" s="1075"/>
      <c r="W847" s="1075"/>
      <c r="X847" s="1075"/>
      <c r="Y847" s="1075"/>
      <c r="Z847" s="1075"/>
      <c r="AA847" s="1075"/>
    </row>
    <row r="848" spans="1:27" ht="12.75" customHeight="1">
      <c r="A848" s="1075"/>
      <c r="B848" s="1075"/>
      <c r="C848" s="1075"/>
      <c r="D848" s="1075"/>
      <c r="E848" s="1075"/>
      <c r="F848" s="1075"/>
      <c r="G848" s="1075"/>
      <c r="H848" s="1075"/>
      <c r="I848" s="1075"/>
      <c r="J848" s="1075"/>
      <c r="K848" s="1075"/>
      <c r="L848" s="1075"/>
      <c r="M848" s="1075"/>
      <c r="N848" s="1075"/>
      <c r="O848" s="1075"/>
      <c r="P848" s="1075"/>
      <c r="Q848" s="1075"/>
      <c r="R848" s="1075"/>
      <c r="S848" s="1075"/>
      <c r="T848" s="1075"/>
      <c r="U848" s="1075"/>
      <c r="V848" s="1075"/>
      <c r="W848" s="1075"/>
      <c r="X848" s="1075"/>
      <c r="Y848" s="1075"/>
      <c r="Z848" s="1075"/>
      <c r="AA848" s="1075"/>
    </row>
    <row r="849" spans="1:27" ht="12.75" customHeight="1">
      <c r="A849" s="1075"/>
      <c r="B849" s="1075"/>
      <c r="C849" s="1075"/>
      <c r="D849" s="1075"/>
      <c r="E849" s="1075"/>
      <c r="F849" s="1075"/>
      <c r="G849" s="1075"/>
      <c r="H849" s="1075"/>
      <c r="I849" s="1075"/>
      <c r="J849" s="1075"/>
      <c r="K849" s="1075"/>
      <c r="L849" s="1075"/>
      <c r="M849" s="1075"/>
      <c r="N849" s="1075"/>
      <c r="O849" s="1075"/>
      <c r="P849" s="1075"/>
      <c r="Q849" s="1075"/>
      <c r="R849" s="1075"/>
      <c r="S849" s="1075"/>
      <c r="T849" s="1075"/>
      <c r="U849" s="1075"/>
      <c r="V849" s="1075"/>
      <c r="W849" s="1075"/>
      <c r="X849" s="1075"/>
      <c r="Y849" s="1075"/>
      <c r="Z849" s="1075"/>
      <c r="AA849" s="1075"/>
    </row>
    <row r="850" spans="1:27" ht="12.75" customHeight="1">
      <c r="A850" s="1075"/>
      <c r="B850" s="1075"/>
      <c r="C850" s="1075"/>
      <c r="D850" s="1075"/>
      <c r="E850" s="1075"/>
      <c r="F850" s="1075"/>
      <c r="G850" s="1075"/>
      <c r="H850" s="1075"/>
      <c r="I850" s="1075"/>
      <c r="J850" s="1075"/>
      <c r="K850" s="1075"/>
      <c r="L850" s="1075"/>
      <c r="M850" s="1075"/>
      <c r="N850" s="1075"/>
      <c r="O850" s="1075"/>
      <c r="P850" s="1075"/>
      <c r="Q850" s="1075"/>
      <c r="R850" s="1075"/>
      <c r="S850" s="1075"/>
      <c r="T850" s="1075"/>
      <c r="U850" s="1075"/>
      <c r="V850" s="1075"/>
      <c r="W850" s="1075"/>
      <c r="X850" s="1075"/>
      <c r="Y850" s="1075"/>
      <c r="Z850" s="1075"/>
      <c r="AA850" s="1075"/>
    </row>
    <row r="851" spans="1:27" ht="12.75" customHeight="1">
      <c r="A851" s="1075"/>
      <c r="B851" s="1075"/>
      <c r="C851" s="1075"/>
      <c r="D851" s="1075"/>
      <c r="E851" s="1075"/>
      <c r="F851" s="1075"/>
      <c r="G851" s="1075"/>
      <c r="H851" s="1075"/>
      <c r="I851" s="1075"/>
      <c r="J851" s="1075"/>
      <c r="K851" s="1075"/>
      <c r="L851" s="1075"/>
      <c r="M851" s="1075"/>
      <c r="N851" s="1075"/>
      <c r="O851" s="1075"/>
      <c r="P851" s="1075"/>
      <c r="Q851" s="1075"/>
      <c r="R851" s="1075"/>
      <c r="S851" s="1075"/>
      <c r="T851" s="1075"/>
      <c r="U851" s="1075"/>
      <c r="V851" s="1075"/>
      <c r="W851" s="1075"/>
      <c r="X851" s="1075"/>
      <c r="Y851" s="1075"/>
      <c r="Z851" s="1075"/>
      <c r="AA851" s="1075"/>
    </row>
    <row r="852" spans="1:27" ht="12.75" customHeight="1">
      <c r="A852" s="1075"/>
      <c r="B852" s="1075"/>
      <c r="C852" s="1075"/>
      <c r="D852" s="1075"/>
      <c r="E852" s="1075"/>
      <c r="F852" s="1075"/>
      <c r="G852" s="1075"/>
      <c r="H852" s="1075"/>
      <c r="I852" s="1075"/>
      <c r="J852" s="1075"/>
      <c r="K852" s="1075"/>
      <c r="L852" s="1075"/>
      <c r="M852" s="1075"/>
      <c r="N852" s="1075"/>
      <c r="O852" s="1075"/>
      <c r="P852" s="1075"/>
      <c r="Q852" s="1075"/>
      <c r="R852" s="1075"/>
      <c r="S852" s="1075"/>
      <c r="T852" s="1075"/>
      <c r="U852" s="1075"/>
      <c r="V852" s="1075"/>
      <c r="W852" s="1075"/>
      <c r="X852" s="1075"/>
      <c r="Y852" s="1075"/>
      <c r="Z852" s="1075"/>
      <c r="AA852" s="1075"/>
    </row>
    <row r="853" spans="1:27" ht="12.75" customHeight="1">
      <c r="A853" s="1075"/>
      <c r="B853" s="1075"/>
      <c r="C853" s="1075"/>
      <c r="D853" s="1075"/>
      <c r="E853" s="1075"/>
      <c r="F853" s="1075"/>
      <c r="G853" s="1075"/>
      <c r="H853" s="1075"/>
      <c r="I853" s="1075"/>
      <c r="J853" s="1075"/>
      <c r="K853" s="1075"/>
      <c r="L853" s="1075"/>
      <c r="M853" s="1075"/>
      <c r="N853" s="1075"/>
      <c r="O853" s="1075"/>
      <c r="P853" s="1075"/>
      <c r="Q853" s="1075"/>
      <c r="R853" s="1075"/>
      <c r="S853" s="1075"/>
      <c r="T853" s="1075"/>
      <c r="U853" s="1075"/>
      <c r="V853" s="1075"/>
      <c r="W853" s="1075"/>
      <c r="X853" s="1075"/>
      <c r="Y853" s="1075"/>
      <c r="Z853" s="1075"/>
      <c r="AA853" s="1075"/>
    </row>
    <row r="854" spans="1:27" ht="12.75" customHeight="1">
      <c r="A854" s="1075"/>
      <c r="B854" s="1075"/>
      <c r="C854" s="1075"/>
      <c r="D854" s="1075"/>
      <c r="E854" s="1075"/>
      <c r="F854" s="1075"/>
      <c r="G854" s="1075"/>
      <c r="H854" s="1075"/>
      <c r="I854" s="1075"/>
      <c r="J854" s="1075"/>
      <c r="K854" s="1075"/>
      <c r="L854" s="1075"/>
      <c r="M854" s="1075"/>
      <c r="N854" s="1075"/>
      <c r="O854" s="1075"/>
      <c r="P854" s="1075"/>
      <c r="Q854" s="1075"/>
      <c r="R854" s="1075"/>
      <c r="S854" s="1075"/>
      <c r="T854" s="1075"/>
      <c r="U854" s="1075"/>
      <c r="V854" s="1075"/>
      <c r="W854" s="1075"/>
      <c r="X854" s="1075"/>
      <c r="Y854" s="1075"/>
      <c r="Z854" s="1075"/>
      <c r="AA854" s="1075"/>
    </row>
    <row r="855" spans="1:27" ht="12.75" customHeight="1">
      <c r="A855" s="1075"/>
      <c r="B855" s="1075"/>
      <c r="C855" s="1075"/>
      <c r="D855" s="1075"/>
      <c r="E855" s="1075"/>
      <c r="F855" s="1075"/>
      <c r="G855" s="1075"/>
      <c r="H855" s="1075"/>
      <c r="I855" s="1075"/>
      <c r="J855" s="1075"/>
      <c r="K855" s="1075"/>
      <c r="L855" s="1075"/>
      <c r="M855" s="1075"/>
      <c r="N855" s="1075"/>
      <c r="O855" s="1075"/>
      <c r="P855" s="1075"/>
      <c r="Q855" s="1075"/>
      <c r="R855" s="1075"/>
      <c r="S855" s="1075"/>
      <c r="T855" s="1075"/>
      <c r="U855" s="1075"/>
      <c r="V855" s="1075"/>
      <c r="W855" s="1075"/>
      <c r="X855" s="1075"/>
      <c r="Y855" s="1075"/>
      <c r="Z855" s="1075"/>
      <c r="AA855" s="1075"/>
    </row>
    <row r="856" spans="1:27" ht="12.75" customHeight="1">
      <c r="A856" s="1075"/>
      <c r="B856" s="1075"/>
      <c r="C856" s="1075"/>
      <c r="D856" s="1075"/>
      <c r="E856" s="1075"/>
      <c r="F856" s="1075"/>
      <c r="G856" s="1075"/>
      <c r="H856" s="1075"/>
      <c r="I856" s="1075"/>
      <c r="J856" s="1075"/>
      <c r="K856" s="1075"/>
      <c r="L856" s="1075"/>
      <c r="M856" s="1075"/>
      <c r="N856" s="1075"/>
      <c r="O856" s="1075"/>
      <c r="P856" s="1075"/>
      <c r="Q856" s="1075"/>
      <c r="R856" s="1075"/>
      <c r="S856" s="1075"/>
      <c r="T856" s="1075"/>
      <c r="U856" s="1075"/>
      <c r="V856" s="1075"/>
      <c r="W856" s="1075"/>
      <c r="X856" s="1075"/>
      <c r="Y856" s="1075"/>
      <c r="Z856" s="1075"/>
      <c r="AA856" s="1075"/>
    </row>
    <row r="857" spans="1:27" ht="12.75" customHeight="1">
      <c r="A857" s="1075"/>
      <c r="B857" s="1075"/>
      <c r="C857" s="1075"/>
      <c r="D857" s="1075"/>
      <c r="E857" s="1075"/>
      <c r="F857" s="1075"/>
      <c r="G857" s="1075"/>
      <c r="H857" s="1075"/>
      <c r="I857" s="1075"/>
      <c r="J857" s="1075"/>
      <c r="K857" s="1075"/>
      <c r="L857" s="1075"/>
      <c r="M857" s="1075"/>
      <c r="N857" s="1075"/>
      <c r="O857" s="1075"/>
      <c r="P857" s="1075"/>
      <c r="Q857" s="1075"/>
      <c r="R857" s="1075"/>
      <c r="S857" s="1075"/>
      <c r="T857" s="1075"/>
      <c r="U857" s="1075"/>
      <c r="V857" s="1075"/>
      <c r="W857" s="1075"/>
      <c r="X857" s="1075"/>
      <c r="Y857" s="1075"/>
      <c r="Z857" s="1075"/>
      <c r="AA857" s="1075"/>
    </row>
    <row r="858" spans="1:27" ht="12.75" customHeight="1">
      <c r="A858" s="1075"/>
      <c r="B858" s="1075"/>
      <c r="C858" s="1075"/>
      <c r="D858" s="1075"/>
      <c r="E858" s="1075"/>
      <c r="F858" s="1075"/>
      <c r="G858" s="1075"/>
      <c r="H858" s="1075"/>
      <c r="I858" s="1075"/>
      <c r="J858" s="1075"/>
      <c r="K858" s="1075"/>
      <c r="L858" s="1075"/>
      <c r="M858" s="1075"/>
      <c r="N858" s="1075"/>
      <c r="O858" s="1075"/>
      <c r="P858" s="1075"/>
      <c r="Q858" s="1075"/>
      <c r="R858" s="1075"/>
      <c r="S858" s="1075"/>
      <c r="T858" s="1075"/>
      <c r="U858" s="1075"/>
      <c r="V858" s="1075"/>
      <c r="W858" s="1075"/>
      <c r="X858" s="1075"/>
      <c r="Y858" s="1075"/>
      <c r="Z858" s="1075"/>
      <c r="AA858" s="1075"/>
    </row>
    <row r="859" spans="1:27" ht="12.75" customHeight="1">
      <c r="A859" s="1075"/>
      <c r="B859" s="1075"/>
      <c r="C859" s="1075"/>
      <c r="D859" s="1075"/>
      <c r="E859" s="1075"/>
      <c r="F859" s="1075"/>
      <c r="G859" s="1075"/>
      <c r="H859" s="1075"/>
      <c r="I859" s="1075"/>
      <c r="J859" s="1075"/>
      <c r="K859" s="1075"/>
      <c r="L859" s="1075"/>
      <c r="M859" s="1075"/>
      <c r="N859" s="1075"/>
      <c r="O859" s="1075"/>
      <c r="P859" s="1075"/>
      <c r="Q859" s="1075"/>
      <c r="R859" s="1075"/>
      <c r="S859" s="1075"/>
      <c r="T859" s="1075"/>
      <c r="U859" s="1075"/>
      <c r="V859" s="1075"/>
      <c r="W859" s="1075"/>
      <c r="X859" s="1075"/>
      <c r="Y859" s="1075"/>
      <c r="Z859" s="1075"/>
      <c r="AA859" s="1075"/>
    </row>
    <row r="860" spans="1:27" ht="12.75" customHeight="1">
      <c r="A860" s="1075"/>
      <c r="B860" s="1075"/>
      <c r="C860" s="1075"/>
      <c r="D860" s="1075"/>
      <c r="E860" s="1075"/>
      <c r="F860" s="1075"/>
      <c r="G860" s="1075"/>
      <c r="H860" s="1075"/>
      <c r="I860" s="1075"/>
      <c r="J860" s="1075"/>
      <c r="K860" s="1075"/>
      <c r="L860" s="1075"/>
      <c r="M860" s="1075"/>
      <c r="N860" s="1075"/>
      <c r="O860" s="1075"/>
      <c r="P860" s="1075"/>
      <c r="Q860" s="1075"/>
      <c r="R860" s="1075"/>
      <c r="S860" s="1075"/>
      <c r="T860" s="1075"/>
      <c r="U860" s="1075"/>
      <c r="V860" s="1075"/>
      <c r="W860" s="1075"/>
      <c r="X860" s="1075"/>
      <c r="Y860" s="1075"/>
      <c r="Z860" s="1075"/>
      <c r="AA860" s="1075"/>
    </row>
    <row r="861" spans="1:27" ht="12.75" customHeight="1">
      <c r="A861" s="1075"/>
      <c r="B861" s="1075"/>
      <c r="C861" s="1075"/>
      <c r="D861" s="1075"/>
      <c r="E861" s="1075"/>
      <c r="F861" s="1075"/>
      <c r="G861" s="1075"/>
      <c r="H861" s="1075"/>
      <c r="I861" s="1075"/>
      <c r="J861" s="1075"/>
      <c r="K861" s="1075"/>
      <c r="L861" s="1075"/>
      <c r="M861" s="1075"/>
      <c r="N861" s="1075"/>
      <c r="O861" s="1075"/>
      <c r="P861" s="1075"/>
      <c r="Q861" s="1075"/>
      <c r="R861" s="1075"/>
      <c r="S861" s="1075"/>
      <c r="T861" s="1075"/>
      <c r="U861" s="1075"/>
      <c r="V861" s="1075"/>
      <c r="W861" s="1075"/>
      <c r="X861" s="1075"/>
      <c r="Y861" s="1075"/>
      <c r="Z861" s="1075"/>
      <c r="AA861" s="1075"/>
    </row>
    <row r="862" spans="1:27" ht="12.75" customHeight="1">
      <c r="A862" s="1075"/>
      <c r="B862" s="1075"/>
      <c r="C862" s="1075"/>
      <c r="D862" s="1075"/>
      <c r="E862" s="1075"/>
      <c r="F862" s="1075"/>
      <c r="G862" s="1075"/>
      <c r="H862" s="1075"/>
      <c r="I862" s="1075"/>
      <c r="J862" s="1075"/>
      <c r="K862" s="1075"/>
      <c r="L862" s="1075"/>
      <c r="M862" s="1075"/>
      <c r="N862" s="1075"/>
      <c r="O862" s="1075"/>
      <c r="P862" s="1075"/>
      <c r="Q862" s="1075"/>
      <c r="R862" s="1075"/>
      <c r="S862" s="1075"/>
      <c r="T862" s="1075"/>
      <c r="U862" s="1075"/>
      <c r="V862" s="1075"/>
      <c r="W862" s="1075"/>
      <c r="X862" s="1075"/>
      <c r="Y862" s="1075"/>
      <c r="Z862" s="1075"/>
      <c r="AA862" s="1075"/>
    </row>
    <row r="863" spans="1:27" ht="12.75" customHeight="1">
      <c r="A863" s="1075"/>
      <c r="B863" s="1075"/>
      <c r="C863" s="1075"/>
      <c r="D863" s="1075"/>
      <c r="E863" s="1075"/>
      <c r="F863" s="1075"/>
      <c r="G863" s="1075"/>
      <c r="H863" s="1075"/>
      <c r="I863" s="1075"/>
      <c r="J863" s="1075"/>
      <c r="K863" s="1075"/>
      <c r="L863" s="1075"/>
      <c r="M863" s="1075"/>
      <c r="N863" s="1075"/>
      <c r="O863" s="1075"/>
      <c r="P863" s="1075"/>
      <c r="Q863" s="1075"/>
      <c r="R863" s="1075"/>
      <c r="S863" s="1075"/>
      <c r="T863" s="1075"/>
      <c r="U863" s="1075"/>
      <c r="V863" s="1075"/>
      <c r="W863" s="1075"/>
      <c r="X863" s="1075"/>
      <c r="Y863" s="1075"/>
      <c r="Z863" s="1075"/>
      <c r="AA863" s="1075"/>
    </row>
    <row r="864" spans="1:27" ht="12.75" customHeight="1">
      <c r="A864" s="1075"/>
      <c r="B864" s="1075"/>
      <c r="C864" s="1075"/>
      <c r="D864" s="1075"/>
      <c r="E864" s="1075"/>
      <c r="F864" s="1075"/>
      <c r="G864" s="1075"/>
      <c r="H864" s="1075"/>
      <c r="I864" s="1075"/>
      <c r="J864" s="1075"/>
      <c r="K864" s="1075"/>
      <c r="L864" s="1075"/>
      <c r="M864" s="1075"/>
      <c r="N864" s="1075"/>
      <c r="O864" s="1075"/>
      <c r="P864" s="1075"/>
      <c r="Q864" s="1075"/>
      <c r="R864" s="1075"/>
      <c r="S864" s="1075"/>
      <c r="T864" s="1075"/>
      <c r="U864" s="1075"/>
      <c r="V864" s="1075"/>
      <c r="W864" s="1075"/>
      <c r="X864" s="1075"/>
      <c r="Y864" s="1075"/>
      <c r="Z864" s="1075"/>
      <c r="AA864" s="1075"/>
    </row>
    <row r="865" spans="1:27" ht="12.75" customHeight="1">
      <c r="A865" s="1075"/>
      <c r="B865" s="1075"/>
      <c r="C865" s="1075"/>
      <c r="D865" s="1075"/>
      <c r="E865" s="1075"/>
      <c r="F865" s="1075"/>
      <c r="G865" s="1075"/>
      <c r="H865" s="1075"/>
      <c r="I865" s="1075"/>
      <c r="J865" s="1075"/>
      <c r="K865" s="1075"/>
      <c r="L865" s="1075"/>
      <c r="M865" s="1075"/>
      <c r="N865" s="1075"/>
      <c r="O865" s="1075"/>
      <c r="P865" s="1075"/>
      <c r="Q865" s="1075"/>
      <c r="R865" s="1075"/>
      <c r="S865" s="1075"/>
      <c r="T865" s="1075"/>
      <c r="U865" s="1075"/>
      <c r="V865" s="1075"/>
      <c r="W865" s="1075"/>
      <c r="X865" s="1075"/>
      <c r="Y865" s="1075"/>
      <c r="Z865" s="1075"/>
      <c r="AA865" s="1075"/>
    </row>
    <row r="866" spans="1:27" ht="12.75" customHeight="1">
      <c r="A866" s="1075"/>
      <c r="B866" s="1075"/>
      <c r="C866" s="1075"/>
      <c r="D866" s="1075"/>
      <c r="E866" s="1075"/>
      <c r="F866" s="1075"/>
      <c r="G866" s="1075"/>
      <c r="H866" s="1075"/>
      <c r="I866" s="1075"/>
      <c r="J866" s="1075"/>
      <c r="K866" s="1075"/>
      <c r="L866" s="1075"/>
      <c r="M866" s="1075"/>
      <c r="N866" s="1075"/>
      <c r="O866" s="1075"/>
      <c r="P866" s="1075"/>
      <c r="Q866" s="1075"/>
      <c r="R866" s="1075"/>
      <c r="S866" s="1075"/>
      <c r="T866" s="1075"/>
      <c r="U866" s="1075"/>
      <c r="V866" s="1075"/>
      <c r="W866" s="1075"/>
      <c r="X866" s="1075"/>
      <c r="Y866" s="1075"/>
      <c r="Z866" s="1075"/>
      <c r="AA866" s="1075"/>
    </row>
    <row r="867" spans="1:27" ht="12.75" customHeight="1">
      <c r="A867" s="1075"/>
      <c r="B867" s="1075"/>
      <c r="C867" s="1075"/>
      <c r="D867" s="1075"/>
      <c r="E867" s="1075"/>
      <c r="F867" s="1075"/>
      <c r="G867" s="1075"/>
      <c r="H867" s="1075"/>
      <c r="I867" s="1075"/>
      <c r="J867" s="1075"/>
      <c r="K867" s="1075"/>
      <c r="L867" s="1075"/>
      <c r="M867" s="1075"/>
      <c r="N867" s="1075"/>
      <c r="O867" s="1075"/>
      <c r="P867" s="1075"/>
      <c r="Q867" s="1075"/>
      <c r="R867" s="1075"/>
      <c r="S867" s="1075"/>
      <c r="T867" s="1075"/>
      <c r="U867" s="1075"/>
      <c r="V867" s="1075"/>
      <c r="W867" s="1075"/>
      <c r="X867" s="1075"/>
      <c r="Y867" s="1075"/>
      <c r="Z867" s="1075"/>
      <c r="AA867" s="1075"/>
    </row>
    <row r="868" spans="1:27" ht="12.75" customHeight="1">
      <c r="A868" s="1075"/>
      <c r="B868" s="1075"/>
      <c r="C868" s="1075"/>
      <c r="D868" s="1075"/>
      <c r="E868" s="1075"/>
      <c r="F868" s="1075"/>
      <c r="G868" s="1075"/>
      <c r="H868" s="1075"/>
      <c r="I868" s="1075"/>
      <c r="J868" s="1075"/>
      <c r="K868" s="1075"/>
      <c r="L868" s="1075"/>
      <c r="M868" s="1075"/>
      <c r="N868" s="1075"/>
      <c r="O868" s="1075"/>
      <c r="P868" s="1075"/>
      <c r="Q868" s="1075"/>
      <c r="R868" s="1075"/>
      <c r="S868" s="1075"/>
      <c r="T868" s="1075"/>
      <c r="U868" s="1075"/>
      <c r="V868" s="1075"/>
      <c r="W868" s="1075"/>
      <c r="X868" s="1075"/>
      <c r="Y868" s="1075"/>
      <c r="Z868" s="1075"/>
      <c r="AA868" s="1075"/>
    </row>
    <row r="869" spans="1:27" ht="12.75" customHeight="1">
      <c r="A869" s="1075"/>
      <c r="B869" s="1075"/>
      <c r="C869" s="1075"/>
      <c r="D869" s="1075"/>
      <c r="E869" s="1075"/>
      <c r="F869" s="1075"/>
      <c r="G869" s="1075"/>
      <c r="H869" s="1075"/>
      <c r="I869" s="1075"/>
      <c r="J869" s="1075"/>
      <c r="K869" s="1075"/>
      <c r="L869" s="1075"/>
      <c r="M869" s="1075"/>
      <c r="N869" s="1075"/>
      <c r="O869" s="1075"/>
      <c r="P869" s="1075"/>
      <c r="Q869" s="1075"/>
      <c r="R869" s="1075"/>
      <c r="S869" s="1075"/>
      <c r="T869" s="1075"/>
      <c r="U869" s="1075"/>
      <c r="V869" s="1075"/>
      <c r="W869" s="1075"/>
      <c r="X869" s="1075"/>
      <c r="Y869" s="1075"/>
      <c r="Z869" s="1075"/>
      <c r="AA869" s="1075"/>
    </row>
    <row r="870" spans="1:27" ht="12.75" customHeight="1">
      <c r="A870" s="1075"/>
      <c r="B870" s="1075"/>
      <c r="C870" s="1075"/>
      <c r="D870" s="1075"/>
      <c r="E870" s="1075"/>
      <c r="F870" s="1075"/>
      <c r="G870" s="1075"/>
      <c r="H870" s="1075"/>
      <c r="I870" s="1075"/>
      <c r="J870" s="1075"/>
      <c r="K870" s="1075"/>
      <c r="L870" s="1075"/>
      <c r="M870" s="1075"/>
      <c r="N870" s="1075"/>
      <c r="O870" s="1075"/>
      <c r="P870" s="1075"/>
      <c r="Q870" s="1075"/>
      <c r="R870" s="1075"/>
      <c r="S870" s="1075"/>
      <c r="T870" s="1075"/>
      <c r="U870" s="1075"/>
      <c r="V870" s="1075"/>
      <c r="W870" s="1075"/>
      <c r="X870" s="1075"/>
      <c r="Y870" s="1075"/>
      <c r="Z870" s="1075"/>
      <c r="AA870" s="1075"/>
    </row>
    <row r="871" spans="1:27" ht="12.75" customHeight="1">
      <c r="A871" s="1075"/>
      <c r="B871" s="1075"/>
      <c r="C871" s="1075"/>
      <c r="D871" s="1075"/>
      <c r="E871" s="1075"/>
      <c r="F871" s="1075"/>
      <c r="G871" s="1075"/>
      <c r="H871" s="1075"/>
      <c r="I871" s="1075"/>
      <c r="J871" s="1075"/>
      <c r="K871" s="1075"/>
      <c r="L871" s="1075"/>
      <c r="M871" s="1075"/>
      <c r="N871" s="1075"/>
      <c r="O871" s="1075"/>
      <c r="P871" s="1075"/>
      <c r="Q871" s="1075"/>
      <c r="R871" s="1075"/>
      <c r="S871" s="1075"/>
      <c r="T871" s="1075"/>
      <c r="U871" s="1075"/>
      <c r="V871" s="1075"/>
      <c r="W871" s="1075"/>
      <c r="X871" s="1075"/>
      <c r="Y871" s="1075"/>
      <c r="Z871" s="1075"/>
      <c r="AA871" s="1075"/>
    </row>
    <row r="872" spans="1:27" ht="12.75" customHeight="1">
      <c r="A872" s="1075"/>
      <c r="B872" s="1075"/>
      <c r="C872" s="1075"/>
      <c r="D872" s="1075"/>
      <c r="E872" s="1075"/>
      <c r="F872" s="1075"/>
      <c r="G872" s="1075"/>
      <c r="H872" s="1075"/>
      <c r="I872" s="1075"/>
      <c r="J872" s="1075"/>
      <c r="K872" s="1075"/>
      <c r="L872" s="1075"/>
      <c r="M872" s="1075"/>
      <c r="N872" s="1075"/>
      <c r="O872" s="1075"/>
      <c r="P872" s="1075"/>
      <c r="Q872" s="1075"/>
      <c r="R872" s="1075"/>
      <c r="S872" s="1075"/>
      <c r="T872" s="1075"/>
      <c r="U872" s="1075"/>
      <c r="V872" s="1075"/>
      <c r="W872" s="1075"/>
      <c r="X872" s="1075"/>
      <c r="Y872" s="1075"/>
      <c r="Z872" s="1075"/>
      <c r="AA872" s="1075"/>
    </row>
    <row r="873" spans="1:27" ht="12.75" customHeight="1">
      <c r="A873" s="1075"/>
      <c r="B873" s="1075"/>
      <c r="C873" s="1075"/>
      <c r="D873" s="1075"/>
      <c r="E873" s="1075"/>
      <c r="F873" s="1075"/>
      <c r="G873" s="1075"/>
      <c r="H873" s="1075"/>
      <c r="I873" s="1075"/>
      <c r="J873" s="1075"/>
      <c r="K873" s="1075"/>
      <c r="L873" s="1075"/>
      <c r="M873" s="1075"/>
      <c r="N873" s="1075"/>
      <c r="O873" s="1075"/>
      <c r="P873" s="1075"/>
      <c r="Q873" s="1075"/>
      <c r="R873" s="1075"/>
      <c r="S873" s="1075"/>
      <c r="T873" s="1075"/>
      <c r="U873" s="1075"/>
      <c r="V873" s="1075"/>
      <c r="W873" s="1075"/>
      <c r="X873" s="1075"/>
      <c r="Y873" s="1075"/>
      <c r="Z873" s="1075"/>
      <c r="AA873" s="1075"/>
    </row>
    <row r="874" spans="1:27" ht="12.75" customHeight="1">
      <c r="A874" s="1075"/>
      <c r="B874" s="1075"/>
      <c r="C874" s="1075"/>
      <c r="D874" s="1075"/>
      <c r="E874" s="1075"/>
      <c r="F874" s="1075"/>
      <c r="G874" s="1075"/>
      <c r="H874" s="1075"/>
      <c r="I874" s="1075"/>
      <c r="J874" s="1075"/>
      <c r="K874" s="1075"/>
      <c r="L874" s="1075"/>
      <c r="M874" s="1075"/>
      <c r="N874" s="1075"/>
      <c r="O874" s="1075"/>
      <c r="P874" s="1075"/>
      <c r="Q874" s="1075"/>
      <c r="R874" s="1075"/>
      <c r="S874" s="1075"/>
      <c r="T874" s="1075"/>
      <c r="U874" s="1075"/>
      <c r="V874" s="1075"/>
      <c r="W874" s="1075"/>
      <c r="X874" s="1075"/>
      <c r="Y874" s="1075"/>
      <c r="Z874" s="1075"/>
      <c r="AA874" s="1075"/>
    </row>
    <row r="875" spans="1:27" ht="12.75" customHeight="1">
      <c r="A875" s="1075"/>
      <c r="B875" s="1075"/>
      <c r="C875" s="1075"/>
      <c r="D875" s="1075"/>
      <c r="E875" s="1075"/>
      <c r="F875" s="1075"/>
      <c r="G875" s="1075"/>
      <c r="H875" s="1075"/>
      <c r="I875" s="1075"/>
      <c r="J875" s="1075"/>
      <c r="K875" s="1075"/>
      <c r="L875" s="1075"/>
      <c r="M875" s="1075"/>
      <c r="N875" s="1075"/>
      <c r="O875" s="1075"/>
      <c r="P875" s="1075"/>
      <c r="Q875" s="1075"/>
      <c r="R875" s="1075"/>
      <c r="S875" s="1075"/>
      <c r="T875" s="1075"/>
      <c r="U875" s="1075"/>
      <c r="V875" s="1075"/>
      <c r="W875" s="1075"/>
      <c r="X875" s="1075"/>
      <c r="Y875" s="1075"/>
      <c r="Z875" s="1075"/>
      <c r="AA875" s="1075"/>
    </row>
    <row r="876" spans="1:27" ht="12.75" customHeight="1">
      <c r="A876" s="1075"/>
      <c r="B876" s="1075"/>
      <c r="C876" s="1075"/>
      <c r="D876" s="1075"/>
      <c r="E876" s="1075"/>
      <c r="F876" s="1075"/>
      <c r="G876" s="1075"/>
      <c r="H876" s="1075"/>
      <c r="I876" s="1075"/>
      <c r="J876" s="1075"/>
      <c r="K876" s="1075"/>
      <c r="L876" s="1075"/>
      <c r="M876" s="1075"/>
      <c r="N876" s="1075"/>
      <c r="O876" s="1075"/>
      <c r="P876" s="1075"/>
      <c r="Q876" s="1075"/>
      <c r="R876" s="1075"/>
      <c r="S876" s="1075"/>
      <c r="T876" s="1075"/>
      <c r="U876" s="1075"/>
      <c r="V876" s="1075"/>
      <c r="W876" s="1075"/>
      <c r="X876" s="1075"/>
      <c r="Y876" s="1075"/>
      <c r="Z876" s="1075"/>
      <c r="AA876" s="1075"/>
    </row>
    <row r="877" spans="1:27" ht="12.75" customHeight="1">
      <c r="A877" s="1075"/>
      <c r="B877" s="1075"/>
      <c r="C877" s="1075"/>
      <c r="D877" s="1075"/>
      <c r="E877" s="1075"/>
      <c r="F877" s="1075"/>
      <c r="G877" s="1075"/>
      <c r="H877" s="1075"/>
      <c r="I877" s="1075"/>
      <c r="J877" s="1075"/>
      <c r="K877" s="1075"/>
      <c r="L877" s="1075"/>
      <c r="M877" s="1075"/>
      <c r="N877" s="1075"/>
      <c r="O877" s="1075"/>
      <c r="P877" s="1075"/>
      <c r="Q877" s="1075"/>
      <c r="R877" s="1075"/>
      <c r="S877" s="1075"/>
      <c r="T877" s="1075"/>
      <c r="U877" s="1075"/>
      <c r="V877" s="1075"/>
      <c r="W877" s="1075"/>
      <c r="X877" s="1075"/>
      <c r="Y877" s="1075"/>
      <c r="Z877" s="1075"/>
      <c r="AA877" s="1075"/>
    </row>
    <row r="878" spans="1:27" ht="12.75" customHeight="1">
      <c r="A878" s="1075"/>
      <c r="B878" s="1075"/>
      <c r="C878" s="1075"/>
      <c r="D878" s="1075"/>
      <c r="E878" s="1075"/>
      <c r="F878" s="1075"/>
      <c r="G878" s="1075"/>
      <c r="H878" s="1075"/>
      <c r="I878" s="1075"/>
      <c r="J878" s="1075"/>
      <c r="K878" s="1075"/>
      <c r="L878" s="1075"/>
      <c r="M878" s="1075"/>
      <c r="N878" s="1075"/>
      <c r="O878" s="1075"/>
      <c r="P878" s="1075"/>
      <c r="Q878" s="1075"/>
      <c r="R878" s="1075"/>
      <c r="S878" s="1075"/>
      <c r="T878" s="1075"/>
      <c r="U878" s="1075"/>
      <c r="V878" s="1075"/>
      <c r="W878" s="1075"/>
      <c r="X878" s="1075"/>
      <c r="Y878" s="1075"/>
      <c r="Z878" s="1075"/>
      <c r="AA878" s="1075"/>
    </row>
    <row r="879" spans="1:27" ht="12.75" customHeight="1">
      <c r="A879" s="1075"/>
      <c r="B879" s="1075"/>
      <c r="C879" s="1075"/>
      <c r="D879" s="1075"/>
      <c r="E879" s="1075"/>
      <c r="F879" s="1075"/>
      <c r="G879" s="1075"/>
      <c r="H879" s="1075"/>
      <c r="I879" s="1075"/>
      <c r="J879" s="1075"/>
      <c r="K879" s="1075"/>
      <c r="L879" s="1075"/>
      <c r="M879" s="1075"/>
      <c r="N879" s="1075"/>
      <c r="O879" s="1075"/>
      <c r="P879" s="1075"/>
      <c r="Q879" s="1075"/>
      <c r="R879" s="1075"/>
      <c r="S879" s="1075"/>
      <c r="T879" s="1075"/>
      <c r="U879" s="1075"/>
      <c r="V879" s="1075"/>
      <c r="W879" s="1075"/>
      <c r="X879" s="1075"/>
      <c r="Y879" s="1075"/>
      <c r="Z879" s="1075"/>
      <c r="AA879" s="1075"/>
    </row>
    <row r="880" spans="1:27" ht="12.75" customHeight="1">
      <c r="A880" s="1075"/>
      <c r="B880" s="1075"/>
      <c r="C880" s="1075"/>
      <c r="D880" s="1075"/>
      <c r="E880" s="1075"/>
      <c r="F880" s="1075"/>
      <c r="G880" s="1075"/>
      <c r="H880" s="1075"/>
      <c r="I880" s="1075"/>
      <c r="J880" s="1075"/>
      <c r="K880" s="1075"/>
      <c r="L880" s="1075"/>
      <c r="M880" s="1075"/>
      <c r="N880" s="1075"/>
      <c r="O880" s="1075"/>
      <c r="P880" s="1075"/>
      <c r="Q880" s="1075"/>
      <c r="R880" s="1075"/>
      <c r="S880" s="1075"/>
      <c r="T880" s="1075"/>
      <c r="U880" s="1075"/>
      <c r="V880" s="1075"/>
      <c r="W880" s="1075"/>
      <c r="X880" s="1075"/>
      <c r="Y880" s="1075"/>
      <c r="Z880" s="1075"/>
      <c r="AA880" s="1075"/>
    </row>
    <row r="881" spans="1:27" ht="12.75" customHeight="1">
      <c r="A881" s="1075"/>
      <c r="B881" s="1075"/>
      <c r="C881" s="1075"/>
      <c r="D881" s="1075"/>
      <c r="E881" s="1075"/>
      <c r="F881" s="1075"/>
      <c r="G881" s="1075"/>
      <c r="H881" s="1075"/>
      <c r="I881" s="1075"/>
      <c r="J881" s="1075"/>
      <c r="K881" s="1075"/>
      <c r="L881" s="1075"/>
      <c r="M881" s="1075"/>
      <c r="N881" s="1075"/>
      <c r="O881" s="1075"/>
      <c r="P881" s="1075"/>
      <c r="Q881" s="1075"/>
      <c r="R881" s="1075"/>
      <c r="S881" s="1075"/>
      <c r="T881" s="1075"/>
      <c r="U881" s="1075"/>
      <c r="V881" s="1075"/>
      <c r="W881" s="1075"/>
      <c r="X881" s="1075"/>
      <c r="Y881" s="1075"/>
      <c r="Z881" s="1075"/>
      <c r="AA881" s="1075"/>
    </row>
    <row r="882" spans="1:27" ht="12.75" customHeight="1">
      <c r="A882" s="1075"/>
      <c r="B882" s="1075"/>
      <c r="C882" s="1075"/>
      <c r="D882" s="1075"/>
      <c r="E882" s="1075"/>
      <c r="F882" s="1075"/>
      <c r="G882" s="1075"/>
      <c r="H882" s="1075"/>
      <c r="I882" s="1075"/>
      <c r="J882" s="1075"/>
      <c r="K882" s="1075"/>
      <c r="L882" s="1075"/>
      <c r="M882" s="1075"/>
      <c r="N882" s="1075"/>
      <c r="O882" s="1075"/>
      <c r="P882" s="1075"/>
      <c r="Q882" s="1075"/>
      <c r="R882" s="1075"/>
      <c r="S882" s="1075"/>
      <c r="T882" s="1075"/>
      <c r="U882" s="1075"/>
      <c r="V882" s="1075"/>
      <c r="W882" s="1075"/>
      <c r="X882" s="1075"/>
      <c r="Y882" s="1075"/>
      <c r="Z882" s="1075"/>
      <c r="AA882" s="1075"/>
    </row>
    <row r="883" spans="1:27" ht="12.75" customHeight="1">
      <c r="A883" s="1075"/>
      <c r="B883" s="1075"/>
      <c r="C883" s="1075"/>
      <c r="D883" s="1075"/>
      <c r="E883" s="1075"/>
      <c r="F883" s="1075"/>
      <c r="G883" s="1075"/>
      <c r="H883" s="1075"/>
      <c r="I883" s="1075"/>
      <c r="J883" s="1075"/>
      <c r="K883" s="1075"/>
      <c r="L883" s="1075"/>
      <c r="M883" s="1075"/>
      <c r="N883" s="1075"/>
      <c r="O883" s="1075"/>
      <c r="P883" s="1075"/>
      <c r="Q883" s="1075"/>
      <c r="R883" s="1075"/>
      <c r="S883" s="1075"/>
      <c r="T883" s="1075"/>
      <c r="U883" s="1075"/>
      <c r="V883" s="1075"/>
      <c r="W883" s="1075"/>
      <c r="X883" s="1075"/>
      <c r="Y883" s="1075"/>
      <c r="Z883" s="1075"/>
      <c r="AA883" s="1075"/>
    </row>
    <row r="884" spans="1:27" ht="12.75" customHeight="1">
      <c r="A884" s="1075"/>
      <c r="B884" s="1075"/>
      <c r="C884" s="1075"/>
      <c r="D884" s="1075"/>
      <c r="E884" s="1075"/>
      <c r="F884" s="1075"/>
      <c r="G884" s="1075"/>
      <c r="H884" s="1075"/>
      <c r="I884" s="1075"/>
      <c r="J884" s="1075"/>
      <c r="K884" s="1075"/>
      <c r="L884" s="1075"/>
      <c r="M884" s="1075"/>
      <c r="N884" s="1075"/>
      <c r="O884" s="1075"/>
      <c r="P884" s="1075"/>
      <c r="Q884" s="1075"/>
      <c r="R884" s="1075"/>
      <c r="S884" s="1075"/>
      <c r="T884" s="1075"/>
      <c r="U884" s="1075"/>
      <c r="V884" s="1075"/>
      <c r="W884" s="1075"/>
      <c r="X884" s="1075"/>
      <c r="Y884" s="1075"/>
      <c r="Z884" s="1075"/>
      <c r="AA884" s="1075"/>
    </row>
    <row r="885" spans="1:27" ht="12.75" customHeight="1">
      <c r="A885" s="1075"/>
      <c r="B885" s="1075"/>
      <c r="C885" s="1075"/>
      <c r="D885" s="1075"/>
      <c r="E885" s="1075"/>
      <c r="F885" s="1075"/>
      <c r="G885" s="1075"/>
      <c r="H885" s="1075"/>
      <c r="I885" s="1075"/>
      <c r="J885" s="1075"/>
      <c r="K885" s="1075"/>
      <c r="L885" s="1075"/>
      <c r="M885" s="1075"/>
      <c r="N885" s="1075"/>
      <c r="O885" s="1075"/>
      <c r="P885" s="1075"/>
      <c r="Q885" s="1075"/>
      <c r="R885" s="1075"/>
      <c r="S885" s="1075"/>
      <c r="T885" s="1075"/>
      <c r="U885" s="1075"/>
      <c r="V885" s="1075"/>
      <c r="W885" s="1075"/>
      <c r="X885" s="1075"/>
      <c r="Y885" s="1075"/>
      <c r="Z885" s="1075"/>
      <c r="AA885" s="1075"/>
    </row>
    <row r="886" spans="1:27" ht="12.75" customHeight="1">
      <c r="A886" s="1075"/>
      <c r="B886" s="1075"/>
      <c r="C886" s="1075"/>
      <c r="D886" s="1075"/>
      <c r="E886" s="1075"/>
      <c r="F886" s="1075"/>
      <c r="G886" s="1075"/>
      <c r="H886" s="1075"/>
      <c r="I886" s="1075"/>
      <c r="J886" s="1075"/>
      <c r="K886" s="1075"/>
      <c r="L886" s="1075"/>
      <c r="M886" s="1075"/>
      <c r="N886" s="1075"/>
      <c r="O886" s="1075"/>
      <c r="P886" s="1075"/>
      <c r="Q886" s="1075"/>
      <c r="R886" s="1075"/>
      <c r="S886" s="1075"/>
      <c r="T886" s="1075"/>
      <c r="U886" s="1075"/>
      <c r="V886" s="1075"/>
      <c r="W886" s="1075"/>
      <c r="X886" s="1075"/>
      <c r="Y886" s="1075"/>
      <c r="Z886" s="1075"/>
      <c r="AA886" s="1075"/>
    </row>
    <row r="887" spans="1:27" ht="12.75" customHeight="1">
      <c r="A887" s="1075"/>
      <c r="B887" s="1075"/>
      <c r="C887" s="1075"/>
      <c r="D887" s="1075"/>
      <c r="E887" s="1075"/>
      <c r="F887" s="1075"/>
      <c r="G887" s="1075"/>
      <c r="H887" s="1075"/>
      <c r="I887" s="1075"/>
      <c r="J887" s="1075"/>
      <c r="K887" s="1075"/>
      <c r="L887" s="1075"/>
      <c r="M887" s="1075"/>
      <c r="N887" s="1075"/>
      <c r="O887" s="1075"/>
      <c r="P887" s="1075"/>
      <c r="Q887" s="1075"/>
      <c r="R887" s="1075"/>
      <c r="S887" s="1075"/>
      <c r="T887" s="1075"/>
      <c r="U887" s="1075"/>
      <c r="V887" s="1075"/>
      <c r="W887" s="1075"/>
      <c r="X887" s="1075"/>
      <c r="Y887" s="1075"/>
      <c r="Z887" s="1075"/>
      <c r="AA887" s="1075"/>
    </row>
    <row r="888" spans="1:27" ht="12.75" customHeight="1">
      <c r="A888" s="1075"/>
      <c r="B888" s="1075"/>
      <c r="C888" s="1075"/>
      <c r="D888" s="1075"/>
      <c r="E888" s="1075"/>
      <c r="F888" s="1075"/>
      <c r="G888" s="1075"/>
      <c r="H888" s="1075"/>
      <c r="I888" s="1075"/>
      <c r="J888" s="1075"/>
      <c r="K888" s="1075"/>
      <c r="L888" s="1075"/>
      <c r="M888" s="1075"/>
      <c r="N888" s="1075"/>
      <c r="O888" s="1075"/>
      <c r="P888" s="1075"/>
      <c r="Q888" s="1075"/>
      <c r="R888" s="1075"/>
      <c r="S888" s="1075"/>
      <c r="T888" s="1075"/>
      <c r="U888" s="1075"/>
      <c r="V888" s="1075"/>
      <c r="W888" s="1075"/>
      <c r="X888" s="1075"/>
      <c r="Y888" s="1075"/>
      <c r="Z888" s="1075"/>
      <c r="AA888" s="1075"/>
    </row>
    <row r="889" spans="1:27" ht="12.75" customHeight="1">
      <c r="A889" s="1075"/>
      <c r="B889" s="1075"/>
      <c r="C889" s="1075"/>
      <c r="D889" s="1075"/>
      <c r="E889" s="1075"/>
      <c r="F889" s="1075"/>
      <c r="G889" s="1075"/>
      <c r="H889" s="1075"/>
      <c r="I889" s="1075"/>
      <c r="J889" s="1075"/>
      <c r="K889" s="1075"/>
      <c r="L889" s="1075"/>
      <c r="M889" s="1075"/>
      <c r="N889" s="1075"/>
      <c r="O889" s="1075"/>
      <c r="P889" s="1075"/>
      <c r="Q889" s="1075"/>
      <c r="R889" s="1075"/>
      <c r="S889" s="1075"/>
      <c r="T889" s="1075"/>
      <c r="U889" s="1075"/>
      <c r="V889" s="1075"/>
      <c r="W889" s="1075"/>
      <c r="X889" s="1075"/>
      <c r="Y889" s="1075"/>
      <c r="Z889" s="1075"/>
      <c r="AA889" s="1075"/>
    </row>
    <row r="890" spans="1:27" ht="12.75" customHeight="1">
      <c r="A890" s="1075"/>
      <c r="B890" s="1075"/>
      <c r="C890" s="1075"/>
      <c r="D890" s="1075"/>
      <c r="E890" s="1075"/>
      <c r="F890" s="1075"/>
      <c r="G890" s="1075"/>
      <c r="H890" s="1075"/>
      <c r="I890" s="1075"/>
      <c r="J890" s="1075"/>
      <c r="K890" s="1075"/>
      <c r="L890" s="1075"/>
      <c r="M890" s="1075"/>
      <c r="N890" s="1075"/>
      <c r="O890" s="1075"/>
      <c r="P890" s="1075"/>
      <c r="Q890" s="1075"/>
      <c r="R890" s="1075"/>
      <c r="S890" s="1075"/>
      <c r="T890" s="1075"/>
      <c r="U890" s="1075"/>
      <c r="V890" s="1075"/>
      <c r="W890" s="1075"/>
      <c r="X890" s="1075"/>
      <c r="Y890" s="1075"/>
      <c r="Z890" s="1075"/>
      <c r="AA890" s="1075"/>
    </row>
    <row r="891" spans="1:27" ht="12.75" customHeight="1">
      <c r="A891" s="1075"/>
      <c r="B891" s="1075"/>
      <c r="C891" s="1075"/>
      <c r="D891" s="1075"/>
      <c r="E891" s="1075"/>
      <c r="F891" s="1075"/>
      <c r="G891" s="1075"/>
      <c r="H891" s="1075"/>
      <c r="I891" s="1075"/>
      <c r="J891" s="1075"/>
      <c r="K891" s="1075"/>
      <c r="L891" s="1075"/>
      <c r="M891" s="1075"/>
      <c r="N891" s="1075"/>
      <c r="O891" s="1075"/>
      <c r="P891" s="1075"/>
      <c r="Q891" s="1075"/>
      <c r="R891" s="1075"/>
      <c r="S891" s="1075"/>
      <c r="T891" s="1075"/>
      <c r="U891" s="1075"/>
      <c r="V891" s="1075"/>
      <c r="W891" s="1075"/>
      <c r="X891" s="1075"/>
      <c r="Y891" s="1075"/>
      <c r="Z891" s="1075"/>
      <c r="AA891" s="1075"/>
    </row>
    <row r="892" spans="1:27" ht="12.75" customHeight="1">
      <c r="A892" s="1075"/>
      <c r="B892" s="1075"/>
      <c r="C892" s="1075"/>
      <c r="D892" s="1075"/>
      <c r="E892" s="1075"/>
      <c r="F892" s="1075"/>
      <c r="G892" s="1075"/>
      <c r="H892" s="1075"/>
      <c r="I892" s="1075"/>
      <c r="J892" s="1075"/>
      <c r="K892" s="1075"/>
      <c r="L892" s="1075"/>
      <c r="M892" s="1075"/>
      <c r="N892" s="1075"/>
      <c r="O892" s="1075"/>
      <c r="P892" s="1075"/>
      <c r="Q892" s="1075"/>
      <c r="R892" s="1075"/>
      <c r="S892" s="1075"/>
      <c r="T892" s="1075"/>
      <c r="U892" s="1075"/>
      <c r="V892" s="1075"/>
      <c r="W892" s="1075"/>
      <c r="X892" s="1075"/>
      <c r="Y892" s="1075"/>
      <c r="Z892" s="1075"/>
      <c r="AA892" s="1075"/>
    </row>
    <row r="893" spans="1:27" ht="12.75" customHeight="1">
      <c r="A893" s="1075"/>
      <c r="B893" s="1075"/>
      <c r="C893" s="1075"/>
      <c r="D893" s="1075"/>
      <c r="E893" s="1075"/>
      <c r="F893" s="1075"/>
      <c r="G893" s="1075"/>
      <c r="H893" s="1075"/>
      <c r="I893" s="1075"/>
      <c r="J893" s="1075"/>
      <c r="K893" s="1075"/>
      <c r="L893" s="1075"/>
      <c r="M893" s="1075"/>
      <c r="N893" s="1075"/>
      <c r="O893" s="1075"/>
      <c r="P893" s="1075"/>
      <c r="Q893" s="1075"/>
      <c r="R893" s="1075"/>
      <c r="S893" s="1075"/>
      <c r="T893" s="1075"/>
      <c r="U893" s="1075"/>
      <c r="V893" s="1075"/>
      <c r="W893" s="1075"/>
      <c r="X893" s="1075"/>
      <c r="Y893" s="1075"/>
      <c r="Z893" s="1075"/>
      <c r="AA893" s="1075"/>
    </row>
    <row r="894" spans="1:27" ht="12.75" customHeight="1">
      <c r="A894" s="1075"/>
      <c r="B894" s="1075"/>
      <c r="C894" s="1075"/>
      <c r="D894" s="1075"/>
      <c r="E894" s="1075"/>
      <c r="F894" s="1075"/>
      <c r="G894" s="1075"/>
      <c r="H894" s="1075"/>
      <c r="I894" s="1075"/>
      <c r="J894" s="1075"/>
      <c r="K894" s="1075"/>
      <c r="L894" s="1075"/>
      <c r="M894" s="1075"/>
      <c r="N894" s="1075"/>
      <c r="O894" s="1075"/>
      <c r="P894" s="1075"/>
      <c r="Q894" s="1075"/>
      <c r="R894" s="1075"/>
      <c r="S894" s="1075"/>
      <c r="T894" s="1075"/>
      <c r="U894" s="1075"/>
      <c r="V894" s="1075"/>
      <c r="W894" s="1075"/>
      <c r="X894" s="1075"/>
      <c r="Y894" s="1075"/>
      <c r="Z894" s="1075"/>
      <c r="AA894" s="1075"/>
    </row>
    <row r="895" spans="1:27" ht="12.75" customHeight="1">
      <c r="A895" s="1075"/>
      <c r="B895" s="1075"/>
      <c r="C895" s="1075"/>
      <c r="D895" s="1075"/>
      <c r="E895" s="1075"/>
      <c r="F895" s="1075"/>
      <c r="G895" s="1075"/>
      <c r="H895" s="1075"/>
      <c r="I895" s="1075"/>
      <c r="J895" s="1075"/>
      <c r="K895" s="1075"/>
      <c r="L895" s="1075"/>
      <c r="M895" s="1075"/>
      <c r="N895" s="1075"/>
      <c r="O895" s="1075"/>
      <c r="P895" s="1075"/>
      <c r="Q895" s="1075"/>
      <c r="R895" s="1075"/>
      <c r="S895" s="1075"/>
      <c r="T895" s="1075"/>
      <c r="U895" s="1075"/>
      <c r="V895" s="1075"/>
      <c r="W895" s="1075"/>
      <c r="X895" s="1075"/>
      <c r="Y895" s="1075"/>
      <c r="Z895" s="1075"/>
      <c r="AA895" s="1075"/>
    </row>
    <row r="896" spans="1:27" ht="12.75" customHeight="1">
      <c r="A896" s="1075"/>
      <c r="B896" s="1075"/>
      <c r="C896" s="1075"/>
      <c r="D896" s="1075"/>
      <c r="E896" s="1075"/>
      <c r="F896" s="1075"/>
      <c r="G896" s="1075"/>
      <c r="H896" s="1075"/>
      <c r="I896" s="1075"/>
      <c r="J896" s="1075"/>
      <c r="K896" s="1075"/>
      <c r="L896" s="1075"/>
      <c r="M896" s="1075"/>
      <c r="N896" s="1075"/>
      <c r="O896" s="1075"/>
      <c r="P896" s="1075"/>
      <c r="Q896" s="1075"/>
      <c r="R896" s="1075"/>
      <c r="S896" s="1075"/>
      <c r="T896" s="1075"/>
      <c r="U896" s="1075"/>
      <c r="V896" s="1075"/>
      <c r="W896" s="1075"/>
      <c r="X896" s="1075"/>
      <c r="Y896" s="1075"/>
      <c r="Z896" s="1075"/>
      <c r="AA896" s="1075"/>
    </row>
    <row r="897" spans="1:27" ht="12.75" customHeight="1">
      <c r="A897" s="1075"/>
      <c r="B897" s="1075"/>
      <c r="C897" s="1075"/>
      <c r="D897" s="1075"/>
      <c r="E897" s="1075"/>
      <c r="F897" s="1075"/>
      <c r="G897" s="1075"/>
      <c r="H897" s="1075"/>
      <c r="I897" s="1075"/>
      <c r="J897" s="1075"/>
      <c r="K897" s="1075"/>
      <c r="L897" s="1075"/>
      <c r="M897" s="1075"/>
      <c r="N897" s="1075"/>
      <c r="O897" s="1075"/>
      <c r="P897" s="1075"/>
      <c r="Q897" s="1075"/>
      <c r="R897" s="1075"/>
      <c r="S897" s="1075"/>
      <c r="T897" s="1075"/>
      <c r="U897" s="1075"/>
      <c r="V897" s="1075"/>
      <c r="W897" s="1075"/>
      <c r="X897" s="1075"/>
      <c r="Y897" s="1075"/>
      <c r="Z897" s="1075"/>
      <c r="AA897" s="1075"/>
    </row>
    <row r="898" spans="1:27" ht="12.75" customHeight="1">
      <c r="A898" s="1075"/>
      <c r="B898" s="1075"/>
      <c r="C898" s="1075"/>
      <c r="D898" s="1075"/>
      <c r="E898" s="1075"/>
      <c r="F898" s="1075"/>
      <c r="G898" s="1075"/>
      <c r="H898" s="1075"/>
      <c r="I898" s="1075"/>
      <c r="J898" s="1075"/>
      <c r="K898" s="1075"/>
      <c r="L898" s="1075"/>
      <c r="M898" s="1075"/>
      <c r="N898" s="1075"/>
      <c r="O898" s="1075"/>
      <c r="P898" s="1075"/>
      <c r="Q898" s="1075"/>
      <c r="R898" s="1075"/>
      <c r="S898" s="1075"/>
      <c r="T898" s="1075"/>
      <c r="U898" s="1075"/>
      <c r="V898" s="1075"/>
      <c r="W898" s="1075"/>
      <c r="X898" s="1075"/>
      <c r="Y898" s="1075"/>
      <c r="Z898" s="1075"/>
      <c r="AA898" s="1075"/>
    </row>
    <row r="899" spans="1:27" ht="12.75" customHeight="1">
      <c r="A899" s="1075"/>
      <c r="B899" s="1075"/>
      <c r="C899" s="1075"/>
      <c r="D899" s="1075"/>
      <c r="E899" s="1075"/>
      <c r="F899" s="1075"/>
      <c r="G899" s="1075"/>
      <c r="H899" s="1075"/>
      <c r="I899" s="1075"/>
      <c r="J899" s="1075"/>
      <c r="K899" s="1075"/>
      <c r="L899" s="1075"/>
      <c r="M899" s="1075"/>
      <c r="N899" s="1075"/>
      <c r="O899" s="1075"/>
      <c r="P899" s="1075"/>
      <c r="Q899" s="1075"/>
      <c r="R899" s="1075"/>
      <c r="S899" s="1075"/>
      <c r="T899" s="1075"/>
      <c r="U899" s="1075"/>
      <c r="V899" s="1075"/>
      <c r="W899" s="1075"/>
      <c r="X899" s="1075"/>
      <c r="Y899" s="1075"/>
      <c r="Z899" s="1075"/>
      <c r="AA899" s="1075"/>
    </row>
    <row r="900" spans="1:27" ht="12.75" customHeight="1">
      <c r="A900" s="1075"/>
      <c r="B900" s="1075"/>
      <c r="C900" s="1075"/>
      <c r="D900" s="1075"/>
      <c r="E900" s="1075"/>
      <c r="F900" s="1075"/>
      <c r="G900" s="1075"/>
      <c r="H900" s="1075"/>
      <c r="I900" s="1075"/>
      <c r="J900" s="1075"/>
      <c r="K900" s="1075"/>
      <c r="L900" s="1075"/>
      <c r="M900" s="1075"/>
      <c r="N900" s="1075"/>
      <c r="O900" s="1075"/>
      <c r="P900" s="1075"/>
      <c r="Q900" s="1075"/>
      <c r="R900" s="1075"/>
      <c r="S900" s="1075"/>
      <c r="T900" s="1075"/>
      <c r="U900" s="1075"/>
      <c r="V900" s="1075"/>
      <c r="W900" s="1075"/>
      <c r="X900" s="1075"/>
      <c r="Y900" s="1075"/>
      <c r="Z900" s="1075"/>
      <c r="AA900" s="1075"/>
    </row>
    <row r="901" spans="1:27" ht="12.75" customHeight="1">
      <c r="A901" s="1075"/>
      <c r="B901" s="1075"/>
      <c r="C901" s="1075"/>
      <c r="D901" s="1075"/>
      <c r="E901" s="1075"/>
      <c r="F901" s="1075"/>
      <c r="G901" s="1075"/>
      <c r="H901" s="1075"/>
      <c r="I901" s="1075"/>
      <c r="J901" s="1075"/>
      <c r="K901" s="1075"/>
      <c r="L901" s="1075"/>
      <c r="M901" s="1075"/>
      <c r="N901" s="1075"/>
      <c r="O901" s="1075"/>
      <c r="P901" s="1075"/>
      <c r="Q901" s="1075"/>
      <c r="R901" s="1075"/>
      <c r="S901" s="1075"/>
      <c r="T901" s="1075"/>
      <c r="U901" s="1075"/>
      <c r="V901" s="1075"/>
      <c r="W901" s="1075"/>
      <c r="X901" s="1075"/>
      <c r="Y901" s="1075"/>
      <c r="Z901" s="1075"/>
      <c r="AA901" s="1075"/>
    </row>
    <row r="902" spans="1:27" ht="12.75" customHeight="1">
      <c r="A902" s="1075"/>
      <c r="B902" s="1075"/>
      <c r="C902" s="1075"/>
      <c r="D902" s="1075"/>
      <c r="E902" s="1075"/>
      <c r="F902" s="1075"/>
      <c r="G902" s="1075"/>
      <c r="H902" s="1075"/>
      <c r="I902" s="1075"/>
      <c r="J902" s="1075"/>
      <c r="K902" s="1075"/>
      <c r="L902" s="1075"/>
      <c r="M902" s="1075"/>
      <c r="N902" s="1075"/>
      <c r="O902" s="1075"/>
      <c r="P902" s="1075"/>
      <c r="Q902" s="1075"/>
      <c r="R902" s="1075"/>
      <c r="S902" s="1075"/>
      <c r="T902" s="1075"/>
      <c r="U902" s="1075"/>
      <c r="V902" s="1075"/>
      <c r="W902" s="1075"/>
      <c r="X902" s="1075"/>
      <c r="Y902" s="1075"/>
      <c r="Z902" s="1075"/>
      <c r="AA902" s="1075"/>
    </row>
    <row r="903" spans="1:27" ht="12.75" customHeight="1">
      <c r="A903" s="1075"/>
      <c r="B903" s="1075"/>
      <c r="C903" s="1075"/>
      <c r="D903" s="1075"/>
      <c r="E903" s="1075"/>
      <c r="F903" s="1075"/>
      <c r="G903" s="1075"/>
      <c r="H903" s="1075"/>
      <c r="I903" s="1075"/>
      <c r="J903" s="1075"/>
      <c r="K903" s="1075"/>
      <c r="L903" s="1075"/>
      <c r="M903" s="1075"/>
      <c r="N903" s="1075"/>
      <c r="O903" s="1075"/>
      <c r="P903" s="1075"/>
      <c r="Q903" s="1075"/>
      <c r="R903" s="1075"/>
      <c r="S903" s="1075"/>
      <c r="T903" s="1075"/>
      <c r="U903" s="1075"/>
      <c r="V903" s="1075"/>
      <c r="W903" s="1075"/>
      <c r="X903" s="1075"/>
      <c r="Y903" s="1075"/>
      <c r="Z903" s="1075"/>
      <c r="AA903" s="1075"/>
    </row>
    <row r="904" spans="1:27" ht="12.75" customHeight="1">
      <c r="A904" s="1075"/>
      <c r="B904" s="1075"/>
      <c r="C904" s="1075"/>
      <c r="D904" s="1075"/>
      <c r="E904" s="1075"/>
      <c r="F904" s="1075"/>
      <c r="G904" s="1075"/>
      <c r="H904" s="1075"/>
      <c r="I904" s="1075"/>
      <c r="J904" s="1075"/>
      <c r="K904" s="1075"/>
      <c r="L904" s="1075"/>
      <c r="M904" s="1075"/>
      <c r="N904" s="1075"/>
      <c r="O904" s="1075"/>
      <c r="P904" s="1075"/>
      <c r="Q904" s="1075"/>
      <c r="R904" s="1075"/>
      <c r="S904" s="1075"/>
      <c r="T904" s="1075"/>
      <c r="U904" s="1075"/>
      <c r="V904" s="1075"/>
      <c r="W904" s="1075"/>
      <c r="X904" s="1075"/>
      <c r="Y904" s="1075"/>
      <c r="Z904" s="1075"/>
      <c r="AA904" s="1075"/>
    </row>
    <row r="905" spans="1:27" ht="12.75" customHeight="1">
      <c r="A905" s="1075"/>
      <c r="B905" s="1075"/>
      <c r="C905" s="1075"/>
      <c r="D905" s="1075"/>
      <c r="E905" s="1075"/>
      <c r="F905" s="1075"/>
      <c r="G905" s="1075"/>
      <c r="H905" s="1075"/>
      <c r="I905" s="1075"/>
      <c r="J905" s="1075"/>
      <c r="K905" s="1075"/>
      <c r="L905" s="1075"/>
      <c r="M905" s="1075"/>
      <c r="N905" s="1075"/>
      <c r="O905" s="1075"/>
      <c r="P905" s="1075"/>
      <c r="Q905" s="1075"/>
      <c r="R905" s="1075"/>
      <c r="S905" s="1075"/>
      <c r="T905" s="1075"/>
      <c r="U905" s="1075"/>
      <c r="V905" s="1075"/>
      <c r="W905" s="1075"/>
      <c r="X905" s="1075"/>
      <c r="Y905" s="1075"/>
      <c r="Z905" s="1075"/>
      <c r="AA905" s="1075"/>
    </row>
    <row r="906" spans="1:27" ht="12.75" customHeight="1">
      <c r="A906" s="1075"/>
      <c r="B906" s="1075"/>
      <c r="C906" s="1075"/>
      <c r="D906" s="1075"/>
      <c r="E906" s="1075"/>
      <c r="F906" s="1075"/>
      <c r="G906" s="1075"/>
      <c r="H906" s="1075"/>
      <c r="I906" s="1075"/>
      <c r="J906" s="1075"/>
      <c r="K906" s="1075"/>
      <c r="L906" s="1075"/>
      <c r="M906" s="1075"/>
      <c r="N906" s="1075"/>
      <c r="O906" s="1075"/>
      <c r="P906" s="1075"/>
      <c r="Q906" s="1075"/>
      <c r="R906" s="1075"/>
      <c r="S906" s="1075"/>
      <c r="T906" s="1075"/>
      <c r="U906" s="1075"/>
      <c r="V906" s="1075"/>
      <c r="W906" s="1075"/>
      <c r="X906" s="1075"/>
      <c r="Y906" s="1075"/>
      <c r="Z906" s="1075"/>
      <c r="AA906" s="1075"/>
    </row>
    <row r="907" spans="1:27" ht="12.75" customHeight="1">
      <c r="A907" s="1075"/>
      <c r="B907" s="1075"/>
      <c r="C907" s="1075"/>
      <c r="D907" s="1075"/>
      <c r="E907" s="1075"/>
      <c r="F907" s="1075"/>
      <c r="G907" s="1075"/>
      <c r="H907" s="1075"/>
      <c r="I907" s="1075"/>
      <c r="J907" s="1075"/>
      <c r="K907" s="1075"/>
      <c r="L907" s="1075"/>
      <c r="M907" s="1075"/>
      <c r="N907" s="1075"/>
      <c r="O907" s="1075"/>
      <c r="P907" s="1075"/>
      <c r="Q907" s="1075"/>
      <c r="R907" s="1075"/>
      <c r="S907" s="1075"/>
      <c r="T907" s="1075"/>
      <c r="U907" s="1075"/>
      <c r="V907" s="1075"/>
      <c r="W907" s="1075"/>
      <c r="X907" s="1075"/>
      <c r="Y907" s="1075"/>
      <c r="Z907" s="1075"/>
      <c r="AA907" s="1075"/>
    </row>
    <row r="908" spans="1:27" ht="12.75" customHeight="1">
      <c r="A908" s="1075"/>
      <c r="B908" s="1075"/>
      <c r="C908" s="1075"/>
      <c r="D908" s="1075"/>
      <c r="E908" s="1075"/>
      <c r="F908" s="1075"/>
      <c r="G908" s="1075"/>
      <c r="H908" s="1075"/>
      <c r="I908" s="1075"/>
      <c r="J908" s="1075"/>
      <c r="K908" s="1075"/>
      <c r="L908" s="1075"/>
      <c r="M908" s="1075"/>
      <c r="N908" s="1075"/>
      <c r="O908" s="1075"/>
      <c r="P908" s="1075"/>
      <c r="Q908" s="1075"/>
      <c r="R908" s="1075"/>
      <c r="S908" s="1075"/>
      <c r="T908" s="1075"/>
      <c r="U908" s="1075"/>
      <c r="V908" s="1075"/>
      <c r="W908" s="1075"/>
      <c r="X908" s="1075"/>
      <c r="Y908" s="1075"/>
      <c r="Z908" s="1075"/>
      <c r="AA908" s="1075"/>
    </row>
    <row r="909" spans="1:27" ht="12.75" customHeight="1">
      <c r="A909" s="1075"/>
      <c r="B909" s="1075"/>
      <c r="C909" s="1075"/>
      <c r="D909" s="1075"/>
      <c r="E909" s="1075"/>
      <c r="F909" s="1075"/>
      <c r="G909" s="1075"/>
      <c r="H909" s="1075"/>
      <c r="I909" s="1075"/>
      <c r="J909" s="1075"/>
      <c r="K909" s="1075"/>
      <c r="L909" s="1075"/>
      <c r="M909" s="1075"/>
      <c r="N909" s="1075"/>
      <c r="O909" s="1075"/>
      <c r="P909" s="1075"/>
      <c r="Q909" s="1075"/>
      <c r="R909" s="1075"/>
      <c r="S909" s="1075"/>
      <c r="T909" s="1075"/>
      <c r="U909" s="1075"/>
      <c r="V909" s="1075"/>
      <c r="W909" s="1075"/>
      <c r="X909" s="1075"/>
      <c r="Y909" s="1075"/>
      <c r="Z909" s="1075"/>
      <c r="AA909" s="1075"/>
    </row>
    <row r="910" spans="1:27" ht="12.75" customHeight="1">
      <c r="A910" s="1075"/>
      <c r="B910" s="1075"/>
      <c r="C910" s="1075"/>
      <c r="D910" s="1075"/>
      <c r="E910" s="1075"/>
      <c r="F910" s="1075"/>
      <c r="G910" s="1075"/>
      <c r="H910" s="1075"/>
      <c r="I910" s="1075"/>
      <c r="J910" s="1075"/>
      <c r="K910" s="1075"/>
      <c r="L910" s="1075"/>
      <c r="M910" s="1075"/>
      <c r="N910" s="1075"/>
      <c r="O910" s="1075"/>
      <c r="P910" s="1075"/>
      <c r="Q910" s="1075"/>
      <c r="R910" s="1075"/>
      <c r="S910" s="1075"/>
      <c r="T910" s="1075"/>
      <c r="U910" s="1075"/>
      <c r="V910" s="1075"/>
      <c r="W910" s="1075"/>
      <c r="X910" s="1075"/>
      <c r="Y910" s="1075"/>
      <c r="Z910" s="1075"/>
      <c r="AA910" s="1075"/>
    </row>
    <row r="911" spans="1:27" ht="12.75" customHeight="1">
      <c r="A911" s="1075"/>
      <c r="B911" s="1075"/>
      <c r="C911" s="1075"/>
      <c r="D911" s="1075"/>
      <c r="E911" s="1075"/>
      <c r="F911" s="1075"/>
      <c r="G911" s="1075"/>
      <c r="H911" s="1075"/>
      <c r="I911" s="1075"/>
      <c r="J911" s="1075"/>
      <c r="K911" s="1075"/>
      <c r="L911" s="1075"/>
      <c r="M911" s="1075"/>
      <c r="N911" s="1075"/>
      <c r="O911" s="1075"/>
      <c r="P911" s="1075"/>
      <c r="Q911" s="1075"/>
      <c r="R911" s="1075"/>
      <c r="S911" s="1075"/>
      <c r="T911" s="1075"/>
      <c r="U911" s="1075"/>
      <c r="V911" s="1075"/>
      <c r="W911" s="1075"/>
      <c r="X911" s="1075"/>
      <c r="Y911" s="1075"/>
      <c r="Z911" s="1075"/>
      <c r="AA911" s="1075"/>
    </row>
    <row r="912" spans="1:27" ht="12.75" customHeight="1">
      <c r="A912" s="1075"/>
      <c r="B912" s="1075"/>
      <c r="C912" s="1075"/>
      <c r="D912" s="1075"/>
      <c r="E912" s="1075"/>
      <c r="F912" s="1075"/>
      <c r="G912" s="1075"/>
      <c r="H912" s="1075"/>
      <c r="I912" s="1075"/>
      <c r="J912" s="1075"/>
      <c r="K912" s="1075"/>
      <c r="L912" s="1075"/>
      <c r="M912" s="1075"/>
      <c r="N912" s="1075"/>
      <c r="O912" s="1075"/>
      <c r="P912" s="1075"/>
      <c r="Q912" s="1075"/>
      <c r="R912" s="1075"/>
      <c r="S912" s="1075"/>
      <c r="T912" s="1075"/>
      <c r="U912" s="1075"/>
      <c r="V912" s="1075"/>
      <c r="W912" s="1075"/>
      <c r="X912" s="1075"/>
      <c r="Y912" s="1075"/>
      <c r="Z912" s="1075"/>
      <c r="AA912" s="1075"/>
    </row>
    <row r="913" spans="1:27" ht="12.75" customHeight="1">
      <c r="A913" s="1075"/>
      <c r="B913" s="1075"/>
      <c r="C913" s="1075"/>
      <c r="D913" s="1075"/>
      <c r="E913" s="1075"/>
      <c r="F913" s="1075"/>
      <c r="G913" s="1075"/>
      <c r="H913" s="1075"/>
      <c r="I913" s="1075"/>
      <c r="J913" s="1075"/>
      <c r="K913" s="1075"/>
      <c r="L913" s="1075"/>
      <c r="M913" s="1075"/>
      <c r="N913" s="1075"/>
      <c r="O913" s="1075"/>
      <c r="P913" s="1075"/>
      <c r="Q913" s="1075"/>
      <c r="R913" s="1075"/>
      <c r="S913" s="1075"/>
      <c r="T913" s="1075"/>
      <c r="U913" s="1075"/>
      <c r="V913" s="1075"/>
      <c r="W913" s="1075"/>
      <c r="X913" s="1075"/>
      <c r="Y913" s="1075"/>
      <c r="Z913" s="1075"/>
      <c r="AA913" s="1075"/>
    </row>
    <row r="914" spans="1:27" ht="12.75" customHeight="1">
      <c r="A914" s="1075"/>
      <c r="B914" s="1075"/>
      <c r="C914" s="1075"/>
      <c r="D914" s="1075"/>
      <c r="E914" s="1075"/>
      <c r="F914" s="1075"/>
      <c r="G914" s="1075"/>
      <c r="H914" s="1075"/>
      <c r="I914" s="1075"/>
      <c r="J914" s="1075"/>
      <c r="K914" s="1075"/>
      <c r="L914" s="1075"/>
      <c r="M914" s="1075"/>
      <c r="N914" s="1075"/>
      <c r="O914" s="1075"/>
      <c r="P914" s="1075"/>
      <c r="Q914" s="1075"/>
      <c r="R914" s="1075"/>
      <c r="S914" s="1075"/>
      <c r="T914" s="1075"/>
      <c r="U914" s="1075"/>
      <c r="V914" s="1075"/>
      <c r="W914" s="1075"/>
      <c r="X914" s="1075"/>
      <c r="Y914" s="1075"/>
      <c r="Z914" s="1075"/>
      <c r="AA914" s="1075"/>
    </row>
    <row r="915" spans="1:27" ht="12.75" customHeight="1">
      <c r="A915" s="1075"/>
      <c r="B915" s="1075"/>
      <c r="C915" s="1075"/>
      <c r="D915" s="1075"/>
      <c r="E915" s="1075"/>
      <c r="F915" s="1075"/>
      <c r="G915" s="1075"/>
      <c r="H915" s="1075"/>
      <c r="I915" s="1075"/>
      <c r="J915" s="1075"/>
      <c r="K915" s="1075"/>
      <c r="L915" s="1075"/>
      <c r="M915" s="1075"/>
      <c r="N915" s="1075"/>
      <c r="O915" s="1075"/>
      <c r="P915" s="1075"/>
      <c r="Q915" s="1075"/>
      <c r="R915" s="1075"/>
      <c r="S915" s="1075"/>
      <c r="T915" s="1075"/>
      <c r="U915" s="1075"/>
      <c r="V915" s="1075"/>
      <c r="W915" s="1075"/>
      <c r="X915" s="1075"/>
      <c r="Y915" s="1075"/>
      <c r="Z915" s="1075"/>
      <c r="AA915" s="1075"/>
    </row>
    <row r="916" spans="1:27" ht="12.75" customHeight="1">
      <c r="A916" s="1075"/>
      <c r="B916" s="1075"/>
      <c r="C916" s="1075"/>
      <c r="D916" s="1075"/>
      <c r="E916" s="1075"/>
      <c r="F916" s="1075"/>
      <c r="G916" s="1075"/>
      <c r="H916" s="1075"/>
      <c r="I916" s="1075"/>
      <c r="J916" s="1075"/>
      <c r="K916" s="1075"/>
      <c r="L916" s="1075"/>
      <c r="M916" s="1075"/>
      <c r="N916" s="1075"/>
      <c r="O916" s="1075"/>
      <c r="P916" s="1075"/>
      <c r="Q916" s="1075"/>
      <c r="R916" s="1075"/>
      <c r="S916" s="1075"/>
      <c r="T916" s="1075"/>
      <c r="U916" s="1075"/>
      <c r="V916" s="1075"/>
      <c r="W916" s="1075"/>
      <c r="X916" s="1075"/>
      <c r="Y916" s="1075"/>
      <c r="Z916" s="1075"/>
      <c r="AA916" s="1075"/>
    </row>
    <row r="917" spans="1:27" ht="12.75" customHeight="1">
      <c r="A917" s="1075"/>
      <c r="B917" s="1075"/>
      <c r="C917" s="1075"/>
      <c r="D917" s="1075"/>
      <c r="E917" s="1075"/>
      <c r="F917" s="1075"/>
      <c r="G917" s="1075"/>
      <c r="H917" s="1075"/>
      <c r="I917" s="1075"/>
      <c r="J917" s="1075"/>
      <c r="K917" s="1075"/>
      <c r="L917" s="1075"/>
      <c r="M917" s="1075"/>
      <c r="N917" s="1075"/>
      <c r="O917" s="1075"/>
      <c r="P917" s="1075"/>
      <c r="Q917" s="1075"/>
      <c r="R917" s="1075"/>
      <c r="S917" s="1075"/>
      <c r="T917" s="1075"/>
      <c r="U917" s="1075"/>
      <c r="V917" s="1075"/>
      <c r="W917" s="1075"/>
      <c r="X917" s="1075"/>
      <c r="Y917" s="1075"/>
      <c r="Z917" s="1075"/>
      <c r="AA917" s="1075"/>
    </row>
    <row r="918" spans="1:27" ht="12.75" customHeight="1">
      <c r="A918" s="1075"/>
      <c r="B918" s="1075"/>
      <c r="C918" s="1075"/>
      <c r="D918" s="1075"/>
      <c r="E918" s="1075"/>
      <c r="F918" s="1075"/>
      <c r="G918" s="1075"/>
      <c r="H918" s="1075"/>
      <c r="I918" s="1075"/>
      <c r="J918" s="1075"/>
      <c r="K918" s="1075"/>
      <c r="L918" s="1075"/>
      <c r="M918" s="1075"/>
      <c r="N918" s="1075"/>
      <c r="O918" s="1075"/>
      <c r="P918" s="1075"/>
      <c r="Q918" s="1075"/>
      <c r="R918" s="1075"/>
      <c r="S918" s="1075"/>
      <c r="T918" s="1075"/>
      <c r="U918" s="1075"/>
      <c r="V918" s="1075"/>
      <c r="W918" s="1075"/>
      <c r="X918" s="1075"/>
      <c r="Y918" s="1075"/>
      <c r="Z918" s="1075"/>
      <c r="AA918" s="1075"/>
    </row>
    <row r="919" spans="1:27" ht="12.75" customHeight="1">
      <c r="A919" s="1075"/>
      <c r="B919" s="1075"/>
      <c r="C919" s="1075"/>
      <c r="D919" s="1075"/>
      <c r="E919" s="1075"/>
      <c r="F919" s="1075"/>
      <c r="G919" s="1075"/>
      <c r="H919" s="1075"/>
      <c r="I919" s="1075"/>
      <c r="J919" s="1075"/>
      <c r="K919" s="1075"/>
      <c r="L919" s="1075"/>
      <c r="M919" s="1075"/>
      <c r="N919" s="1075"/>
      <c r="O919" s="1075"/>
      <c r="P919" s="1075"/>
      <c r="Q919" s="1075"/>
      <c r="R919" s="1075"/>
      <c r="S919" s="1075"/>
      <c r="T919" s="1075"/>
      <c r="U919" s="1075"/>
      <c r="V919" s="1075"/>
      <c r="W919" s="1075"/>
      <c r="X919" s="1075"/>
      <c r="Y919" s="1075"/>
      <c r="Z919" s="1075"/>
      <c r="AA919" s="1075"/>
    </row>
    <row r="920" spans="1:27" ht="12.75" customHeight="1">
      <c r="A920" s="1075"/>
      <c r="B920" s="1075"/>
      <c r="C920" s="1075"/>
      <c r="D920" s="1075"/>
      <c r="E920" s="1075"/>
      <c r="F920" s="1075"/>
      <c r="G920" s="1075"/>
      <c r="H920" s="1075"/>
      <c r="I920" s="1075"/>
      <c r="J920" s="1075"/>
      <c r="K920" s="1075"/>
      <c r="L920" s="1075"/>
      <c r="M920" s="1075"/>
      <c r="N920" s="1075"/>
      <c r="O920" s="1075"/>
      <c r="P920" s="1075"/>
      <c r="Q920" s="1075"/>
      <c r="R920" s="1075"/>
      <c r="S920" s="1075"/>
      <c r="T920" s="1075"/>
      <c r="U920" s="1075"/>
      <c r="V920" s="1075"/>
      <c r="W920" s="1075"/>
      <c r="X920" s="1075"/>
      <c r="Y920" s="1075"/>
      <c r="Z920" s="1075"/>
      <c r="AA920" s="1075"/>
    </row>
    <row r="921" spans="1:27" ht="12.75" customHeight="1">
      <c r="A921" s="1075"/>
      <c r="B921" s="1075"/>
      <c r="C921" s="1075"/>
      <c r="D921" s="1075"/>
      <c r="E921" s="1075"/>
      <c r="F921" s="1075"/>
      <c r="G921" s="1075"/>
      <c r="H921" s="1075"/>
      <c r="I921" s="1075"/>
      <c r="J921" s="1075"/>
      <c r="K921" s="1075"/>
      <c r="L921" s="1075"/>
      <c r="M921" s="1075"/>
      <c r="N921" s="1075"/>
      <c r="O921" s="1075"/>
      <c r="P921" s="1075"/>
      <c r="Q921" s="1075"/>
      <c r="R921" s="1075"/>
      <c r="S921" s="1075"/>
      <c r="T921" s="1075"/>
      <c r="U921" s="1075"/>
      <c r="V921" s="1075"/>
      <c r="W921" s="1075"/>
      <c r="X921" s="1075"/>
      <c r="Y921" s="1075"/>
      <c r="Z921" s="1075"/>
      <c r="AA921" s="1075"/>
    </row>
    <row r="922" spans="1:27" ht="12.75" customHeight="1">
      <c r="A922" s="1075"/>
      <c r="B922" s="1075"/>
      <c r="C922" s="1075"/>
      <c r="D922" s="1075"/>
      <c r="E922" s="1075"/>
      <c r="F922" s="1075"/>
      <c r="G922" s="1075"/>
      <c r="H922" s="1075"/>
      <c r="I922" s="1075"/>
      <c r="J922" s="1075"/>
      <c r="K922" s="1075"/>
      <c r="L922" s="1075"/>
      <c r="M922" s="1075"/>
      <c r="N922" s="1075"/>
      <c r="O922" s="1075"/>
      <c r="P922" s="1075"/>
      <c r="Q922" s="1075"/>
      <c r="R922" s="1075"/>
      <c r="S922" s="1075"/>
      <c r="T922" s="1075"/>
      <c r="U922" s="1075"/>
      <c r="V922" s="1075"/>
      <c r="W922" s="1075"/>
      <c r="X922" s="1075"/>
      <c r="Y922" s="1075"/>
      <c r="Z922" s="1075"/>
      <c r="AA922" s="1075"/>
    </row>
    <row r="923" spans="1:27" ht="12.75" customHeight="1">
      <c r="A923" s="1075"/>
      <c r="B923" s="1075"/>
      <c r="C923" s="1075"/>
      <c r="D923" s="1075"/>
      <c r="E923" s="1075"/>
      <c r="F923" s="1075"/>
      <c r="G923" s="1075"/>
      <c r="H923" s="1075"/>
      <c r="I923" s="1075"/>
      <c r="J923" s="1075"/>
      <c r="K923" s="1075"/>
      <c r="L923" s="1075"/>
      <c r="M923" s="1075"/>
      <c r="N923" s="1075"/>
      <c r="O923" s="1075"/>
      <c r="P923" s="1075"/>
      <c r="Q923" s="1075"/>
      <c r="R923" s="1075"/>
      <c r="S923" s="1075"/>
      <c r="T923" s="1075"/>
      <c r="U923" s="1075"/>
      <c r="V923" s="1075"/>
      <c r="W923" s="1075"/>
      <c r="X923" s="1075"/>
      <c r="Y923" s="1075"/>
      <c r="Z923" s="1075"/>
      <c r="AA923" s="1075"/>
    </row>
    <row r="924" spans="1:27" ht="12.75" customHeight="1">
      <c r="A924" s="1075"/>
      <c r="B924" s="1075"/>
      <c r="C924" s="1075"/>
      <c r="D924" s="1075"/>
      <c r="E924" s="1075"/>
      <c r="F924" s="1075"/>
      <c r="G924" s="1075"/>
      <c r="H924" s="1075"/>
      <c r="I924" s="1075"/>
      <c r="J924" s="1075"/>
      <c r="K924" s="1075"/>
      <c r="L924" s="1075"/>
      <c r="M924" s="1075"/>
      <c r="N924" s="1075"/>
      <c r="O924" s="1075"/>
      <c r="P924" s="1075"/>
      <c r="Q924" s="1075"/>
      <c r="R924" s="1075"/>
      <c r="S924" s="1075"/>
      <c r="T924" s="1075"/>
      <c r="U924" s="1075"/>
      <c r="V924" s="1075"/>
      <c r="W924" s="1075"/>
      <c r="X924" s="1075"/>
      <c r="Y924" s="1075"/>
      <c r="Z924" s="1075"/>
      <c r="AA924" s="1075"/>
    </row>
    <row r="925" spans="1:27" ht="12.75" customHeight="1">
      <c r="A925" s="1075"/>
      <c r="B925" s="1075"/>
      <c r="C925" s="1075"/>
      <c r="D925" s="1075"/>
      <c r="E925" s="1075"/>
      <c r="F925" s="1075"/>
      <c r="G925" s="1075"/>
      <c r="H925" s="1075"/>
      <c r="I925" s="1075"/>
      <c r="J925" s="1075"/>
      <c r="K925" s="1075"/>
      <c r="L925" s="1075"/>
      <c r="M925" s="1075"/>
      <c r="N925" s="1075"/>
      <c r="O925" s="1075"/>
      <c r="P925" s="1075"/>
      <c r="Q925" s="1075"/>
      <c r="R925" s="1075"/>
      <c r="S925" s="1075"/>
      <c r="T925" s="1075"/>
      <c r="U925" s="1075"/>
      <c r="V925" s="1075"/>
      <c r="W925" s="1075"/>
      <c r="X925" s="1075"/>
      <c r="Y925" s="1075"/>
      <c r="Z925" s="1075"/>
      <c r="AA925" s="1075"/>
    </row>
    <row r="926" spans="1:27" ht="12.75" customHeight="1">
      <c r="A926" s="1075"/>
      <c r="B926" s="1075"/>
      <c r="C926" s="1075"/>
      <c r="D926" s="1075"/>
      <c r="E926" s="1075"/>
      <c r="F926" s="1075"/>
      <c r="G926" s="1075"/>
      <c r="H926" s="1075"/>
      <c r="I926" s="1075"/>
      <c r="J926" s="1075"/>
      <c r="K926" s="1075"/>
      <c r="L926" s="1075"/>
      <c r="M926" s="1075"/>
      <c r="N926" s="1075"/>
      <c r="O926" s="1075"/>
      <c r="P926" s="1075"/>
      <c r="Q926" s="1075"/>
      <c r="R926" s="1075"/>
      <c r="S926" s="1075"/>
      <c r="T926" s="1075"/>
      <c r="U926" s="1075"/>
      <c r="V926" s="1075"/>
      <c r="W926" s="1075"/>
      <c r="X926" s="1075"/>
      <c r="Y926" s="1075"/>
      <c r="Z926" s="1075"/>
      <c r="AA926" s="1075"/>
    </row>
    <row r="927" spans="1:27" ht="12.75" customHeight="1">
      <c r="A927" s="1075"/>
      <c r="B927" s="1075"/>
      <c r="C927" s="1075"/>
      <c r="D927" s="1075"/>
      <c r="E927" s="1075"/>
      <c r="F927" s="1075"/>
      <c r="G927" s="1075"/>
      <c r="H927" s="1075"/>
      <c r="I927" s="1075"/>
      <c r="J927" s="1075"/>
      <c r="K927" s="1075"/>
      <c r="L927" s="1075"/>
      <c r="M927" s="1075"/>
      <c r="N927" s="1075"/>
      <c r="O927" s="1075"/>
      <c r="P927" s="1075"/>
      <c r="Q927" s="1075"/>
      <c r="R927" s="1075"/>
      <c r="S927" s="1075"/>
      <c r="T927" s="1075"/>
      <c r="U927" s="1075"/>
      <c r="V927" s="1075"/>
      <c r="W927" s="1075"/>
      <c r="X927" s="1075"/>
      <c r="Y927" s="1075"/>
      <c r="Z927" s="1075"/>
      <c r="AA927" s="1075"/>
    </row>
    <row r="928" spans="1:27" ht="12.75" customHeight="1">
      <c r="A928" s="1075"/>
      <c r="B928" s="1075"/>
      <c r="C928" s="1075"/>
      <c r="D928" s="1075"/>
      <c r="E928" s="1075"/>
      <c r="F928" s="1075"/>
      <c r="G928" s="1075"/>
      <c r="H928" s="1075"/>
      <c r="I928" s="1075"/>
      <c r="J928" s="1075"/>
      <c r="K928" s="1075"/>
      <c r="L928" s="1075"/>
      <c r="M928" s="1075"/>
      <c r="N928" s="1075"/>
      <c r="O928" s="1075"/>
      <c r="P928" s="1075"/>
      <c r="Q928" s="1075"/>
      <c r="R928" s="1075"/>
      <c r="S928" s="1075"/>
      <c r="T928" s="1075"/>
      <c r="U928" s="1075"/>
      <c r="V928" s="1075"/>
      <c r="W928" s="1075"/>
      <c r="X928" s="1075"/>
      <c r="Y928" s="1075"/>
      <c r="Z928" s="1075"/>
      <c r="AA928" s="1075"/>
    </row>
    <row r="929" spans="1:27" ht="12.75" customHeight="1">
      <c r="A929" s="1075"/>
      <c r="B929" s="1075"/>
      <c r="C929" s="1075"/>
      <c r="D929" s="1075"/>
      <c r="E929" s="1075"/>
      <c r="F929" s="1075"/>
      <c r="G929" s="1075"/>
      <c r="H929" s="1075"/>
      <c r="I929" s="1075"/>
      <c r="J929" s="1075"/>
      <c r="K929" s="1075"/>
      <c r="L929" s="1075"/>
      <c r="M929" s="1075"/>
      <c r="N929" s="1075"/>
      <c r="O929" s="1075"/>
      <c r="P929" s="1075"/>
      <c r="Q929" s="1075"/>
      <c r="R929" s="1075"/>
      <c r="S929" s="1075"/>
      <c r="T929" s="1075"/>
      <c r="U929" s="1075"/>
      <c r="V929" s="1075"/>
      <c r="W929" s="1075"/>
      <c r="X929" s="1075"/>
      <c r="Y929" s="1075"/>
      <c r="Z929" s="1075"/>
      <c r="AA929" s="1075"/>
    </row>
    <row r="930" spans="1:27" ht="12.75" customHeight="1">
      <c r="A930" s="1075"/>
      <c r="B930" s="1075"/>
      <c r="C930" s="1075"/>
      <c r="D930" s="1075"/>
      <c r="E930" s="1075"/>
      <c r="F930" s="1075"/>
      <c r="G930" s="1075"/>
      <c r="H930" s="1075"/>
      <c r="I930" s="1075"/>
      <c r="J930" s="1075"/>
      <c r="K930" s="1075"/>
      <c r="L930" s="1075"/>
      <c r="M930" s="1075"/>
      <c r="N930" s="1075"/>
      <c r="O930" s="1075"/>
      <c r="P930" s="1075"/>
      <c r="Q930" s="1075"/>
      <c r="R930" s="1075"/>
      <c r="S930" s="1075"/>
      <c r="T930" s="1075"/>
      <c r="U930" s="1075"/>
      <c r="V930" s="1075"/>
      <c r="W930" s="1075"/>
      <c r="X930" s="1075"/>
      <c r="Y930" s="1075"/>
      <c r="Z930" s="1075"/>
      <c r="AA930" s="1075"/>
    </row>
    <row r="931" spans="1:27" ht="12.75" customHeight="1">
      <c r="A931" s="1075"/>
      <c r="B931" s="1075"/>
      <c r="C931" s="1075"/>
      <c r="D931" s="1075"/>
      <c r="E931" s="1075"/>
      <c r="F931" s="1075"/>
      <c r="G931" s="1075"/>
      <c r="H931" s="1075"/>
      <c r="I931" s="1075"/>
      <c r="J931" s="1075"/>
      <c r="K931" s="1075"/>
      <c r="L931" s="1075"/>
      <c r="M931" s="1075"/>
      <c r="N931" s="1075"/>
      <c r="O931" s="1075"/>
      <c r="P931" s="1075"/>
      <c r="Q931" s="1075"/>
      <c r="R931" s="1075"/>
      <c r="S931" s="1075"/>
      <c r="T931" s="1075"/>
      <c r="U931" s="1075"/>
      <c r="V931" s="1075"/>
      <c r="W931" s="1075"/>
      <c r="X931" s="1075"/>
      <c r="Y931" s="1075"/>
      <c r="Z931" s="1075"/>
      <c r="AA931" s="1075"/>
    </row>
    <row r="932" spans="1:27" ht="12.75" customHeight="1">
      <c r="A932" s="1075"/>
      <c r="B932" s="1075"/>
      <c r="C932" s="1075"/>
      <c r="D932" s="1075"/>
      <c r="E932" s="1075"/>
      <c r="F932" s="1075"/>
      <c r="G932" s="1075"/>
      <c r="H932" s="1075"/>
      <c r="I932" s="1075"/>
      <c r="J932" s="1075"/>
      <c r="K932" s="1075"/>
      <c r="L932" s="1075"/>
      <c r="M932" s="1075"/>
      <c r="N932" s="1075"/>
      <c r="O932" s="1075"/>
      <c r="P932" s="1075"/>
      <c r="Q932" s="1075"/>
      <c r="R932" s="1075"/>
      <c r="S932" s="1075"/>
      <c r="T932" s="1075"/>
      <c r="U932" s="1075"/>
      <c r="V932" s="1075"/>
      <c r="W932" s="1075"/>
      <c r="X932" s="1075"/>
      <c r="Y932" s="1075"/>
      <c r="Z932" s="1075"/>
      <c r="AA932" s="1075"/>
    </row>
    <row r="933" spans="1:27" ht="12.75" customHeight="1">
      <c r="A933" s="1075"/>
      <c r="B933" s="1075"/>
      <c r="C933" s="1075"/>
      <c r="D933" s="1075"/>
      <c r="E933" s="1075"/>
      <c r="F933" s="1075"/>
      <c r="G933" s="1075"/>
      <c r="H933" s="1075"/>
      <c r="I933" s="1075"/>
      <c r="J933" s="1075"/>
      <c r="K933" s="1075"/>
      <c r="L933" s="1075"/>
      <c r="M933" s="1075"/>
      <c r="N933" s="1075"/>
      <c r="O933" s="1075"/>
      <c r="P933" s="1075"/>
      <c r="Q933" s="1075"/>
      <c r="R933" s="1075"/>
      <c r="S933" s="1075"/>
      <c r="T933" s="1075"/>
      <c r="U933" s="1075"/>
      <c r="V933" s="1075"/>
      <c r="W933" s="1075"/>
      <c r="X933" s="1075"/>
      <c r="Y933" s="1075"/>
      <c r="Z933" s="1075"/>
      <c r="AA933" s="1075"/>
    </row>
    <row r="934" spans="1:27" ht="12.75" customHeight="1">
      <c r="A934" s="1075"/>
      <c r="B934" s="1075"/>
      <c r="C934" s="1075"/>
      <c r="D934" s="1075"/>
      <c r="E934" s="1075"/>
      <c r="F934" s="1075"/>
      <c r="G934" s="1075"/>
      <c r="H934" s="1075"/>
      <c r="I934" s="1075"/>
      <c r="J934" s="1075"/>
      <c r="K934" s="1075"/>
      <c r="L934" s="1075"/>
      <c r="M934" s="1075"/>
      <c r="N934" s="1075"/>
      <c r="O934" s="1075"/>
      <c r="P934" s="1075"/>
      <c r="Q934" s="1075"/>
      <c r="R934" s="1075"/>
      <c r="S934" s="1075"/>
      <c r="T934" s="1075"/>
      <c r="U934" s="1075"/>
      <c r="V934" s="1075"/>
      <c r="W934" s="1075"/>
      <c r="X934" s="1075"/>
      <c r="Y934" s="1075"/>
      <c r="Z934" s="1075"/>
      <c r="AA934" s="1075"/>
    </row>
    <row r="935" spans="1:27" ht="12.75" customHeight="1">
      <c r="A935" s="1075"/>
      <c r="B935" s="1075"/>
      <c r="C935" s="1075"/>
      <c r="D935" s="1075"/>
      <c r="E935" s="1075"/>
      <c r="F935" s="1075"/>
      <c r="G935" s="1075"/>
      <c r="H935" s="1075"/>
      <c r="I935" s="1075"/>
      <c r="J935" s="1075"/>
      <c r="K935" s="1075"/>
      <c r="L935" s="1075"/>
      <c r="M935" s="1075"/>
      <c r="N935" s="1075"/>
      <c r="O935" s="1075"/>
      <c r="P935" s="1075"/>
      <c r="Q935" s="1075"/>
      <c r="R935" s="1075"/>
      <c r="S935" s="1075"/>
      <c r="T935" s="1075"/>
      <c r="U935" s="1075"/>
      <c r="V935" s="1075"/>
      <c r="W935" s="1075"/>
      <c r="X935" s="1075"/>
      <c r="Y935" s="1075"/>
      <c r="Z935" s="1075"/>
      <c r="AA935" s="1075"/>
    </row>
    <row r="936" spans="1:27" ht="12.75" customHeight="1">
      <c r="A936" s="1075"/>
      <c r="B936" s="1075"/>
      <c r="C936" s="1075"/>
      <c r="D936" s="1075"/>
      <c r="E936" s="1075"/>
      <c r="F936" s="1075"/>
      <c r="G936" s="1075"/>
      <c r="H936" s="1075"/>
      <c r="I936" s="1075"/>
      <c r="J936" s="1075"/>
      <c r="K936" s="1075"/>
      <c r="L936" s="1075"/>
      <c r="M936" s="1075"/>
      <c r="N936" s="1075"/>
      <c r="O936" s="1075"/>
      <c r="P936" s="1075"/>
      <c r="Q936" s="1075"/>
      <c r="R936" s="1075"/>
      <c r="S936" s="1075"/>
      <c r="T936" s="1075"/>
      <c r="U936" s="1075"/>
      <c r="V936" s="1075"/>
      <c r="W936" s="1075"/>
      <c r="X936" s="1075"/>
      <c r="Y936" s="1075"/>
      <c r="Z936" s="1075"/>
      <c r="AA936" s="1075"/>
    </row>
    <row r="937" spans="1:27" ht="12.75" customHeight="1">
      <c r="A937" s="1075"/>
      <c r="B937" s="1075"/>
      <c r="C937" s="1075"/>
      <c r="D937" s="1075"/>
      <c r="E937" s="1075"/>
      <c r="F937" s="1075"/>
      <c r="G937" s="1075"/>
      <c r="H937" s="1075"/>
      <c r="I937" s="1075"/>
      <c r="J937" s="1075"/>
      <c r="K937" s="1075"/>
      <c r="L937" s="1075"/>
      <c r="M937" s="1075"/>
      <c r="N937" s="1075"/>
      <c r="O937" s="1075"/>
      <c r="P937" s="1075"/>
      <c r="Q937" s="1075"/>
      <c r="R937" s="1075"/>
      <c r="S937" s="1075"/>
      <c r="T937" s="1075"/>
      <c r="U937" s="1075"/>
      <c r="V937" s="1075"/>
      <c r="W937" s="1075"/>
      <c r="X937" s="1075"/>
      <c r="Y937" s="1075"/>
      <c r="Z937" s="1075"/>
      <c r="AA937" s="1075"/>
    </row>
    <row r="938" spans="1:27" ht="12.75" customHeight="1">
      <c r="A938" s="1075"/>
      <c r="B938" s="1075"/>
      <c r="C938" s="1075"/>
      <c r="D938" s="1075"/>
      <c r="E938" s="1075"/>
      <c r="F938" s="1075"/>
      <c r="G938" s="1075"/>
      <c r="H938" s="1075"/>
      <c r="I938" s="1075"/>
      <c r="J938" s="1075"/>
      <c r="K938" s="1075"/>
      <c r="L938" s="1075"/>
      <c r="M938" s="1075"/>
      <c r="N938" s="1075"/>
      <c r="O938" s="1075"/>
      <c r="P938" s="1075"/>
      <c r="Q938" s="1075"/>
      <c r="R938" s="1075"/>
      <c r="S938" s="1075"/>
      <c r="T938" s="1075"/>
      <c r="U938" s="1075"/>
      <c r="V938" s="1075"/>
      <c r="W938" s="1075"/>
      <c r="X938" s="1075"/>
      <c r="Y938" s="1075"/>
      <c r="Z938" s="1075"/>
      <c r="AA938" s="1075"/>
    </row>
    <row r="939" spans="1:27" ht="12.75" customHeight="1">
      <c r="A939" s="1075"/>
      <c r="B939" s="1075"/>
      <c r="C939" s="1075"/>
      <c r="D939" s="1075"/>
      <c r="E939" s="1075"/>
      <c r="F939" s="1075"/>
      <c r="G939" s="1075"/>
      <c r="H939" s="1075"/>
      <c r="I939" s="1075"/>
      <c r="J939" s="1075"/>
      <c r="K939" s="1075"/>
      <c r="L939" s="1075"/>
      <c r="M939" s="1075"/>
      <c r="N939" s="1075"/>
      <c r="O939" s="1075"/>
      <c r="P939" s="1075"/>
      <c r="Q939" s="1075"/>
      <c r="R939" s="1075"/>
      <c r="S939" s="1075"/>
      <c r="T939" s="1075"/>
      <c r="U939" s="1075"/>
      <c r="V939" s="1075"/>
      <c r="W939" s="1075"/>
      <c r="X939" s="1075"/>
      <c r="Y939" s="1075"/>
      <c r="Z939" s="1075"/>
      <c r="AA939" s="1075"/>
    </row>
    <row r="940" spans="1:27" ht="12.75" customHeight="1">
      <c r="A940" s="1075"/>
      <c r="B940" s="1075"/>
      <c r="C940" s="1075"/>
      <c r="D940" s="1075"/>
      <c r="E940" s="1075"/>
      <c r="F940" s="1075"/>
      <c r="G940" s="1075"/>
      <c r="H940" s="1075"/>
      <c r="I940" s="1075"/>
      <c r="J940" s="1075"/>
      <c r="K940" s="1075"/>
      <c r="L940" s="1075"/>
      <c r="M940" s="1075"/>
      <c r="N940" s="1075"/>
      <c r="O940" s="1075"/>
      <c r="P940" s="1075"/>
      <c r="Q940" s="1075"/>
      <c r="R940" s="1075"/>
      <c r="S940" s="1075"/>
      <c r="T940" s="1075"/>
      <c r="U940" s="1075"/>
      <c r="V940" s="1075"/>
      <c r="W940" s="1075"/>
      <c r="X940" s="1075"/>
      <c r="Y940" s="1075"/>
      <c r="Z940" s="1075"/>
      <c r="AA940" s="1075"/>
    </row>
    <row r="941" spans="1:27" ht="12.75" customHeight="1">
      <c r="A941" s="1075"/>
      <c r="B941" s="1075"/>
      <c r="C941" s="1075"/>
      <c r="D941" s="1075"/>
      <c r="E941" s="1075"/>
      <c r="F941" s="1075"/>
      <c r="G941" s="1075"/>
      <c r="H941" s="1075"/>
      <c r="I941" s="1075"/>
      <c r="J941" s="1075"/>
      <c r="K941" s="1075"/>
      <c r="L941" s="1075"/>
      <c r="M941" s="1075"/>
      <c r="N941" s="1075"/>
      <c r="O941" s="1075"/>
      <c r="P941" s="1075"/>
      <c r="Q941" s="1075"/>
      <c r="R941" s="1075"/>
      <c r="S941" s="1075"/>
      <c r="T941" s="1075"/>
      <c r="U941" s="1075"/>
      <c r="V941" s="1075"/>
      <c r="W941" s="1075"/>
      <c r="X941" s="1075"/>
      <c r="Y941" s="1075"/>
      <c r="Z941" s="1075"/>
      <c r="AA941" s="1075"/>
    </row>
    <row r="942" spans="1:27" ht="12.75" customHeight="1">
      <c r="A942" s="1075"/>
      <c r="B942" s="1075"/>
      <c r="C942" s="1075"/>
      <c r="D942" s="1075"/>
      <c r="E942" s="1075"/>
      <c r="F942" s="1075"/>
      <c r="G942" s="1075"/>
      <c r="H942" s="1075"/>
      <c r="I942" s="1075"/>
      <c r="J942" s="1075"/>
      <c r="K942" s="1075"/>
      <c r="L942" s="1075"/>
      <c r="M942" s="1075"/>
      <c r="N942" s="1075"/>
      <c r="O942" s="1075"/>
      <c r="P942" s="1075"/>
      <c r="Q942" s="1075"/>
      <c r="R942" s="1075"/>
      <c r="S942" s="1075"/>
      <c r="T942" s="1075"/>
      <c r="U942" s="1075"/>
      <c r="V942" s="1075"/>
      <c r="W942" s="1075"/>
      <c r="X942" s="1075"/>
      <c r="Y942" s="1075"/>
      <c r="Z942" s="1075"/>
      <c r="AA942" s="1075"/>
    </row>
    <row r="943" spans="1:27" ht="12.75" customHeight="1">
      <c r="A943" s="1075"/>
      <c r="B943" s="1075"/>
      <c r="C943" s="1075"/>
      <c r="D943" s="1075"/>
      <c r="E943" s="1075"/>
      <c r="F943" s="1075"/>
      <c r="G943" s="1075"/>
      <c r="H943" s="1075"/>
      <c r="I943" s="1075"/>
      <c r="J943" s="1075"/>
      <c r="K943" s="1075"/>
      <c r="L943" s="1075"/>
      <c r="M943" s="1075"/>
      <c r="N943" s="1075"/>
      <c r="O943" s="1075"/>
      <c r="P943" s="1075"/>
      <c r="Q943" s="1075"/>
      <c r="R943" s="1075"/>
      <c r="S943" s="1075"/>
      <c r="T943" s="1075"/>
      <c r="U943" s="1075"/>
      <c r="V943" s="1075"/>
      <c r="W943" s="1075"/>
      <c r="X943" s="1075"/>
      <c r="Y943" s="1075"/>
      <c r="Z943" s="1075"/>
      <c r="AA943" s="1075"/>
    </row>
    <row r="944" spans="1:27" ht="12.75" customHeight="1">
      <c r="A944" s="1075"/>
      <c r="B944" s="1075"/>
      <c r="C944" s="1075"/>
      <c r="D944" s="1075"/>
      <c r="E944" s="1075"/>
      <c r="F944" s="1075"/>
      <c r="G944" s="1075"/>
      <c r="H944" s="1075"/>
      <c r="I944" s="1075"/>
      <c r="J944" s="1075"/>
      <c r="K944" s="1075"/>
      <c r="L944" s="1075"/>
      <c r="M944" s="1075"/>
      <c r="N944" s="1075"/>
      <c r="O944" s="1075"/>
      <c r="P944" s="1075"/>
      <c r="Q944" s="1075"/>
      <c r="R944" s="1075"/>
      <c r="S944" s="1075"/>
      <c r="T944" s="1075"/>
      <c r="U944" s="1075"/>
      <c r="V944" s="1075"/>
      <c r="W944" s="1075"/>
      <c r="X944" s="1075"/>
      <c r="Y944" s="1075"/>
      <c r="Z944" s="1075"/>
      <c r="AA944" s="1075"/>
    </row>
    <row r="945" spans="1:27" ht="12.75" customHeight="1">
      <c r="A945" s="1075"/>
      <c r="B945" s="1075"/>
      <c r="C945" s="1075"/>
      <c r="D945" s="1075"/>
      <c r="E945" s="1075"/>
      <c r="F945" s="1075"/>
      <c r="G945" s="1075"/>
      <c r="H945" s="1075"/>
      <c r="I945" s="1075"/>
      <c r="J945" s="1075"/>
      <c r="K945" s="1075"/>
      <c r="L945" s="1075"/>
      <c r="M945" s="1075"/>
      <c r="N945" s="1075"/>
      <c r="O945" s="1075"/>
      <c r="P945" s="1075"/>
      <c r="Q945" s="1075"/>
      <c r="R945" s="1075"/>
      <c r="S945" s="1075"/>
      <c r="T945" s="1075"/>
      <c r="U945" s="1075"/>
      <c r="V945" s="1075"/>
      <c r="W945" s="1075"/>
      <c r="X945" s="1075"/>
      <c r="Y945" s="1075"/>
      <c r="Z945" s="1075"/>
      <c r="AA945" s="1075"/>
    </row>
    <row r="946" spans="1:27" ht="12.75" customHeight="1">
      <c r="A946" s="1075"/>
      <c r="B946" s="1075"/>
      <c r="C946" s="1075"/>
      <c r="D946" s="1075"/>
      <c r="E946" s="1075"/>
      <c r="F946" s="1075"/>
      <c r="G946" s="1075"/>
      <c r="H946" s="1075"/>
      <c r="I946" s="1075"/>
      <c r="J946" s="1075"/>
      <c r="K946" s="1075"/>
      <c r="L946" s="1075"/>
      <c r="M946" s="1075"/>
      <c r="N946" s="1075"/>
      <c r="O946" s="1075"/>
      <c r="P946" s="1075"/>
      <c r="Q946" s="1075"/>
      <c r="R946" s="1075"/>
      <c r="S946" s="1075"/>
      <c r="T946" s="1075"/>
      <c r="U946" s="1075"/>
      <c r="V946" s="1075"/>
      <c r="W946" s="1075"/>
      <c r="X946" s="1075"/>
      <c r="Y946" s="1075"/>
      <c r="Z946" s="1075"/>
      <c r="AA946" s="1075"/>
    </row>
    <row r="947" spans="1:27" ht="12.75" customHeight="1">
      <c r="A947" s="1075"/>
      <c r="B947" s="1075"/>
      <c r="C947" s="1075"/>
      <c r="D947" s="1075"/>
      <c r="E947" s="1075"/>
      <c r="F947" s="1075"/>
      <c r="G947" s="1075"/>
      <c r="H947" s="1075"/>
      <c r="I947" s="1075"/>
      <c r="J947" s="1075"/>
      <c r="K947" s="1075"/>
      <c r="L947" s="1075"/>
      <c r="M947" s="1075"/>
      <c r="N947" s="1075"/>
      <c r="O947" s="1075"/>
      <c r="P947" s="1075"/>
      <c r="Q947" s="1075"/>
      <c r="R947" s="1075"/>
      <c r="S947" s="1075"/>
      <c r="T947" s="1075"/>
      <c r="U947" s="1075"/>
      <c r="V947" s="1075"/>
      <c r="W947" s="1075"/>
      <c r="X947" s="1075"/>
      <c r="Y947" s="1075"/>
      <c r="Z947" s="1075"/>
      <c r="AA947" s="1075"/>
    </row>
    <row r="948" spans="1:27" ht="12.75" customHeight="1">
      <c r="A948" s="1075"/>
      <c r="B948" s="1075"/>
      <c r="C948" s="1075"/>
      <c r="D948" s="1075"/>
      <c r="E948" s="1075"/>
      <c r="F948" s="1075"/>
      <c r="G948" s="1075"/>
      <c r="H948" s="1075"/>
      <c r="I948" s="1075"/>
      <c r="J948" s="1075"/>
      <c r="K948" s="1075"/>
      <c r="L948" s="1075"/>
      <c r="M948" s="1075"/>
      <c r="N948" s="1075"/>
      <c r="O948" s="1075"/>
      <c r="P948" s="1075"/>
      <c r="Q948" s="1075"/>
      <c r="R948" s="1075"/>
      <c r="S948" s="1075"/>
      <c r="T948" s="1075"/>
      <c r="U948" s="1075"/>
      <c r="V948" s="1075"/>
      <c r="W948" s="1075"/>
      <c r="X948" s="1075"/>
      <c r="Y948" s="1075"/>
      <c r="Z948" s="1075"/>
      <c r="AA948" s="1075"/>
    </row>
    <row r="949" spans="1:27" ht="12.75" customHeight="1">
      <c r="A949" s="1075"/>
      <c r="B949" s="1075"/>
      <c r="C949" s="1075"/>
      <c r="D949" s="1075"/>
      <c r="E949" s="1075"/>
      <c r="F949" s="1075"/>
      <c r="G949" s="1075"/>
      <c r="H949" s="1075"/>
      <c r="I949" s="1075"/>
      <c r="J949" s="1075"/>
      <c r="K949" s="1075"/>
      <c r="L949" s="1075"/>
      <c r="M949" s="1075"/>
      <c r="N949" s="1075"/>
      <c r="O949" s="1075"/>
      <c r="P949" s="1075"/>
      <c r="Q949" s="1075"/>
      <c r="R949" s="1075"/>
      <c r="S949" s="1075"/>
      <c r="T949" s="1075"/>
      <c r="U949" s="1075"/>
      <c r="V949" s="1075"/>
      <c r="W949" s="1075"/>
      <c r="X949" s="1075"/>
      <c r="Y949" s="1075"/>
      <c r="Z949" s="1075"/>
      <c r="AA949" s="1075"/>
    </row>
    <row r="950" spans="1:27" ht="12.75" customHeight="1">
      <c r="A950" s="1075"/>
      <c r="B950" s="1075"/>
      <c r="C950" s="1075"/>
      <c r="D950" s="1075"/>
      <c r="E950" s="1075"/>
      <c r="F950" s="1075"/>
      <c r="G950" s="1075"/>
      <c r="H950" s="1075"/>
      <c r="I950" s="1075"/>
      <c r="J950" s="1075"/>
      <c r="K950" s="1075"/>
      <c r="L950" s="1075"/>
      <c r="M950" s="1075"/>
      <c r="N950" s="1075"/>
      <c r="O950" s="1075"/>
      <c r="P950" s="1075"/>
      <c r="Q950" s="1075"/>
      <c r="R950" s="1075"/>
      <c r="S950" s="1075"/>
      <c r="T950" s="1075"/>
      <c r="U950" s="1075"/>
      <c r="V950" s="1075"/>
      <c r="W950" s="1075"/>
      <c r="X950" s="1075"/>
      <c r="Y950" s="1075"/>
      <c r="Z950" s="1075"/>
      <c r="AA950" s="1075"/>
    </row>
    <row r="951" spans="1:27" ht="12.75" customHeight="1">
      <c r="A951" s="1075"/>
      <c r="B951" s="1075"/>
      <c r="C951" s="1075"/>
      <c r="D951" s="1075"/>
      <c r="E951" s="1075"/>
      <c r="F951" s="1075"/>
      <c r="G951" s="1075"/>
      <c r="H951" s="1075"/>
      <c r="I951" s="1075"/>
      <c r="J951" s="1075"/>
      <c r="K951" s="1075"/>
      <c r="L951" s="1075"/>
      <c r="M951" s="1075"/>
      <c r="N951" s="1075"/>
      <c r="O951" s="1075"/>
      <c r="P951" s="1075"/>
      <c r="Q951" s="1075"/>
      <c r="R951" s="1075"/>
      <c r="S951" s="1075"/>
      <c r="T951" s="1075"/>
      <c r="U951" s="1075"/>
      <c r="V951" s="1075"/>
      <c r="W951" s="1075"/>
      <c r="X951" s="1075"/>
      <c r="Y951" s="1075"/>
      <c r="Z951" s="1075"/>
      <c r="AA951" s="1075"/>
    </row>
    <row r="952" spans="1:27" ht="12.75" customHeight="1">
      <c r="A952" s="1075"/>
      <c r="B952" s="1075"/>
      <c r="C952" s="1075"/>
      <c r="D952" s="1075"/>
      <c r="E952" s="1075"/>
      <c r="F952" s="1075"/>
      <c r="G952" s="1075"/>
      <c r="H952" s="1075"/>
      <c r="I952" s="1075"/>
      <c r="J952" s="1075"/>
      <c r="K952" s="1075"/>
      <c r="L952" s="1075"/>
      <c r="M952" s="1075"/>
      <c r="N952" s="1075"/>
      <c r="O952" s="1075"/>
      <c r="P952" s="1075"/>
      <c r="Q952" s="1075"/>
      <c r="R952" s="1075"/>
      <c r="S952" s="1075"/>
      <c r="T952" s="1075"/>
      <c r="U952" s="1075"/>
      <c r="V952" s="1075"/>
      <c r="W952" s="1075"/>
      <c r="X952" s="1075"/>
      <c r="Y952" s="1075"/>
      <c r="Z952" s="1075"/>
      <c r="AA952" s="1075"/>
    </row>
    <row r="953" spans="1:27" ht="12.75" customHeight="1">
      <c r="A953" s="1075"/>
      <c r="B953" s="1075"/>
      <c r="C953" s="1075"/>
      <c r="D953" s="1075"/>
      <c r="E953" s="1075"/>
      <c r="F953" s="1075"/>
      <c r="G953" s="1075"/>
      <c r="H953" s="1075"/>
      <c r="I953" s="1075"/>
      <c r="J953" s="1075"/>
      <c r="K953" s="1075"/>
      <c r="L953" s="1075"/>
      <c r="M953" s="1075"/>
      <c r="N953" s="1075"/>
      <c r="O953" s="1075"/>
      <c r="P953" s="1075"/>
      <c r="Q953" s="1075"/>
      <c r="R953" s="1075"/>
      <c r="S953" s="1075"/>
      <c r="T953" s="1075"/>
      <c r="U953" s="1075"/>
      <c r="V953" s="1075"/>
      <c r="W953" s="1075"/>
      <c r="X953" s="1075"/>
      <c r="Y953" s="1075"/>
      <c r="Z953" s="1075"/>
      <c r="AA953" s="1075"/>
    </row>
    <row r="954" spans="1:27" ht="12.75" customHeight="1">
      <c r="A954" s="1075"/>
      <c r="B954" s="1075"/>
      <c r="C954" s="1075"/>
      <c r="D954" s="1075"/>
      <c r="E954" s="1075"/>
      <c r="F954" s="1075"/>
      <c r="G954" s="1075"/>
      <c r="H954" s="1075"/>
      <c r="I954" s="1075"/>
      <c r="J954" s="1075"/>
      <c r="K954" s="1075"/>
      <c r="L954" s="1075"/>
      <c r="M954" s="1075"/>
      <c r="N954" s="1075"/>
      <c r="O954" s="1075"/>
      <c r="P954" s="1075"/>
      <c r="Q954" s="1075"/>
      <c r="R954" s="1075"/>
      <c r="S954" s="1075"/>
      <c r="T954" s="1075"/>
      <c r="U954" s="1075"/>
      <c r="V954" s="1075"/>
      <c r="W954" s="1075"/>
      <c r="X954" s="1075"/>
      <c r="Y954" s="1075"/>
      <c r="Z954" s="1075"/>
      <c r="AA954" s="1075"/>
    </row>
    <row r="955" spans="1:27" ht="12.75" customHeight="1">
      <c r="A955" s="1075"/>
      <c r="B955" s="1075"/>
      <c r="C955" s="1075"/>
      <c r="D955" s="1075"/>
      <c r="E955" s="1075"/>
      <c r="F955" s="1075"/>
      <c r="G955" s="1075"/>
      <c r="H955" s="1075"/>
      <c r="I955" s="1075"/>
      <c r="J955" s="1075"/>
      <c r="K955" s="1075"/>
      <c r="L955" s="1075"/>
      <c r="M955" s="1075"/>
      <c r="N955" s="1075"/>
      <c r="O955" s="1075"/>
      <c r="P955" s="1075"/>
      <c r="Q955" s="1075"/>
      <c r="R955" s="1075"/>
      <c r="S955" s="1075"/>
      <c r="T955" s="1075"/>
      <c r="U955" s="1075"/>
      <c r="V955" s="1075"/>
      <c r="W955" s="1075"/>
      <c r="X955" s="1075"/>
      <c r="Y955" s="1075"/>
      <c r="Z955" s="1075"/>
      <c r="AA955" s="1075"/>
    </row>
    <row r="956" spans="1:27" ht="12.75" customHeight="1">
      <c r="A956" s="1075"/>
      <c r="B956" s="1075"/>
      <c r="C956" s="1075"/>
      <c r="D956" s="1075"/>
      <c r="E956" s="1075"/>
      <c r="F956" s="1075"/>
      <c r="G956" s="1075"/>
      <c r="H956" s="1075"/>
      <c r="I956" s="1075"/>
      <c r="J956" s="1075"/>
      <c r="K956" s="1075"/>
      <c r="L956" s="1075"/>
      <c r="M956" s="1075"/>
      <c r="N956" s="1075"/>
      <c r="O956" s="1075"/>
      <c r="P956" s="1075"/>
      <c r="Q956" s="1075"/>
      <c r="R956" s="1075"/>
      <c r="S956" s="1075"/>
      <c r="T956" s="1075"/>
      <c r="U956" s="1075"/>
      <c r="V956" s="1075"/>
      <c r="W956" s="1075"/>
      <c r="X956" s="1075"/>
      <c r="Y956" s="1075"/>
      <c r="Z956" s="1075"/>
      <c r="AA956" s="1075"/>
    </row>
    <row r="957" spans="1:27" ht="12.75" customHeight="1">
      <c r="A957" s="1075"/>
      <c r="B957" s="1075"/>
      <c r="C957" s="1075"/>
      <c r="D957" s="1075"/>
      <c r="E957" s="1075"/>
      <c r="F957" s="1075"/>
      <c r="G957" s="1075"/>
      <c r="H957" s="1075"/>
      <c r="I957" s="1075"/>
      <c r="J957" s="1075"/>
      <c r="K957" s="1075"/>
      <c r="L957" s="1075"/>
      <c r="M957" s="1075"/>
      <c r="N957" s="1075"/>
      <c r="O957" s="1075"/>
      <c r="P957" s="1075"/>
      <c r="Q957" s="1075"/>
      <c r="R957" s="1075"/>
      <c r="S957" s="1075"/>
      <c r="T957" s="1075"/>
      <c r="U957" s="1075"/>
      <c r="V957" s="1075"/>
      <c r="W957" s="1075"/>
      <c r="X957" s="1075"/>
      <c r="Y957" s="1075"/>
      <c r="Z957" s="1075"/>
      <c r="AA957" s="1075"/>
    </row>
    <row r="958" spans="1:27" ht="12.75" customHeight="1">
      <c r="A958" s="1075"/>
      <c r="B958" s="1075"/>
      <c r="C958" s="1075"/>
      <c r="D958" s="1075"/>
      <c r="E958" s="1075"/>
      <c r="F958" s="1075"/>
      <c r="G958" s="1075"/>
      <c r="H958" s="1075"/>
      <c r="I958" s="1075"/>
      <c r="J958" s="1075"/>
      <c r="K958" s="1075"/>
      <c r="L958" s="1075"/>
      <c r="M958" s="1075"/>
      <c r="N958" s="1075"/>
      <c r="O958" s="1075"/>
      <c r="P958" s="1075"/>
      <c r="Q958" s="1075"/>
      <c r="R958" s="1075"/>
      <c r="S958" s="1075"/>
      <c r="T958" s="1075"/>
      <c r="U958" s="1075"/>
      <c r="V958" s="1075"/>
      <c r="W958" s="1075"/>
      <c r="X958" s="1075"/>
      <c r="Y958" s="1075"/>
      <c r="Z958" s="1075"/>
      <c r="AA958" s="1075"/>
    </row>
    <row r="959" spans="1:27" ht="12.75" customHeight="1">
      <c r="A959" s="1075"/>
      <c r="B959" s="1075"/>
      <c r="C959" s="1075"/>
      <c r="D959" s="1075"/>
      <c r="E959" s="1075"/>
      <c r="F959" s="1075"/>
      <c r="G959" s="1075"/>
      <c r="H959" s="1075"/>
      <c r="I959" s="1075"/>
      <c r="J959" s="1075"/>
      <c r="K959" s="1075"/>
      <c r="L959" s="1075"/>
      <c r="M959" s="1075"/>
      <c r="N959" s="1075"/>
      <c r="O959" s="1075"/>
      <c r="P959" s="1075"/>
      <c r="Q959" s="1075"/>
      <c r="R959" s="1075"/>
      <c r="S959" s="1075"/>
      <c r="T959" s="1075"/>
      <c r="U959" s="1075"/>
      <c r="V959" s="1075"/>
      <c r="W959" s="1075"/>
      <c r="X959" s="1075"/>
      <c r="Y959" s="1075"/>
      <c r="Z959" s="1075"/>
      <c r="AA959" s="1075"/>
    </row>
    <row r="960" spans="1:27" ht="12.75" customHeight="1">
      <c r="A960" s="1075"/>
      <c r="B960" s="1075"/>
      <c r="C960" s="1075"/>
      <c r="D960" s="1075"/>
      <c r="E960" s="1075"/>
      <c r="F960" s="1075"/>
      <c r="G960" s="1075"/>
      <c r="H960" s="1075"/>
      <c r="I960" s="1075"/>
      <c r="J960" s="1075"/>
      <c r="K960" s="1075"/>
      <c r="L960" s="1075"/>
      <c r="M960" s="1075"/>
      <c r="N960" s="1075"/>
      <c r="O960" s="1075"/>
      <c r="P960" s="1075"/>
      <c r="Q960" s="1075"/>
      <c r="R960" s="1075"/>
      <c r="S960" s="1075"/>
      <c r="T960" s="1075"/>
      <c r="U960" s="1075"/>
      <c r="V960" s="1075"/>
      <c r="W960" s="1075"/>
      <c r="X960" s="1075"/>
      <c r="Y960" s="1075"/>
      <c r="Z960" s="1075"/>
      <c r="AA960" s="1075"/>
    </row>
    <row r="961" spans="1:27" ht="12.75" customHeight="1">
      <c r="A961" s="1075"/>
      <c r="B961" s="1075"/>
      <c r="C961" s="1075"/>
      <c r="D961" s="1075"/>
      <c r="E961" s="1075"/>
      <c r="F961" s="1075"/>
      <c r="G961" s="1075"/>
      <c r="H961" s="1075"/>
      <c r="I961" s="1075"/>
      <c r="J961" s="1075"/>
      <c r="K961" s="1075"/>
      <c r="L961" s="1075"/>
      <c r="M961" s="1075"/>
      <c r="N961" s="1075"/>
      <c r="O961" s="1075"/>
      <c r="P961" s="1075"/>
      <c r="Q961" s="1075"/>
      <c r="R961" s="1075"/>
      <c r="S961" s="1075"/>
      <c r="T961" s="1075"/>
      <c r="U961" s="1075"/>
      <c r="V961" s="1075"/>
      <c r="W961" s="1075"/>
      <c r="X961" s="1075"/>
      <c r="Y961" s="1075"/>
      <c r="Z961" s="1075"/>
      <c r="AA961" s="1075"/>
    </row>
    <row r="962" spans="1:27" ht="12.75" customHeight="1">
      <c r="A962" s="1075"/>
      <c r="B962" s="1075"/>
      <c r="C962" s="1075"/>
      <c r="D962" s="1075"/>
      <c r="E962" s="1075"/>
      <c r="F962" s="1075"/>
      <c r="G962" s="1075"/>
      <c r="H962" s="1075"/>
      <c r="I962" s="1075"/>
      <c r="J962" s="1075"/>
      <c r="K962" s="1075"/>
      <c r="L962" s="1075"/>
      <c r="M962" s="1075"/>
      <c r="N962" s="1075"/>
      <c r="O962" s="1075"/>
      <c r="P962" s="1075"/>
      <c r="Q962" s="1075"/>
      <c r="R962" s="1075"/>
      <c r="S962" s="1075"/>
      <c r="T962" s="1075"/>
      <c r="U962" s="1075"/>
      <c r="V962" s="1075"/>
      <c r="W962" s="1075"/>
      <c r="X962" s="1075"/>
      <c r="Y962" s="1075"/>
      <c r="Z962" s="1075"/>
      <c r="AA962" s="1075"/>
    </row>
    <row r="963" spans="1:27" ht="12.75" customHeight="1">
      <c r="A963" s="1075"/>
      <c r="B963" s="1075"/>
      <c r="C963" s="1075"/>
      <c r="D963" s="1075"/>
      <c r="E963" s="1075"/>
      <c r="F963" s="1075"/>
      <c r="G963" s="1075"/>
      <c r="H963" s="1075"/>
      <c r="I963" s="1075"/>
      <c r="J963" s="1075"/>
      <c r="K963" s="1075"/>
      <c r="L963" s="1075"/>
      <c r="M963" s="1075"/>
      <c r="N963" s="1075"/>
      <c r="O963" s="1075"/>
      <c r="P963" s="1075"/>
      <c r="Q963" s="1075"/>
      <c r="R963" s="1075"/>
      <c r="S963" s="1075"/>
      <c r="T963" s="1075"/>
      <c r="U963" s="1075"/>
      <c r="V963" s="1075"/>
      <c r="W963" s="1075"/>
      <c r="X963" s="1075"/>
      <c r="Y963" s="1075"/>
      <c r="Z963" s="1075"/>
      <c r="AA963" s="1075"/>
    </row>
    <row r="964" spans="1:27" ht="12.75" customHeight="1">
      <c r="A964" s="1075"/>
      <c r="B964" s="1075"/>
      <c r="C964" s="1075"/>
      <c r="D964" s="1075"/>
      <c r="E964" s="1075"/>
      <c r="F964" s="1075"/>
      <c r="G964" s="1075"/>
      <c r="H964" s="1075"/>
      <c r="I964" s="1075"/>
      <c r="J964" s="1075"/>
      <c r="K964" s="1075"/>
      <c r="L964" s="1075"/>
      <c r="M964" s="1075"/>
      <c r="N964" s="1075"/>
      <c r="O964" s="1075"/>
      <c r="P964" s="1075"/>
      <c r="Q964" s="1075"/>
      <c r="R964" s="1075"/>
      <c r="S964" s="1075"/>
      <c r="T964" s="1075"/>
      <c r="U964" s="1075"/>
      <c r="V964" s="1075"/>
      <c r="W964" s="1075"/>
      <c r="X964" s="1075"/>
      <c r="Y964" s="1075"/>
      <c r="Z964" s="1075"/>
      <c r="AA964" s="1075"/>
    </row>
    <row r="965" spans="1:27" ht="12.75" customHeight="1">
      <c r="A965" s="1075"/>
      <c r="B965" s="1075"/>
      <c r="C965" s="1075"/>
      <c r="D965" s="1075"/>
      <c r="E965" s="1075"/>
      <c r="F965" s="1075"/>
      <c r="G965" s="1075"/>
      <c r="H965" s="1075"/>
      <c r="I965" s="1075"/>
      <c r="J965" s="1075"/>
      <c r="K965" s="1075"/>
      <c r="L965" s="1075"/>
      <c r="M965" s="1075"/>
      <c r="N965" s="1075"/>
      <c r="O965" s="1075"/>
      <c r="P965" s="1075"/>
      <c r="Q965" s="1075"/>
      <c r="R965" s="1075"/>
      <c r="S965" s="1075"/>
      <c r="T965" s="1075"/>
      <c r="U965" s="1075"/>
      <c r="V965" s="1075"/>
      <c r="W965" s="1075"/>
      <c r="X965" s="1075"/>
      <c r="Y965" s="1075"/>
      <c r="Z965" s="1075"/>
      <c r="AA965" s="1075"/>
    </row>
    <row r="966" spans="1:27" ht="12.75" customHeight="1">
      <c r="A966" s="1075"/>
      <c r="B966" s="1075"/>
      <c r="C966" s="1075"/>
      <c r="D966" s="1075"/>
      <c r="E966" s="1075"/>
      <c r="F966" s="1075"/>
      <c r="G966" s="1075"/>
      <c r="H966" s="1075"/>
      <c r="I966" s="1075"/>
      <c r="J966" s="1075"/>
      <c r="K966" s="1075"/>
      <c r="L966" s="1075"/>
      <c r="M966" s="1075"/>
      <c r="N966" s="1075"/>
      <c r="O966" s="1075"/>
      <c r="P966" s="1075"/>
      <c r="Q966" s="1075"/>
      <c r="R966" s="1075"/>
      <c r="S966" s="1075"/>
      <c r="T966" s="1075"/>
      <c r="U966" s="1075"/>
      <c r="V966" s="1075"/>
      <c r="W966" s="1075"/>
      <c r="X966" s="1075"/>
      <c r="Y966" s="1075"/>
      <c r="Z966" s="1075"/>
      <c r="AA966" s="1075"/>
    </row>
    <row r="967" spans="1:27" ht="12.75" customHeight="1">
      <c r="A967" s="1075"/>
      <c r="B967" s="1075"/>
      <c r="C967" s="1075"/>
      <c r="D967" s="1075"/>
      <c r="E967" s="1075"/>
      <c r="F967" s="1075"/>
      <c r="G967" s="1075"/>
      <c r="H967" s="1075"/>
      <c r="I967" s="1075"/>
      <c r="J967" s="1075"/>
      <c r="K967" s="1075"/>
      <c r="L967" s="1075"/>
      <c r="M967" s="1075"/>
      <c r="N967" s="1075"/>
      <c r="O967" s="1075"/>
      <c r="P967" s="1075"/>
      <c r="Q967" s="1075"/>
      <c r="R967" s="1075"/>
      <c r="S967" s="1075"/>
      <c r="T967" s="1075"/>
      <c r="U967" s="1075"/>
      <c r="V967" s="1075"/>
      <c r="W967" s="1075"/>
      <c r="X967" s="1075"/>
      <c r="Y967" s="1075"/>
      <c r="Z967" s="1075"/>
      <c r="AA967" s="1075"/>
    </row>
    <row r="968" spans="1:27" ht="12.75" customHeight="1">
      <c r="A968" s="1075"/>
      <c r="B968" s="1075"/>
      <c r="C968" s="1075"/>
      <c r="D968" s="1075"/>
      <c r="E968" s="1075"/>
      <c r="F968" s="1075"/>
      <c r="G968" s="1075"/>
      <c r="H968" s="1075"/>
      <c r="I968" s="1075"/>
      <c r="J968" s="1075"/>
      <c r="K968" s="1075"/>
      <c r="L968" s="1075"/>
      <c r="M968" s="1075"/>
      <c r="N968" s="1075"/>
      <c r="O968" s="1075"/>
      <c r="P968" s="1075"/>
      <c r="Q968" s="1075"/>
      <c r="R968" s="1075"/>
      <c r="S968" s="1075"/>
      <c r="T968" s="1075"/>
      <c r="U968" s="1075"/>
      <c r="V968" s="1075"/>
      <c r="W968" s="1075"/>
      <c r="X968" s="1075"/>
      <c r="Y968" s="1075"/>
      <c r="Z968" s="1075"/>
      <c r="AA968" s="1075"/>
    </row>
    <row r="969" spans="1:27" ht="12.75" customHeight="1">
      <c r="A969" s="1075"/>
      <c r="B969" s="1075"/>
      <c r="C969" s="1075"/>
      <c r="D969" s="1075"/>
      <c r="E969" s="1075"/>
      <c r="F969" s="1075"/>
      <c r="G969" s="1075"/>
      <c r="H969" s="1075"/>
      <c r="I969" s="1075"/>
      <c r="J969" s="1075"/>
      <c r="K969" s="1075"/>
      <c r="L969" s="1075"/>
      <c r="M969" s="1075"/>
      <c r="N969" s="1075"/>
      <c r="O969" s="1075"/>
      <c r="P969" s="1075"/>
      <c r="Q969" s="1075"/>
      <c r="R969" s="1075"/>
      <c r="S969" s="1075"/>
      <c r="T969" s="1075"/>
      <c r="U969" s="1075"/>
      <c r="V969" s="1075"/>
      <c r="W969" s="1075"/>
      <c r="X969" s="1075"/>
      <c r="Y969" s="1075"/>
      <c r="Z969" s="1075"/>
      <c r="AA969" s="1075"/>
    </row>
    <row r="970" spans="1:27" ht="12.75" customHeight="1">
      <c r="A970" s="1075"/>
      <c r="B970" s="1075"/>
      <c r="C970" s="1075"/>
      <c r="D970" s="1075"/>
      <c r="E970" s="1075"/>
      <c r="F970" s="1075"/>
      <c r="G970" s="1075"/>
      <c r="H970" s="1075"/>
      <c r="I970" s="1075"/>
      <c r="J970" s="1075"/>
      <c r="K970" s="1075"/>
      <c r="L970" s="1075"/>
      <c r="M970" s="1075"/>
      <c r="N970" s="1075"/>
      <c r="O970" s="1075"/>
      <c r="P970" s="1075"/>
      <c r="Q970" s="1075"/>
      <c r="R970" s="1075"/>
      <c r="S970" s="1075"/>
      <c r="T970" s="1075"/>
      <c r="U970" s="1075"/>
      <c r="V970" s="1075"/>
      <c r="W970" s="1075"/>
      <c r="X970" s="1075"/>
      <c r="Y970" s="1075"/>
      <c r="Z970" s="1075"/>
      <c r="AA970" s="1075"/>
    </row>
    <row r="971" spans="1:27" ht="12.75" customHeight="1">
      <c r="A971" s="1075"/>
      <c r="B971" s="1075"/>
      <c r="C971" s="1075"/>
      <c r="D971" s="1075"/>
      <c r="E971" s="1075"/>
      <c r="F971" s="1075"/>
      <c r="G971" s="1075"/>
      <c r="H971" s="1075"/>
      <c r="I971" s="1075"/>
      <c r="J971" s="1075"/>
      <c r="K971" s="1075"/>
      <c r="L971" s="1075"/>
      <c r="M971" s="1075"/>
      <c r="N971" s="1075"/>
      <c r="O971" s="1075"/>
      <c r="P971" s="1075"/>
      <c r="Q971" s="1075"/>
      <c r="R971" s="1075"/>
      <c r="S971" s="1075"/>
      <c r="T971" s="1075"/>
      <c r="U971" s="1075"/>
      <c r="V971" s="1075"/>
      <c r="W971" s="1075"/>
      <c r="X971" s="1075"/>
      <c r="Y971" s="1075"/>
      <c r="Z971" s="1075"/>
      <c r="AA971" s="1075"/>
    </row>
    <row r="972" spans="1:27" ht="12.75" customHeight="1">
      <c r="A972" s="1075"/>
      <c r="B972" s="1075"/>
      <c r="C972" s="1075"/>
      <c r="D972" s="1075"/>
      <c r="E972" s="1075"/>
      <c r="F972" s="1075"/>
      <c r="G972" s="1075"/>
      <c r="H972" s="1075"/>
      <c r="I972" s="1075"/>
      <c r="J972" s="1075"/>
      <c r="K972" s="1075"/>
      <c r="L972" s="1075"/>
      <c r="M972" s="1075"/>
      <c r="N972" s="1075"/>
      <c r="O972" s="1075"/>
      <c r="P972" s="1075"/>
      <c r="Q972" s="1075"/>
      <c r="R972" s="1075"/>
      <c r="S972" s="1075"/>
      <c r="T972" s="1075"/>
      <c r="U972" s="1075"/>
      <c r="V972" s="1075"/>
      <c r="W972" s="1075"/>
      <c r="X972" s="1075"/>
      <c r="Y972" s="1075"/>
      <c r="Z972" s="1075"/>
      <c r="AA972" s="1075"/>
    </row>
    <row r="973" spans="1:27" ht="12.75" customHeight="1">
      <c r="A973" s="1075"/>
      <c r="B973" s="1075"/>
      <c r="C973" s="1075"/>
      <c r="D973" s="1075"/>
      <c r="E973" s="1075"/>
      <c r="F973" s="1075"/>
      <c r="G973" s="1075"/>
      <c r="H973" s="1075"/>
      <c r="I973" s="1075"/>
      <c r="J973" s="1075"/>
      <c r="K973" s="1075"/>
      <c r="L973" s="1075"/>
      <c r="M973" s="1075"/>
      <c r="N973" s="1075"/>
      <c r="O973" s="1075"/>
      <c r="P973" s="1075"/>
      <c r="Q973" s="1075"/>
      <c r="R973" s="1075"/>
      <c r="S973" s="1075"/>
      <c r="T973" s="1075"/>
      <c r="U973" s="1075"/>
      <c r="V973" s="1075"/>
      <c r="W973" s="1075"/>
      <c r="X973" s="1075"/>
      <c r="Y973" s="1075"/>
      <c r="Z973" s="1075"/>
      <c r="AA973" s="1075"/>
    </row>
    <row r="974" spans="1:27" ht="12.75" customHeight="1">
      <c r="A974" s="1075"/>
      <c r="B974" s="1075"/>
      <c r="C974" s="1075"/>
      <c r="D974" s="1075"/>
      <c r="E974" s="1075"/>
      <c r="F974" s="1075"/>
      <c r="G974" s="1075"/>
      <c r="H974" s="1075"/>
      <c r="I974" s="1075"/>
      <c r="J974" s="1075"/>
      <c r="K974" s="1075"/>
      <c r="L974" s="1075"/>
      <c r="M974" s="1075"/>
      <c r="N974" s="1075"/>
      <c r="O974" s="1075"/>
      <c r="P974" s="1075"/>
      <c r="Q974" s="1075"/>
      <c r="R974" s="1075"/>
      <c r="S974" s="1075"/>
      <c r="T974" s="1075"/>
      <c r="U974" s="1075"/>
      <c r="V974" s="1075"/>
      <c r="W974" s="1075"/>
      <c r="X974" s="1075"/>
      <c r="Y974" s="1075"/>
      <c r="Z974" s="1075"/>
      <c r="AA974" s="1075"/>
    </row>
    <row r="975" spans="1:27" ht="12.75" customHeight="1">
      <c r="A975" s="1075"/>
      <c r="B975" s="1075"/>
      <c r="C975" s="1075"/>
      <c r="D975" s="1075"/>
      <c r="E975" s="1075"/>
      <c r="F975" s="1075"/>
      <c r="G975" s="1075"/>
      <c r="H975" s="1075"/>
      <c r="I975" s="1075"/>
      <c r="J975" s="1075"/>
      <c r="K975" s="1075"/>
      <c r="L975" s="1075"/>
      <c r="M975" s="1075"/>
      <c r="N975" s="1075"/>
      <c r="O975" s="1075"/>
      <c r="P975" s="1075"/>
      <c r="Q975" s="1075"/>
      <c r="R975" s="1075"/>
      <c r="S975" s="1075"/>
      <c r="T975" s="1075"/>
      <c r="U975" s="1075"/>
      <c r="V975" s="1075"/>
      <c r="W975" s="1075"/>
      <c r="X975" s="1075"/>
      <c r="Y975" s="1075"/>
      <c r="Z975" s="1075"/>
      <c r="AA975" s="1075"/>
    </row>
    <row r="976" spans="1:27" ht="12.75" customHeight="1">
      <c r="A976" s="1075"/>
      <c r="B976" s="1075"/>
      <c r="C976" s="1075"/>
      <c r="D976" s="1075"/>
      <c r="E976" s="1075"/>
      <c r="F976" s="1075"/>
      <c r="G976" s="1075"/>
      <c r="H976" s="1075"/>
      <c r="I976" s="1075"/>
      <c r="J976" s="1075"/>
      <c r="K976" s="1075"/>
      <c r="L976" s="1075"/>
      <c r="M976" s="1075"/>
      <c r="N976" s="1075"/>
      <c r="O976" s="1075"/>
      <c r="P976" s="1075"/>
      <c r="Q976" s="1075"/>
      <c r="R976" s="1075"/>
      <c r="S976" s="1075"/>
      <c r="T976" s="1075"/>
      <c r="U976" s="1075"/>
      <c r="V976" s="1075"/>
      <c r="W976" s="1075"/>
      <c r="X976" s="1075"/>
      <c r="Y976" s="1075"/>
      <c r="Z976" s="1075"/>
      <c r="AA976" s="1075"/>
    </row>
    <row r="977" spans="1:27" ht="12.75" customHeight="1">
      <c r="A977" s="1075"/>
      <c r="B977" s="1075"/>
      <c r="C977" s="1075"/>
      <c r="D977" s="1075"/>
      <c r="E977" s="1075"/>
      <c r="F977" s="1075"/>
      <c r="G977" s="1075"/>
      <c r="H977" s="1075"/>
      <c r="I977" s="1075"/>
      <c r="J977" s="1075"/>
      <c r="K977" s="1075"/>
      <c r="L977" s="1075"/>
      <c r="M977" s="1075"/>
      <c r="N977" s="1075"/>
      <c r="O977" s="1075"/>
      <c r="P977" s="1075"/>
      <c r="Q977" s="1075"/>
      <c r="R977" s="1075"/>
      <c r="S977" s="1075"/>
      <c r="T977" s="1075"/>
      <c r="U977" s="1075"/>
      <c r="V977" s="1075"/>
      <c r="W977" s="1075"/>
      <c r="X977" s="1075"/>
      <c r="Y977" s="1075"/>
      <c r="Z977" s="1075"/>
      <c r="AA977" s="1075"/>
    </row>
    <row r="978" spans="1:27" ht="12.75" customHeight="1">
      <c r="A978" s="1075"/>
      <c r="B978" s="1075"/>
      <c r="C978" s="1075"/>
      <c r="D978" s="1075"/>
      <c r="E978" s="1075"/>
      <c r="F978" s="1075"/>
      <c r="G978" s="1075"/>
      <c r="H978" s="1075"/>
      <c r="I978" s="1075"/>
      <c r="J978" s="1075"/>
      <c r="K978" s="1075"/>
      <c r="L978" s="1075"/>
      <c r="M978" s="1075"/>
      <c r="N978" s="1075"/>
      <c r="O978" s="1075"/>
      <c r="P978" s="1075"/>
      <c r="Q978" s="1075"/>
      <c r="R978" s="1075"/>
      <c r="S978" s="1075"/>
      <c r="T978" s="1075"/>
      <c r="U978" s="1075"/>
      <c r="V978" s="1075"/>
      <c r="W978" s="1075"/>
      <c r="X978" s="1075"/>
      <c r="Y978" s="1075"/>
      <c r="Z978" s="1075"/>
      <c r="AA978" s="1075"/>
    </row>
    <row r="979" spans="1:27" ht="12.75" customHeight="1">
      <c r="A979" s="1075"/>
      <c r="B979" s="1075"/>
      <c r="C979" s="1075"/>
      <c r="D979" s="1075"/>
      <c r="E979" s="1075"/>
      <c r="F979" s="1075"/>
      <c r="G979" s="1075"/>
      <c r="H979" s="1075"/>
      <c r="I979" s="1075"/>
      <c r="J979" s="1075"/>
      <c r="K979" s="1075"/>
      <c r="L979" s="1075"/>
      <c r="M979" s="1075"/>
      <c r="N979" s="1075"/>
      <c r="O979" s="1075"/>
      <c r="P979" s="1075"/>
      <c r="Q979" s="1075"/>
      <c r="R979" s="1075"/>
      <c r="S979" s="1075"/>
      <c r="T979" s="1075"/>
      <c r="U979" s="1075"/>
      <c r="V979" s="1075"/>
      <c r="W979" s="1075"/>
      <c r="X979" s="1075"/>
      <c r="Y979" s="1075"/>
      <c r="Z979" s="1075"/>
      <c r="AA979" s="1075"/>
    </row>
    <row r="980" spans="1:27" ht="12.75" customHeight="1">
      <c r="A980" s="1075"/>
      <c r="B980" s="1075"/>
      <c r="C980" s="1075"/>
      <c r="D980" s="1075"/>
      <c r="E980" s="1075"/>
      <c r="F980" s="1075"/>
      <c r="G980" s="1075"/>
      <c r="H980" s="1075"/>
      <c r="I980" s="1075"/>
      <c r="J980" s="1075"/>
      <c r="K980" s="1075"/>
      <c r="L980" s="1075"/>
      <c r="M980" s="1075"/>
      <c r="N980" s="1075"/>
      <c r="O980" s="1075"/>
      <c r="P980" s="1075"/>
      <c r="Q980" s="1075"/>
      <c r="R980" s="1075"/>
      <c r="S980" s="1075"/>
      <c r="T980" s="1075"/>
      <c r="U980" s="1075"/>
      <c r="V980" s="1075"/>
      <c r="W980" s="1075"/>
      <c r="X980" s="1075"/>
      <c r="Y980" s="1075"/>
      <c r="Z980" s="1075"/>
      <c r="AA980" s="1075"/>
    </row>
    <row r="981" spans="1:27" ht="12.75" customHeight="1">
      <c r="A981" s="1075"/>
      <c r="B981" s="1075"/>
      <c r="C981" s="1075"/>
      <c r="D981" s="1075"/>
      <c r="E981" s="1075"/>
      <c r="F981" s="1075"/>
      <c r="G981" s="1075"/>
      <c r="H981" s="1075"/>
      <c r="I981" s="1075"/>
      <c r="J981" s="1075"/>
      <c r="K981" s="1075"/>
      <c r="L981" s="1075"/>
      <c r="M981" s="1075"/>
      <c r="N981" s="1075"/>
      <c r="O981" s="1075"/>
      <c r="P981" s="1075"/>
      <c r="Q981" s="1075"/>
      <c r="R981" s="1075"/>
      <c r="S981" s="1075"/>
      <c r="T981" s="1075"/>
      <c r="U981" s="1075"/>
      <c r="V981" s="1075"/>
      <c r="W981" s="1075"/>
      <c r="X981" s="1075"/>
      <c r="Y981" s="1075"/>
      <c r="Z981" s="1075"/>
      <c r="AA981" s="1075"/>
    </row>
    <row r="982" spans="1:27" ht="12.75" customHeight="1">
      <c r="A982" s="1075"/>
      <c r="B982" s="1075"/>
      <c r="C982" s="1075"/>
      <c r="D982" s="1075"/>
      <c r="E982" s="1075"/>
      <c r="F982" s="1075"/>
      <c r="G982" s="1075"/>
      <c r="H982" s="1075"/>
      <c r="I982" s="1075"/>
      <c r="J982" s="1075"/>
      <c r="K982" s="1075"/>
      <c r="L982" s="1075"/>
      <c r="M982" s="1075"/>
      <c r="N982" s="1075"/>
      <c r="O982" s="1075"/>
      <c r="P982" s="1075"/>
      <c r="Q982" s="1075"/>
      <c r="R982" s="1075"/>
      <c r="S982" s="1075"/>
      <c r="T982" s="1075"/>
      <c r="U982" s="1075"/>
      <c r="V982" s="1075"/>
      <c r="W982" s="1075"/>
      <c r="X982" s="1075"/>
      <c r="Y982" s="1075"/>
      <c r="Z982" s="1075"/>
      <c r="AA982" s="1075"/>
    </row>
    <row r="983" spans="1:27" ht="12.75" customHeight="1">
      <c r="A983" s="1075"/>
      <c r="B983" s="1075"/>
      <c r="C983" s="1075"/>
      <c r="D983" s="1075"/>
      <c r="E983" s="1075"/>
      <c r="F983" s="1075"/>
      <c r="G983" s="1075"/>
      <c r="H983" s="1075"/>
      <c r="I983" s="1075"/>
      <c r="J983" s="1075"/>
      <c r="K983" s="1075"/>
      <c r="L983" s="1075"/>
      <c r="M983" s="1075"/>
      <c r="N983" s="1075"/>
      <c r="O983" s="1075"/>
      <c r="P983" s="1075"/>
      <c r="Q983" s="1075"/>
      <c r="R983" s="1075"/>
      <c r="S983" s="1075"/>
      <c r="T983" s="1075"/>
      <c r="U983" s="1075"/>
      <c r="V983" s="1075"/>
      <c r="W983" s="1075"/>
      <c r="X983" s="1075"/>
      <c r="Y983" s="1075"/>
      <c r="Z983" s="1075"/>
      <c r="AA983" s="1075"/>
    </row>
    <row r="984" spans="1:27" ht="12.75" customHeight="1">
      <c r="A984" s="1075"/>
      <c r="B984" s="1075"/>
      <c r="C984" s="1075"/>
      <c r="D984" s="1075"/>
      <c r="E984" s="1075"/>
      <c r="F984" s="1075"/>
      <c r="G984" s="1075"/>
      <c r="H984" s="1075"/>
      <c r="I984" s="1075"/>
      <c r="J984" s="1075"/>
      <c r="K984" s="1075"/>
      <c r="L984" s="1075"/>
      <c r="M984" s="1075"/>
      <c r="N984" s="1075"/>
      <c r="O984" s="1075"/>
      <c r="P984" s="1075"/>
      <c r="Q984" s="1075"/>
      <c r="R984" s="1075"/>
      <c r="S984" s="1075"/>
      <c r="T984" s="1075"/>
      <c r="U984" s="1075"/>
      <c r="V984" s="1075"/>
      <c r="W984" s="1075"/>
      <c r="X984" s="1075"/>
      <c r="Y984" s="1075"/>
      <c r="Z984" s="1075"/>
      <c r="AA984" s="1075"/>
    </row>
    <row r="985" spans="1:27" ht="12.75" customHeight="1">
      <c r="A985" s="1075"/>
      <c r="B985" s="1075"/>
      <c r="C985" s="1075"/>
      <c r="D985" s="1075"/>
      <c r="E985" s="1075"/>
      <c r="F985" s="1075"/>
      <c r="G985" s="1075"/>
      <c r="H985" s="1075"/>
      <c r="I985" s="1075"/>
      <c r="J985" s="1075"/>
      <c r="K985" s="1075"/>
      <c r="L985" s="1075"/>
      <c r="M985" s="1075"/>
      <c r="N985" s="1075"/>
      <c r="O985" s="1075"/>
      <c r="P985" s="1075"/>
      <c r="Q985" s="1075"/>
      <c r="R985" s="1075"/>
      <c r="S985" s="1075"/>
      <c r="T985" s="1075"/>
      <c r="U985" s="1075"/>
      <c r="V985" s="1075"/>
      <c r="W985" s="1075"/>
      <c r="X985" s="1075"/>
      <c r="Y985" s="1075"/>
      <c r="Z985" s="1075"/>
      <c r="AA985" s="1075"/>
    </row>
    <row r="986" spans="1:27" ht="12.75" customHeight="1">
      <c r="A986" s="1075"/>
      <c r="B986" s="1075"/>
      <c r="C986" s="1075"/>
      <c r="D986" s="1075"/>
      <c r="E986" s="1075"/>
      <c r="F986" s="1075"/>
      <c r="G986" s="1075"/>
      <c r="H986" s="1075"/>
      <c r="I986" s="1075"/>
      <c r="J986" s="1075"/>
      <c r="K986" s="1075"/>
      <c r="L986" s="1075"/>
      <c r="M986" s="1075"/>
      <c r="N986" s="1075"/>
      <c r="O986" s="1075"/>
      <c r="P986" s="1075"/>
      <c r="Q986" s="1075"/>
      <c r="R986" s="1075"/>
      <c r="S986" s="1075"/>
      <c r="T986" s="1075"/>
      <c r="U986" s="1075"/>
      <c r="V986" s="1075"/>
      <c r="W986" s="1075"/>
      <c r="X986" s="1075"/>
      <c r="Y986" s="1075"/>
      <c r="Z986" s="1075"/>
      <c r="AA986" s="1075"/>
    </row>
    <row r="987" spans="1:27" ht="12.75" customHeight="1">
      <c r="A987" s="1075"/>
      <c r="B987" s="1075"/>
      <c r="C987" s="1075"/>
      <c r="D987" s="1075"/>
      <c r="E987" s="1075"/>
      <c r="F987" s="1075"/>
      <c r="G987" s="1075"/>
      <c r="H987" s="1075"/>
      <c r="I987" s="1075"/>
      <c r="J987" s="1075"/>
      <c r="K987" s="1075"/>
      <c r="L987" s="1075"/>
      <c r="M987" s="1075"/>
      <c r="N987" s="1075"/>
      <c r="O987" s="1075"/>
      <c r="P987" s="1075"/>
      <c r="Q987" s="1075"/>
      <c r="R987" s="1075"/>
      <c r="S987" s="1075"/>
      <c r="T987" s="1075"/>
      <c r="U987" s="1075"/>
      <c r="V987" s="1075"/>
      <c r="W987" s="1075"/>
      <c r="X987" s="1075"/>
      <c r="Y987" s="1075"/>
      <c r="Z987" s="1075"/>
      <c r="AA987" s="1075"/>
    </row>
    <row r="988" spans="1:27" ht="12.75" customHeight="1">
      <c r="A988" s="1075"/>
      <c r="B988" s="1075"/>
      <c r="C988" s="1075"/>
      <c r="D988" s="1075"/>
      <c r="E988" s="1075"/>
      <c r="F988" s="1075"/>
      <c r="G988" s="1075"/>
      <c r="H988" s="1075"/>
      <c r="I988" s="1075"/>
      <c r="J988" s="1075"/>
      <c r="K988" s="1075"/>
      <c r="L988" s="1075"/>
      <c r="M988" s="1075"/>
      <c r="N988" s="1075"/>
      <c r="O988" s="1075"/>
      <c r="P988" s="1075"/>
      <c r="Q988" s="1075"/>
      <c r="R988" s="1075"/>
      <c r="S988" s="1075"/>
      <c r="T988" s="1075"/>
      <c r="U988" s="1075"/>
      <c r="V988" s="1075"/>
      <c r="W988" s="1075"/>
      <c r="X988" s="1075"/>
      <c r="Y988" s="1075"/>
      <c r="Z988" s="1075"/>
      <c r="AA988" s="1075"/>
    </row>
    <row r="989" spans="1:27" ht="12.75" customHeight="1">
      <c r="A989" s="1075"/>
      <c r="B989" s="1075"/>
      <c r="C989" s="1075"/>
      <c r="D989" s="1075"/>
      <c r="E989" s="1075"/>
      <c r="F989" s="1075"/>
      <c r="G989" s="1075"/>
      <c r="H989" s="1075"/>
      <c r="I989" s="1075"/>
      <c r="J989" s="1075"/>
      <c r="K989" s="1075"/>
      <c r="L989" s="1075"/>
      <c r="M989" s="1075"/>
      <c r="N989" s="1075"/>
      <c r="O989" s="1075"/>
      <c r="P989" s="1075"/>
      <c r="Q989" s="1075"/>
      <c r="R989" s="1075"/>
      <c r="S989" s="1075"/>
      <c r="T989" s="1075"/>
      <c r="U989" s="1075"/>
      <c r="V989" s="1075"/>
      <c r="W989" s="1075"/>
      <c r="X989" s="1075"/>
      <c r="Y989" s="1075"/>
      <c r="Z989" s="1075"/>
      <c r="AA989" s="1075"/>
    </row>
    <row r="990" spans="1:27" ht="12.75" customHeight="1">
      <c r="A990" s="1075"/>
      <c r="B990" s="1075"/>
      <c r="C990" s="1075"/>
      <c r="D990" s="1075"/>
      <c r="E990" s="1075"/>
      <c r="F990" s="1075"/>
      <c r="G990" s="1075"/>
      <c r="H990" s="1075"/>
      <c r="I990" s="1075"/>
      <c r="J990" s="1075"/>
      <c r="K990" s="1075"/>
      <c r="L990" s="1075"/>
      <c r="M990" s="1075"/>
      <c r="N990" s="1075"/>
      <c r="O990" s="1075"/>
      <c r="P990" s="1075"/>
      <c r="Q990" s="1075"/>
      <c r="R990" s="1075"/>
      <c r="S990" s="1075"/>
      <c r="T990" s="1075"/>
      <c r="U990" s="1075"/>
      <c r="V990" s="1075"/>
      <c r="W990" s="1075"/>
      <c r="X990" s="1075"/>
      <c r="Y990" s="1075"/>
      <c r="Z990" s="1075"/>
      <c r="AA990" s="1075"/>
    </row>
    <row r="991" spans="1:27" ht="12.75" customHeight="1">
      <c r="A991" s="1075"/>
      <c r="B991" s="1075"/>
      <c r="C991" s="1075"/>
      <c r="D991" s="1075"/>
      <c r="E991" s="1075"/>
      <c r="F991" s="1075"/>
      <c r="G991" s="1075"/>
      <c r="H991" s="1075"/>
      <c r="I991" s="1075"/>
      <c r="J991" s="1075"/>
      <c r="K991" s="1075"/>
      <c r="L991" s="1075"/>
      <c r="M991" s="1075"/>
      <c r="N991" s="1075"/>
      <c r="O991" s="1075"/>
      <c r="P991" s="1075"/>
      <c r="Q991" s="1075"/>
      <c r="R991" s="1075"/>
      <c r="S991" s="1075"/>
      <c r="T991" s="1075"/>
      <c r="U991" s="1075"/>
      <c r="V991" s="1075"/>
      <c r="W991" s="1075"/>
      <c r="X991" s="1075"/>
      <c r="Y991" s="1075"/>
      <c r="Z991" s="1075"/>
      <c r="AA991" s="1075"/>
    </row>
    <row r="992" spans="1:27" ht="12.75" customHeight="1">
      <c r="A992" s="1075"/>
      <c r="B992" s="1075"/>
      <c r="C992" s="1075"/>
      <c r="D992" s="1075"/>
      <c r="E992" s="1075"/>
      <c r="F992" s="1075"/>
      <c r="G992" s="1075"/>
      <c r="H992" s="1075"/>
      <c r="I992" s="1075"/>
      <c r="J992" s="1075"/>
      <c r="K992" s="1075"/>
      <c r="L992" s="1075"/>
      <c r="M992" s="1075"/>
      <c r="N992" s="1075"/>
      <c r="O992" s="1075"/>
      <c r="P992" s="1075"/>
      <c r="Q992" s="1075"/>
      <c r="R992" s="1075"/>
      <c r="S992" s="1075"/>
      <c r="T992" s="1075"/>
      <c r="U992" s="1075"/>
      <c r="V992" s="1075"/>
      <c r="W992" s="1075"/>
      <c r="X992" s="1075"/>
      <c r="Y992" s="1075"/>
      <c r="Z992" s="1075"/>
      <c r="AA992" s="1075"/>
    </row>
    <row r="993" spans="1:27" ht="12.75" customHeight="1">
      <c r="A993" s="1075"/>
      <c r="B993" s="1075"/>
      <c r="C993" s="1075"/>
      <c r="D993" s="1075"/>
      <c r="E993" s="1075"/>
      <c r="F993" s="1075"/>
      <c r="G993" s="1075"/>
      <c r="H993" s="1075"/>
      <c r="I993" s="1075"/>
      <c r="J993" s="1075"/>
      <c r="K993" s="1075"/>
      <c r="L993" s="1075"/>
      <c r="M993" s="1075"/>
      <c r="N993" s="1075"/>
      <c r="O993" s="1075"/>
      <c r="P993" s="1075"/>
      <c r="Q993" s="1075"/>
      <c r="R993" s="1075"/>
      <c r="S993" s="1075"/>
      <c r="T993" s="1075"/>
      <c r="U993" s="1075"/>
      <c r="V993" s="1075"/>
      <c r="W993" s="1075"/>
      <c r="X993" s="1075"/>
      <c r="Y993" s="1075"/>
      <c r="Z993" s="1075"/>
      <c r="AA993" s="1075"/>
    </row>
    <row r="994" spans="1:27" ht="12.75" customHeight="1">
      <c r="A994" s="1075"/>
      <c r="B994" s="1075"/>
      <c r="C994" s="1075"/>
      <c r="D994" s="1075"/>
      <c r="E994" s="1075"/>
      <c r="F994" s="1075"/>
      <c r="G994" s="1075"/>
      <c r="H994" s="1075"/>
      <c r="I994" s="1075"/>
      <c r="J994" s="1075"/>
      <c r="K994" s="1075"/>
      <c r="L994" s="1075"/>
      <c r="M994" s="1075"/>
      <c r="N994" s="1075"/>
      <c r="O994" s="1075"/>
      <c r="P994" s="1075"/>
      <c r="Q994" s="1075"/>
      <c r="R994" s="1075"/>
      <c r="S994" s="1075"/>
      <c r="T994" s="1075"/>
      <c r="U994" s="1075"/>
      <c r="V994" s="1075"/>
      <c r="W994" s="1075"/>
      <c r="X994" s="1075"/>
      <c r="Y994" s="1075"/>
      <c r="Z994" s="1075"/>
      <c r="AA994" s="1075"/>
    </row>
    <row r="995" spans="1:27" ht="12.75" customHeight="1">
      <c r="A995" s="1075"/>
      <c r="B995" s="1075"/>
      <c r="C995" s="1075"/>
      <c r="D995" s="1075"/>
      <c r="E995" s="1075"/>
      <c r="F995" s="1075"/>
      <c r="G995" s="1075"/>
      <c r="H995" s="1075"/>
      <c r="I995" s="1075"/>
      <c r="J995" s="1075"/>
      <c r="K995" s="1075"/>
      <c r="L995" s="1075"/>
      <c r="M995" s="1075"/>
      <c r="N995" s="1075"/>
      <c r="O995" s="1075"/>
      <c r="P995" s="1075"/>
      <c r="Q995" s="1075"/>
      <c r="R995" s="1075"/>
      <c r="S995" s="1075"/>
      <c r="T995" s="1075"/>
      <c r="U995" s="1075"/>
      <c r="V995" s="1075"/>
      <c r="W995" s="1075"/>
      <c r="X995" s="1075"/>
      <c r="Y995" s="1075"/>
      <c r="Z995" s="1075"/>
      <c r="AA995" s="1075"/>
    </row>
    <row r="996" spans="1:27" ht="12.75" customHeight="1">
      <c r="A996" s="1075"/>
      <c r="B996" s="1075"/>
      <c r="C996" s="1075"/>
      <c r="D996" s="1075"/>
      <c r="E996" s="1075"/>
      <c r="F996" s="1075"/>
      <c r="G996" s="1075"/>
      <c r="H996" s="1075"/>
      <c r="I996" s="1075"/>
      <c r="J996" s="1075"/>
      <c r="K996" s="1075"/>
      <c r="L996" s="1075"/>
      <c r="M996" s="1075"/>
      <c r="N996" s="1075"/>
      <c r="O996" s="1075"/>
      <c r="P996" s="1075"/>
      <c r="Q996" s="1075"/>
      <c r="R996" s="1075"/>
      <c r="S996" s="1075"/>
      <c r="T996" s="1075"/>
      <c r="U996" s="1075"/>
      <c r="V996" s="1075"/>
      <c r="W996" s="1075"/>
      <c r="X996" s="1075"/>
      <c r="Y996" s="1075"/>
      <c r="Z996" s="1075"/>
      <c r="AA996" s="1075"/>
    </row>
    <row r="997" spans="1:27" ht="12.75" customHeight="1">
      <c r="A997" s="1075"/>
      <c r="B997" s="1075"/>
      <c r="C997" s="1075"/>
      <c r="D997" s="1075"/>
      <c r="E997" s="1075"/>
      <c r="F997" s="1075"/>
      <c r="G997" s="1075"/>
      <c r="H997" s="1075"/>
      <c r="I997" s="1075"/>
      <c r="J997" s="1075"/>
      <c r="K997" s="1075"/>
      <c r="L997" s="1075"/>
      <c r="M997" s="1075"/>
      <c r="N997" s="1075"/>
      <c r="O997" s="1075"/>
      <c r="P997" s="1075"/>
      <c r="Q997" s="1075"/>
      <c r="R997" s="1075"/>
      <c r="S997" s="1075"/>
      <c r="T997" s="1075"/>
      <c r="U997" s="1075"/>
      <c r="V997" s="1075"/>
      <c r="W997" s="1075"/>
      <c r="X997" s="1075"/>
      <c r="Y997" s="1075"/>
      <c r="Z997" s="1075"/>
      <c r="AA997" s="1075"/>
    </row>
    <row r="998" spans="1:27" ht="12.75" customHeight="1">
      <c r="A998" s="1075"/>
      <c r="B998" s="1075"/>
      <c r="C998" s="1075"/>
      <c r="D998" s="1075"/>
      <c r="E998" s="1075"/>
      <c r="F998" s="1075"/>
      <c r="G998" s="1075"/>
      <c r="H998" s="1075"/>
      <c r="I998" s="1075"/>
      <c r="J998" s="1075"/>
      <c r="K998" s="1075"/>
      <c r="L998" s="1075"/>
      <c r="M998" s="1075"/>
      <c r="N998" s="1075"/>
      <c r="O998" s="1075"/>
      <c r="P998" s="1075"/>
      <c r="Q998" s="1075"/>
      <c r="R998" s="1075"/>
      <c r="S998" s="1075"/>
      <c r="T998" s="1075"/>
      <c r="U998" s="1075"/>
      <c r="V998" s="1075"/>
      <c r="W998" s="1075"/>
      <c r="X998" s="1075"/>
      <c r="Y998" s="1075"/>
      <c r="Z998" s="1075"/>
      <c r="AA998" s="1075"/>
    </row>
    <row r="999" spans="1:27" ht="12.75" customHeight="1">
      <c r="A999" s="1075"/>
      <c r="B999" s="1075"/>
      <c r="C999" s="1075"/>
      <c r="D999" s="1075"/>
      <c r="E999" s="1075"/>
      <c r="F999" s="1075"/>
      <c r="G999" s="1075"/>
      <c r="H999" s="1075"/>
      <c r="I999" s="1075"/>
      <c r="J999" s="1075"/>
      <c r="K999" s="1075"/>
      <c r="L999" s="1075"/>
      <c r="M999" s="1075"/>
      <c r="N999" s="1075"/>
      <c r="O999" s="1075"/>
      <c r="P999" s="1075"/>
      <c r="Q999" s="1075"/>
      <c r="R999" s="1075"/>
      <c r="S999" s="1075"/>
      <c r="T999" s="1075"/>
      <c r="U999" s="1075"/>
      <c r="V999" s="1075"/>
      <c r="W999" s="1075"/>
      <c r="X999" s="1075"/>
      <c r="Y999" s="1075"/>
      <c r="Z999" s="1075"/>
      <c r="AA999" s="1075"/>
    </row>
    <row r="1000" spans="1:27" ht="12.75" customHeight="1">
      <c r="A1000" s="1075"/>
      <c r="B1000" s="1075"/>
      <c r="C1000" s="1075"/>
      <c r="D1000" s="1075"/>
      <c r="E1000" s="1075"/>
      <c r="F1000" s="1075"/>
      <c r="G1000" s="1075"/>
      <c r="H1000" s="1075"/>
      <c r="I1000" s="1075"/>
      <c r="J1000" s="1075"/>
      <c r="K1000" s="1075"/>
      <c r="L1000" s="1075"/>
      <c r="M1000" s="1075"/>
      <c r="N1000" s="1075"/>
      <c r="O1000" s="1075"/>
      <c r="P1000" s="1075"/>
      <c r="Q1000" s="1075"/>
      <c r="R1000" s="1075"/>
      <c r="S1000" s="1075"/>
      <c r="T1000" s="1075"/>
      <c r="U1000" s="1075"/>
      <c r="V1000" s="1075"/>
      <c r="W1000" s="1075"/>
      <c r="X1000" s="1075"/>
      <c r="Y1000" s="1075"/>
      <c r="Z1000" s="1075"/>
      <c r="AA1000" s="1075"/>
    </row>
  </sheetData>
  <mergeCells count="463">
    <mergeCell ref="L4:P8"/>
    <mergeCell ref="R4:S4"/>
    <mergeCell ref="U4:Y4"/>
    <mergeCell ref="Q5:Q6"/>
    <mergeCell ref="R5:S6"/>
    <mergeCell ref="U5:Y5"/>
    <mergeCell ref="U6:Y6"/>
    <mergeCell ref="A1:Z1"/>
    <mergeCell ref="A2:H3"/>
    <mergeCell ref="I2:P2"/>
    <mergeCell ref="Q2:S3"/>
    <mergeCell ref="T2:Y3"/>
    <mergeCell ref="I3:K3"/>
    <mergeCell ref="L3:P3"/>
    <mergeCell ref="Q7:Q8"/>
    <mergeCell ref="R7:S8"/>
    <mergeCell ref="U7:Y7"/>
    <mergeCell ref="U8:Y8"/>
    <mergeCell ref="A15:H16"/>
    <mergeCell ref="I15:P15"/>
    <mergeCell ref="Q15:S16"/>
    <mergeCell ref="T15:Y16"/>
    <mergeCell ref="I16:K16"/>
    <mergeCell ref="L16:P16"/>
    <mergeCell ref="U11:Y11"/>
    <mergeCell ref="Q12:Q13"/>
    <mergeCell ref="R12:S13"/>
    <mergeCell ref="U12:Y12"/>
    <mergeCell ref="U13:Y13"/>
    <mergeCell ref="I14:K14"/>
    <mergeCell ref="L14:P14"/>
    <mergeCell ref="R14:S14"/>
    <mergeCell ref="U14:Y14"/>
    <mergeCell ref="A4:A14"/>
    <mergeCell ref="B4:H14"/>
    <mergeCell ref="I9:K13"/>
    <mergeCell ref="L9:P13"/>
    <mergeCell ref="Q9:Q11"/>
    <mergeCell ref="R9:S11"/>
    <mergeCell ref="U9:Y9"/>
    <mergeCell ref="U10:Y10"/>
    <mergeCell ref="I4:K8"/>
    <mergeCell ref="I21:K22"/>
    <mergeCell ref="L21:P22"/>
    <mergeCell ref="Q21:Q22"/>
    <mergeCell ref="R21:S22"/>
    <mergeCell ref="U21:Y21"/>
    <mergeCell ref="U22:Y22"/>
    <mergeCell ref="U17:Y17"/>
    <mergeCell ref="U18:Y18"/>
    <mergeCell ref="A19:A22"/>
    <mergeCell ref="B19:H22"/>
    <mergeCell ref="I19:K20"/>
    <mergeCell ref="L19:P20"/>
    <mergeCell ref="Q19:Q20"/>
    <mergeCell ref="R19:S20"/>
    <mergeCell ref="U19:Y19"/>
    <mergeCell ref="U20:Y20"/>
    <mergeCell ref="A17:A18"/>
    <mergeCell ref="B17:H18"/>
    <mergeCell ref="I17:K18"/>
    <mergeCell ref="L17:P18"/>
    <mergeCell ref="Q17:Q18"/>
    <mergeCell ref="R17:S18"/>
    <mergeCell ref="U31:Y31"/>
    <mergeCell ref="A32:H33"/>
    <mergeCell ref="I32:P32"/>
    <mergeCell ref="Q32:S33"/>
    <mergeCell ref="T32:Y33"/>
    <mergeCell ref="I33:K33"/>
    <mergeCell ref="L33:P33"/>
    <mergeCell ref="U23:Y23"/>
    <mergeCell ref="U24:Y24"/>
    <mergeCell ref="U25:Y25"/>
    <mergeCell ref="U26:Y26"/>
    <mergeCell ref="Q27:Q31"/>
    <mergeCell ref="R27:S31"/>
    <mergeCell ref="U27:Y27"/>
    <mergeCell ref="U28:Y28"/>
    <mergeCell ref="U29:Y29"/>
    <mergeCell ref="U30:Y30"/>
    <mergeCell ref="A23:A31"/>
    <mergeCell ref="B23:H31"/>
    <mergeCell ref="I23:K31"/>
    <mergeCell ref="L23:P31"/>
    <mergeCell ref="Q23:Q26"/>
    <mergeCell ref="R23:S26"/>
    <mergeCell ref="U34:Y34"/>
    <mergeCell ref="U35:Y35"/>
    <mergeCell ref="Q36:Q43"/>
    <mergeCell ref="R36:S43"/>
    <mergeCell ref="U36:Y36"/>
    <mergeCell ref="U37:Y37"/>
    <mergeCell ref="U38:Y38"/>
    <mergeCell ref="U39:Y39"/>
    <mergeCell ref="U40:Y40"/>
    <mergeCell ref="U41:Y41"/>
    <mergeCell ref="Q34:Q35"/>
    <mergeCell ref="R34:S35"/>
    <mergeCell ref="U48:Y48"/>
    <mergeCell ref="U49:Y49"/>
    <mergeCell ref="U50:Y50"/>
    <mergeCell ref="U51:Y51"/>
    <mergeCell ref="A52:H53"/>
    <mergeCell ref="I52:P52"/>
    <mergeCell ref="Q52:S53"/>
    <mergeCell ref="T52:Y53"/>
    <mergeCell ref="I53:K53"/>
    <mergeCell ref="L53:P53"/>
    <mergeCell ref="A34:A51"/>
    <mergeCell ref="B34:H51"/>
    <mergeCell ref="I34:K51"/>
    <mergeCell ref="L34:P51"/>
    <mergeCell ref="Q48:Q51"/>
    <mergeCell ref="R48:S51"/>
    <mergeCell ref="U42:Y42"/>
    <mergeCell ref="U43:Y43"/>
    <mergeCell ref="Q44:Q47"/>
    <mergeCell ref="R44:S47"/>
    <mergeCell ref="U44:Y44"/>
    <mergeCell ref="U45:Y45"/>
    <mergeCell ref="U46:Y46"/>
    <mergeCell ref="U47:Y47"/>
    <mergeCell ref="U54:Y54"/>
    <mergeCell ref="U55:Y55"/>
    <mergeCell ref="Q56:Q58"/>
    <mergeCell ref="R56:S58"/>
    <mergeCell ref="U56:Y56"/>
    <mergeCell ref="U57:Y57"/>
    <mergeCell ref="U58:Y58"/>
    <mergeCell ref="A54:A67"/>
    <mergeCell ref="B54:H67"/>
    <mergeCell ref="I54:K67"/>
    <mergeCell ref="L54:P67"/>
    <mergeCell ref="Q54:Q55"/>
    <mergeCell ref="R54:S55"/>
    <mergeCell ref="Q59:Q67"/>
    <mergeCell ref="R59:S67"/>
    <mergeCell ref="U65:Y65"/>
    <mergeCell ref="U66:Y66"/>
    <mergeCell ref="U67:Y67"/>
    <mergeCell ref="A68:Z68"/>
    <mergeCell ref="A69:B69"/>
    <mergeCell ref="C69:N69"/>
    <mergeCell ref="O69:Y69"/>
    <mergeCell ref="U59:Y59"/>
    <mergeCell ref="U60:Y60"/>
    <mergeCell ref="U61:Y61"/>
    <mergeCell ref="U62:Y62"/>
    <mergeCell ref="U63:Y63"/>
    <mergeCell ref="U64:Y64"/>
    <mergeCell ref="A72:B72"/>
    <mergeCell ref="C72:N72"/>
    <mergeCell ref="O72:Y72"/>
    <mergeCell ref="A73:B73"/>
    <mergeCell ref="C73:N73"/>
    <mergeCell ref="O73:Y73"/>
    <mergeCell ref="A70:B70"/>
    <mergeCell ref="C70:N70"/>
    <mergeCell ref="O70:Y70"/>
    <mergeCell ref="A71:B71"/>
    <mergeCell ref="C71:N71"/>
    <mergeCell ref="O71:Y71"/>
    <mergeCell ref="A76:B76"/>
    <mergeCell ref="C76:N76"/>
    <mergeCell ref="O76:Y76"/>
    <mergeCell ref="A77:B77"/>
    <mergeCell ref="C77:N77"/>
    <mergeCell ref="O77:Y77"/>
    <mergeCell ref="A74:B74"/>
    <mergeCell ref="C74:N74"/>
    <mergeCell ref="O74:Y74"/>
    <mergeCell ref="A75:B75"/>
    <mergeCell ref="C75:N75"/>
    <mergeCell ref="O75:Y75"/>
    <mergeCell ref="A80:B80"/>
    <mergeCell ref="C80:N80"/>
    <mergeCell ref="O80:Y80"/>
    <mergeCell ref="A81:B81"/>
    <mergeCell ref="C81:N81"/>
    <mergeCell ref="O81:Y81"/>
    <mergeCell ref="A78:B78"/>
    <mergeCell ref="C78:N78"/>
    <mergeCell ref="O78:Y78"/>
    <mergeCell ref="A79:B79"/>
    <mergeCell ref="C79:N79"/>
    <mergeCell ref="O79:Y79"/>
    <mergeCell ref="A84:B84"/>
    <mergeCell ref="C84:N84"/>
    <mergeCell ref="O84:Y84"/>
    <mergeCell ref="A85:B85"/>
    <mergeCell ref="C85:N85"/>
    <mergeCell ref="O85:Y85"/>
    <mergeCell ref="A82:B82"/>
    <mergeCell ref="C82:N82"/>
    <mergeCell ref="O82:Y82"/>
    <mergeCell ref="A83:B83"/>
    <mergeCell ref="C83:N83"/>
    <mergeCell ref="O83:Y83"/>
    <mergeCell ref="A88:B88"/>
    <mergeCell ref="C88:N88"/>
    <mergeCell ref="O88:Y88"/>
    <mergeCell ref="A90:Z90"/>
    <mergeCell ref="A91:B91"/>
    <mergeCell ref="C91:I91"/>
    <mergeCell ref="J91:R91"/>
    <mergeCell ref="S91:Y91"/>
    <mergeCell ref="A86:B86"/>
    <mergeCell ref="C86:N86"/>
    <mergeCell ref="O86:Y86"/>
    <mergeCell ref="A87:B87"/>
    <mergeCell ref="C87:N87"/>
    <mergeCell ref="O87:Y87"/>
    <mergeCell ref="A94:B94"/>
    <mergeCell ref="C94:I94"/>
    <mergeCell ref="J94:R94"/>
    <mergeCell ref="S94:Y94"/>
    <mergeCell ref="A95:B95"/>
    <mergeCell ref="C95:I95"/>
    <mergeCell ref="J95:R95"/>
    <mergeCell ref="S95:Y95"/>
    <mergeCell ref="A92:B92"/>
    <mergeCell ref="C92:I92"/>
    <mergeCell ref="J92:R92"/>
    <mergeCell ref="S92:Y92"/>
    <mergeCell ref="A93:B93"/>
    <mergeCell ref="C93:I93"/>
    <mergeCell ref="J93:R93"/>
    <mergeCell ref="S93:Y93"/>
    <mergeCell ref="A98:B98"/>
    <mergeCell ref="C98:I98"/>
    <mergeCell ref="J98:R98"/>
    <mergeCell ref="S98:Y98"/>
    <mergeCell ref="A99:B99"/>
    <mergeCell ref="C99:I99"/>
    <mergeCell ref="J99:R99"/>
    <mergeCell ref="S99:Y99"/>
    <mergeCell ref="A96:B96"/>
    <mergeCell ref="C96:I96"/>
    <mergeCell ref="J96:R96"/>
    <mergeCell ref="S96:Y96"/>
    <mergeCell ref="A97:B97"/>
    <mergeCell ref="C97:I97"/>
    <mergeCell ref="J97:R97"/>
    <mergeCell ref="S97:Y97"/>
    <mergeCell ref="A102:B102"/>
    <mergeCell ref="C102:I102"/>
    <mergeCell ref="J102:R102"/>
    <mergeCell ref="S102:Y102"/>
    <mergeCell ref="A103:B103"/>
    <mergeCell ref="C103:I103"/>
    <mergeCell ref="J103:R103"/>
    <mergeCell ref="S103:Y103"/>
    <mergeCell ref="A100:B100"/>
    <mergeCell ref="C100:I100"/>
    <mergeCell ref="J100:R100"/>
    <mergeCell ref="S100:Y100"/>
    <mergeCell ref="A101:B101"/>
    <mergeCell ref="C101:I101"/>
    <mergeCell ref="J101:R101"/>
    <mergeCell ref="S101:Y101"/>
    <mergeCell ref="A106:B106"/>
    <mergeCell ref="C106:I106"/>
    <mergeCell ref="J106:R106"/>
    <mergeCell ref="S106:Y106"/>
    <mergeCell ref="A107:B107"/>
    <mergeCell ref="C107:I107"/>
    <mergeCell ref="J107:R107"/>
    <mergeCell ref="S107:Y107"/>
    <mergeCell ref="A104:B104"/>
    <mergeCell ref="C104:I104"/>
    <mergeCell ref="J104:R104"/>
    <mergeCell ref="S104:Y104"/>
    <mergeCell ref="A105:B105"/>
    <mergeCell ref="C105:I105"/>
    <mergeCell ref="J105:R105"/>
    <mergeCell ref="S105:Y105"/>
    <mergeCell ref="A110:B110"/>
    <mergeCell ref="C110:I110"/>
    <mergeCell ref="J110:R110"/>
    <mergeCell ref="S110:Y110"/>
    <mergeCell ref="A111:B111"/>
    <mergeCell ref="C111:I111"/>
    <mergeCell ref="J111:R111"/>
    <mergeCell ref="S111:Y111"/>
    <mergeCell ref="A108:B108"/>
    <mergeCell ref="C108:I108"/>
    <mergeCell ref="J108:R108"/>
    <mergeCell ref="S108:Y108"/>
    <mergeCell ref="A109:B109"/>
    <mergeCell ref="C109:I109"/>
    <mergeCell ref="J109:R109"/>
    <mergeCell ref="S109:Y109"/>
    <mergeCell ref="A114:B114"/>
    <mergeCell ref="C114:I114"/>
    <mergeCell ref="J114:R114"/>
    <mergeCell ref="S114:Y114"/>
    <mergeCell ref="A115:B115"/>
    <mergeCell ref="C115:I115"/>
    <mergeCell ref="J115:R115"/>
    <mergeCell ref="S115:Y115"/>
    <mergeCell ref="A112:B112"/>
    <mergeCell ref="C112:I112"/>
    <mergeCell ref="J112:R112"/>
    <mergeCell ref="S112:Y112"/>
    <mergeCell ref="A113:B113"/>
    <mergeCell ref="C113:I113"/>
    <mergeCell ref="J113:R113"/>
    <mergeCell ref="S113:Y113"/>
    <mergeCell ref="A118:B118"/>
    <mergeCell ref="C118:I118"/>
    <mergeCell ref="J118:R118"/>
    <mergeCell ref="S118:Y118"/>
    <mergeCell ref="A119:B119"/>
    <mergeCell ref="C119:I119"/>
    <mergeCell ref="J119:R119"/>
    <mergeCell ref="S119:Y119"/>
    <mergeCell ref="A116:B116"/>
    <mergeCell ref="C116:I116"/>
    <mergeCell ref="J116:R116"/>
    <mergeCell ref="S116:Y116"/>
    <mergeCell ref="A117:B117"/>
    <mergeCell ref="C117:I117"/>
    <mergeCell ref="J117:R117"/>
    <mergeCell ref="S117:Y117"/>
    <mergeCell ref="A122:B122"/>
    <mergeCell ref="C122:I122"/>
    <mergeCell ref="J122:R122"/>
    <mergeCell ref="S122:Y122"/>
    <mergeCell ref="A123:B123"/>
    <mergeCell ref="C123:I123"/>
    <mergeCell ref="J123:R123"/>
    <mergeCell ref="S123:Y123"/>
    <mergeCell ref="A120:B120"/>
    <mergeCell ref="C120:I120"/>
    <mergeCell ref="J120:R120"/>
    <mergeCell ref="S120:Y120"/>
    <mergeCell ref="A121:B121"/>
    <mergeCell ref="C121:I121"/>
    <mergeCell ref="J121:R121"/>
    <mergeCell ref="S121:Y121"/>
    <mergeCell ref="A126:B126"/>
    <mergeCell ref="C126:I126"/>
    <mergeCell ref="J126:R126"/>
    <mergeCell ref="S126:Y126"/>
    <mergeCell ref="A127:B127"/>
    <mergeCell ref="C127:I127"/>
    <mergeCell ref="J127:R127"/>
    <mergeCell ref="S127:Y127"/>
    <mergeCell ref="A124:B124"/>
    <mergeCell ref="C124:I124"/>
    <mergeCell ref="J124:R124"/>
    <mergeCell ref="S124:Y124"/>
    <mergeCell ref="A125:B125"/>
    <mergeCell ref="C125:I125"/>
    <mergeCell ref="J125:R125"/>
    <mergeCell ref="S125:Y125"/>
    <mergeCell ref="A130:B130"/>
    <mergeCell ref="C130:I130"/>
    <mergeCell ref="J130:R130"/>
    <mergeCell ref="S130:Y130"/>
    <mergeCell ref="A131:B131"/>
    <mergeCell ref="C131:I131"/>
    <mergeCell ref="J131:R131"/>
    <mergeCell ref="S131:Y131"/>
    <mergeCell ref="A128:B128"/>
    <mergeCell ref="C128:I128"/>
    <mergeCell ref="J128:R128"/>
    <mergeCell ref="S128:Y128"/>
    <mergeCell ref="A129:B129"/>
    <mergeCell ref="C129:I129"/>
    <mergeCell ref="J129:R129"/>
    <mergeCell ref="S129:Y129"/>
    <mergeCell ref="A134:B134"/>
    <mergeCell ref="C134:I134"/>
    <mergeCell ref="J134:R134"/>
    <mergeCell ref="S134:Y134"/>
    <mergeCell ref="A135:B135"/>
    <mergeCell ref="C135:I135"/>
    <mergeCell ref="J135:R135"/>
    <mergeCell ref="S135:Y135"/>
    <mergeCell ref="A132:B132"/>
    <mergeCell ref="C132:I132"/>
    <mergeCell ref="J132:R132"/>
    <mergeCell ref="S132:Y132"/>
    <mergeCell ref="A133:B133"/>
    <mergeCell ref="C133:I133"/>
    <mergeCell ref="J133:R133"/>
    <mergeCell ref="S133:Y133"/>
    <mergeCell ref="A136:C136"/>
    <mergeCell ref="D136:J136"/>
    <mergeCell ref="K136:S136"/>
    <mergeCell ref="T136:Y136"/>
    <mergeCell ref="Z136:AA136"/>
    <mergeCell ref="A137:C137"/>
    <mergeCell ref="D137:J137"/>
    <mergeCell ref="K137:S137"/>
    <mergeCell ref="T137:Y137"/>
    <mergeCell ref="Z137:AA137"/>
    <mergeCell ref="A138:C138"/>
    <mergeCell ref="D138:J138"/>
    <mergeCell ref="K138:S138"/>
    <mergeCell ref="T138:Y138"/>
    <mergeCell ref="Z138:AA138"/>
    <mergeCell ref="A139:C139"/>
    <mergeCell ref="D139:J139"/>
    <mergeCell ref="K139:S139"/>
    <mergeCell ref="T139:Y139"/>
    <mergeCell ref="Z139:AA139"/>
    <mergeCell ref="A140:C140"/>
    <mergeCell ref="D140:J140"/>
    <mergeCell ref="K140:S140"/>
    <mergeCell ref="T140:Y140"/>
    <mergeCell ref="Z140:AA140"/>
    <mergeCell ref="A141:C141"/>
    <mergeCell ref="D141:J141"/>
    <mergeCell ref="K141:S141"/>
    <mergeCell ref="T141:Y141"/>
    <mergeCell ref="Z141:AA141"/>
    <mergeCell ref="A144:B144"/>
    <mergeCell ref="C144:I144"/>
    <mergeCell ref="J144:R144"/>
    <mergeCell ref="S144:Y144"/>
    <mergeCell ref="A145:B145"/>
    <mergeCell ref="C145:I145"/>
    <mergeCell ref="J145:R145"/>
    <mergeCell ref="S145:Y145"/>
    <mergeCell ref="A142:B142"/>
    <mergeCell ref="C142:I142"/>
    <mergeCell ref="J142:R142"/>
    <mergeCell ref="S142:Y142"/>
    <mergeCell ref="A143:B143"/>
    <mergeCell ref="C143:I143"/>
    <mergeCell ref="J143:R143"/>
    <mergeCell ref="S143:Y143"/>
    <mergeCell ref="A148:B148"/>
    <mergeCell ref="C148:I148"/>
    <mergeCell ref="J148:R148"/>
    <mergeCell ref="S148:Y148"/>
    <mergeCell ref="A149:B149"/>
    <mergeCell ref="C149:I149"/>
    <mergeCell ref="J149:R149"/>
    <mergeCell ref="S149:Y149"/>
    <mergeCell ref="A146:B146"/>
    <mergeCell ref="C146:I146"/>
    <mergeCell ref="J146:R146"/>
    <mergeCell ref="S146:Y146"/>
    <mergeCell ref="A147:B147"/>
    <mergeCell ref="C147:I147"/>
    <mergeCell ref="J147:R147"/>
    <mergeCell ref="S147:Y147"/>
    <mergeCell ref="A152:B152"/>
    <mergeCell ref="C152:I152"/>
    <mergeCell ref="J152:R152"/>
    <mergeCell ref="S152:Y152"/>
    <mergeCell ref="A150:B150"/>
    <mergeCell ref="C150:I150"/>
    <mergeCell ref="J150:R150"/>
    <mergeCell ref="S150:Y150"/>
    <mergeCell ref="A151:B151"/>
    <mergeCell ref="C151:I151"/>
    <mergeCell ref="J151:R151"/>
    <mergeCell ref="S151:Y151"/>
  </mergeCells>
  <phoneticPr fontId="315" type="noConversion"/>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33D3-D8AF-4BE5-8D90-275981AE1408}">
  <sheetPr>
    <tabColor rgb="FF0070C0"/>
  </sheetPr>
  <dimension ref="B2:AB872"/>
  <sheetViews>
    <sheetView workbookViewId="0">
      <selection activeCell="J7" sqref="J7"/>
    </sheetView>
  </sheetViews>
  <sheetFormatPr defaultColWidth="14.3984375" defaultRowHeight="15" customHeight="1"/>
  <cols>
    <col min="1" max="3" width="8.59765625" style="219" customWidth="1"/>
    <col min="4" max="5" width="9.59765625" style="219" customWidth="1"/>
    <col min="6" max="9" width="9.3984375" style="219" customWidth="1"/>
    <col min="10" max="11" width="9.59765625" style="219" customWidth="1"/>
    <col min="12" max="28" width="9.3984375" style="219" customWidth="1"/>
    <col min="29" max="16384" width="14.3984375" style="219"/>
  </cols>
  <sheetData>
    <row r="2" spans="2:28" ht="14.25">
      <c r="B2" s="278" t="s">
        <v>1415</v>
      </c>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row>
    <row r="3" spans="2:28" ht="14.25">
      <c r="B3" s="278" t="s">
        <v>1418</v>
      </c>
      <c r="C3" s="278"/>
      <c r="D3" s="278"/>
      <c r="E3" s="278"/>
      <c r="F3" s="278"/>
      <c r="G3" s="278"/>
      <c r="H3" s="278"/>
      <c r="I3" s="278"/>
      <c r="J3" s="278"/>
      <c r="K3" s="278"/>
      <c r="L3" s="278"/>
      <c r="M3" s="278"/>
      <c r="N3" s="278"/>
      <c r="O3" s="278"/>
      <c r="P3" s="278"/>
      <c r="Q3" s="278"/>
      <c r="R3" s="278"/>
      <c r="S3" s="278"/>
      <c r="T3" s="278"/>
      <c r="U3" s="278"/>
      <c r="V3" s="278"/>
      <c r="W3" s="278"/>
      <c r="X3" s="278"/>
      <c r="Y3" s="278"/>
      <c r="Z3" s="278"/>
      <c r="AA3" s="278"/>
      <c r="AB3" s="278"/>
    </row>
    <row r="4" spans="2:28" ht="14.25">
      <c r="B4" s="278" t="s">
        <v>1420</v>
      </c>
      <c r="C4" s="278"/>
      <c r="D4" s="278"/>
      <c r="E4" s="278"/>
      <c r="F4" s="278"/>
      <c r="G4" s="278"/>
      <c r="H4" s="278"/>
      <c r="I4" s="278"/>
      <c r="J4" s="278"/>
      <c r="K4" s="278"/>
      <c r="L4" s="278"/>
      <c r="M4" s="278"/>
      <c r="N4" s="278"/>
      <c r="O4" s="278"/>
      <c r="P4" s="278"/>
      <c r="Q4" s="278"/>
      <c r="R4" s="278"/>
      <c r="S4" s="278"/>
      <c r="T4" s="278"/>
      <c r="U4" s="278"/>
      <c r="V4" s="278"/>
      <c r="W4" s="278"/>
      <c r="X4" s="278"/>
      <c r="Y4" s="278"/>
      <c r="Z4" s="278"/>
      <c r="AA4" s="278"/>
      <c r="AB4" s="278"/>
    </row>
    <row r="5" spans="2:28" ht="14.25">
      <c r="B5" s="278" t="s">
        <v>1422</v>
      </c>
      <c r="C5" s="278"/>
      <c r="D5" s="278"/>
      <c r="E5" s="278"/>
      <c r="F5" s="278"/>
      <c r="G5" s="278"/>
      <c r="H5" s="278"/>
      <c r="I5" s="278"/>
      <c r="J5" s="278"/>
      <c r="K5" s="278"/>
      <c r="L5" s="278"/>
      <c r="M5" s="278"/>
      <c r="N5" s="278"/>
      <c r="O5" s="278"/>
      <c r="P5" s="278"/>
      <c r="Q5" s="278"/>
      <c r="R5" s="278"/>
      <c r="S5" s="278"/>
      <c r="T5" s="278"/>
      <c r="U5" s="278"/>
      <c r="V5" s="278"/>
      <c r="W5" s="278"/>
      <c r="X5" s="278"/>
      <c r="Y5" s="278"/>
      <c r="Z5" s="278"/>
      <c r="AA5" s="278"/>
      <c r="AB5" s="278"/>
    </row>
    <row r="6" spans="2:28" ht="14.25">
      <c r="B6" s="278" t="s">
        <v>1424</v>
      </c>
      <c r="C6" s="278"/>
      <c r="D6" s="278"/>
      <c r="E6" s="278"/>
      <c r="F6" s="278"/>
      <c r="G6" s="278"/>
      <c r="H6" s="278"/>
      <c r="I6" s="278"/>
      <c r="J6" s="278"/>
      <c r="K6" s="278"/>
      <c r="L6" s="278"/>
      <c r="M6" s="278"/>
      <c r="N6" s="278"/>
      <c r="O6" s="278"/>
      <c r="P6" s="278"/>
      <c r="Q6" s="278"/>
      <c r="R6" s="278"/>
      <c r="S6" s="278"/>
      <c r="T6" s="278"/>
      <c r="U6" s="278"/>
      <c r="V6" s="278"/>
      <c r="W6" s="278"/>
      <c r="X6" s="278"/>
      <c r="Y6" s="278"/>
      <c r="Z6" s="278"/>
      <c r="AA6" s="278"/>
      <c r="AB6" s="278"/>
    </row>
    <row r="7" spans="2:28" ht="14.25">
      <c r="B7" s="278" t="s">
        <v>170</v>
      </c>
      <c r="C7" s="278"/>
      <c r="D7" s="278">
        <v>1</v>
      </c>
      <c r="E7" s="278">
        <v>1</v>
      </c>
      <c r="F7" s="278">
        <v>1</v>
      </c>
      <c r="G7" s="278">
        <v>1</v>
      </c>
      <c r="H7" s="278">
        <v>2</v>
      </c>
      <c r="I7" s="278">
        <v>2</v>
      </c>
      <c r="J7" s="278">
        <v>1</v>
      </c>
      <c r="K7" s="278">
        <v>2</v>
      </c>
      <c r="L7" s="278">
        <v>2</v>
      </c>
      <c r="M7" s="278">
        <v>3</v>
      </c>
      <c r="N7" s="278">
        <v>3</v>
      </c>
      <c r="O7" s="278">
        <v>2</v>
      </c>
      <c r="P7" s="278">
        <v>3</v>
      </c>
      <c r="Q7" s="278"/>
      <c r="R7" s="278"/>
      <c r="S7" s="278"/>
      <c r="T7" s="278"/>
      <c r="U7" s="278"/>
      <c r="V7" s="278"/>
      <c r="W7" s="278"/>
      <c r="X7" s="278"/>
      <c r="Y7" s="278"/>
      <c r="Z7" s="278"/>
      <c r="AA7" s="278"/>
      <c r="AB7" s="278"/>
    </row>
    <row r="8" spans="2:28" ht="14.25">
      <c r="B8" s="278" t="s">
        <v>172</v>
      </c>
      <c r="C8" s="278"/>
      <c r="D8" s="278">
        <v>1</v>
      </c>
      <c r="E8" s="278">
        <v>2</v>
      </c>
      <c r="F8" s="278">
        <v>3</v>
      </c>
      <c r="G8" s="278">
        <v>4</v>
      </c>
      <c r="H8" s="278">
        <v>1</v>
      </c>
      <c r="I8" s="278">
        <v>2</v>
      </c>
      <c r="J8" s="278">
        <v>5</v>
      </c>
      <c r="K8" s="278">
        <v>3</v>
      </c>
      <c r="L8" s="278">
        <v>4</v>
      </c>
      <c r="M8" s="278">
        <v>1</v>
      </c>
      <c r="N8" s="278">
        <v>2</v>
      </c>
      <c r="O8" s="278">
        <v>5</v>
      </c>
      <c r="P8" s="278">
        <v>3</v>
      </c>
      <c r="Q8" s="278"/>
      <c r="R8" s="278"/>
      <c r="S8" s="278"/>
      <c r="T8" s="278"/>
      <c r="U8" s="278"/>
      <c r="V8" s="278"/>
      <c r="W8" s="278"/>
      <c r="X8" s="278"/>
      <c r="Y8" s="278"/>
      <c r="Z8" s="278"/>
      <c r="AA8" s="278"/>
      <c r="AB8" s="278"/>
    </row>
    <row r="9" spans="2:28" ht="14.25">
      <c r="B9" s="1841" t="s">
        <v>174</v>
      </c>
      <c r="C9" s="1442"/>
      <c r="D9" s="279">
        <v>1</v>
      </c>
      <c r="E9" s="279">
        <v>2</v>
      </c>
      <c r="F9" s="279">
        <v>3</v>
      </c>
      <c r="G9" s="279">
        <v>4</v>
      </c>
      <c r="H9" s="279">
        <v>5</v>
      </c>
      <c r="I9" s="279">
        <v>6</v>
      </c>
      <c r="J9" s="279">
        <v>7</v>
      </c>
      <c r="K9" s="279">
        <v>8</v>
      </c>
      <c r="L9" s="279">
        <v>9</v>
      </c>
      <c r="M9" s="279">
        <v>10</v>
      </c>
      <c r="N9" s="279">
        <v>11</v>
      </c>
      <c r="O9" s="279">
        <v>12</v>
      </c>
      <c r="P9" s="279">
        <v>13</v>
      </c>
      <c r="Q9" s="279">
        <v>14</v>
      </c>
      <c r="R9" s="279">
        <v>15</v>
      </c>
      <c r="S9" s="279">
        <v>16</v>
      </c>
      <c r="T9" s="279">
        <v>17</v>
      </c>
      <c r="U9" s="279">
        <v>18</v>
      </c>
      <c r="V9" s="279">
        <v>19</v>
      </c>
      <c r="W9" s="279">
        <v>20</v>
      </c>
      <c r="X9" s="279">
        <v>21</v>
      </c>
      <c r="Y9" s="279">
        <v>22</v>
      </c>
      <c r="Z9" s="279">
        <v>23</v>
      </c>
      <c r="AA9" s="279">
        <v>24</v>
      </c>
      <c r="AB9" s="279">
        <v>25</v>
      </c>
    </row>
    <row r="10" spans="2:28" ht="28.5">
      <c r="B10" s="1842" t="s">
        <v>1427</v>
      </c>
      <c r="C10" s="1442"/>
      <c r="D10" s="280" t="s">
        <v>1394</v>
      </c>
      <c r="E10" s="280" t="s">
        <v>1394</v>
      </c>
      <c r="F10" s="280" t="s">
        <v>1394</v>
      </c>
      <c r="G10" s="280" t="s">
        <v>1394</v>
      </c>
      <c r="H10" s="280" t="s">
        <v>1394</v>
      </c>
      <c r="I10" s="280" t="s">
        <v>1412</v>
      </c>
      <c r="J10" s="280" t="s">
        <v>1412</v>
      </c>
      <c r="K10" s="280" t="s">
        <v>1412</v>
      </c>
      <c r="L10" s="280" t="s">
        <v>1412</v>
      </c>
      <c r="M10" s="280" t="s">
        <v>1412</v>
      </c>
      <c r="N10" s="280" t="s">
        <v>1412</v>
      </c>
      <c r="O10" s="280" t="s">
        <v>1401</v>
      </c>
      <c r="P10" s="280" t="s">
        <v>1401</v>
      </c>
      <c r="Q10" s="280" t="s">
        <v>1401</v>
      </c>
      <c r="R10" s="280" t="s">
        <v>1401</v>
      </c>
      <c r="S10" s="280" t="s">
        <v>1413</v>
      </c>
      <c r="T10" s="280" t="s">
        <v>1413</v>
      </c>
      <c r="U10" s="280" t="s">
        <v>1413</v>
      </c>
      <c r="V10" s="280" t="s">
        <v>1413</v>
      </c>
      <c r="W10" s="280" t="s">
        <v>1405</v>
      </c>
      <c r="X10" s="280" t="s">
        <v>1405</v>
      </c>
      <c r="Y10" s="280" t="s">
        <v>1405</v>
      </c>
      <c r="Z10" s="280" t="s">
        <v>1405</v>
      </c>
      <c r="AA10" s="280" t="s">
        <v>1405</v>
      </c>
      <c r="AB10" s="280" t="s">
        <v>1405</v>
      </c>
    </row>
    <row r="11" spans="2:28" ht="14.25">
      <c r="B11" s="278"/>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row>
    <row r="12" spans="2:28" ht="15.75" customHeight="1"/>
    <row r="13" spans="2:28" ht="15.75" customHeight="1"/>
    <row r="14" spans="2:28" ht="15.75" customHeight="1"/>
    <row r="15" spans="2:28" ht="15.75" customHeight="1"/>
    <row r="16" spans="2:28" ht="15.75" customHeight="1"/>
    <row r="17" spans="2:6" ht="15.75" customHeight="1"/>
    <row r="18" spans="2:6" ht="15.75" customHeight="1"/>
    <row r="19" spans="2:6" ht="15.75" customHeight="1"/>
    <row r="20" spans="2:6" ht="15.75" customHeight="1"/>
    <row r="21" spans="2:6" ht="15.75" customHeight="1"/>
    <row r="22" spans="2:6" ht="15.75" customHeight="1">
      <c r="B22" s="278"/>
      <c r="C22" s="278"/>
      <c r="D22" s="278"/>
      <c r="E22" s="278"/>
      <c r="F22" s="278"/>
    </row>
    <row r="23" spans="2:6" ht="43.5" customHeight="1"/>
    <row r="24" spans="2:6" ht="15.75" customHeight="1"/>
    <row r="25" spans="2:6" ht="15.75" customHeight="1"/>
    <row r="26" spans="2:6" ht="15.75" customHeight="1"/>
    <row r="27" spans="2:6" ht="15.75" customHeight="1"/>
    <row r="28" spans="2:6" ht="15.75" customHeight="1"/>
    <row r="29" spans="2:6" ht="15.75" customHeight="1"/>
    <row r="30" spans="2:6" ht="15.75" customHeight="1"/>
    <row r="31" spans="2:6" ht="15.75" customHeight="1"/>
    <row r="32" spans="2:6" ht="15.75" customHeight="1"/>
    <row r="33" spans="2:6" ht="15.75" customHeight="1"/>
    <row r="34" spans="2:6" ht="15.75" customHeight="1"/>
    <row r="35" spans="2:6" ht="15.75" customHeight="1"/>
    <row r="36" spans="2:6" ht="15.75" customHeight="1"/>
    <row r="37" spans="2:6" ht="15.75" customHeight="1"/>
    <row r="38" spans="2:6" ht="15.75" customHeight="1"/>
    <row r="39" spans="2:6" ht="15.75" customHeight="1"/>
    <row r="40" spans="2:6" ht="15.75" customHeight="1"/>
    <row r="41" spans="2:6" ht="15.75" customHeight="1"/>
    <row r="42" spans="2:6" ht="15.75" customHeight="1"/>
    <row r="43" spans="2:6" ht="15.75" customHeight="1">
      <c r="B43" s="278"/>
      <c r="C43" s="278"/>
      <c r="D43" s="278"/>
      <c r="E43" s="278"/>
      <c r="F43" s="278"/>
    </row>
    <row r="44" spans="2:6" ht="43.5" customHeight="1"/>
    <row r="45" spans="2:6" ht="15.75" customHeight="1"/>
    <row r="46" spans="2:6" ht="15.75" customHeight="1"/>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sheetData>
  <mergeCells count="2">
    <mergeCell ref="B9:C9"/>
    <mergeCell ref="B10:C10"/>
  </mergeCells>
  <conditionalFormatting sqref="D10:AB10">
    <cfRule type="containsText" dxfId="54" priority="1" operator="containsText" text="Moderate to High">
      <formula>NOT(ISERROR(SEARCH(("Moderate to High"),(D10))))</formula>
    </cfRule>
    <cfRule type="containsText" dxfId="53" priority="2" operator="containsText" text="Low to Moderate">
      <formula>NOT(ISERROR(SEARCH(("Low to Moderate"),(D10))))</formula>
    </cfRule>
    <cfRule type="containsText" dxfId="52" priority="3" operator="containsText" text="Moderate">
      <formula>NOT(ISERROR(SEARCH(("Moderate"),(D10))))</formula>
    </cfRule>
    <cfRule type="containsText" dxfId="51" priority="4" operator="containsText" text="Low">
      <formula>NOT(ISERROR(SEARCH(("Low"),(D10))))</formula>
    </cfRule>
    <cfRule type="containsText" dxfId="50" priority="5" operator="containsText" text="High">
      <formula>NOT(ISERROR(SEARCH(("High"),(D10))))</formula>
    </cfRule>
  </conditionalFormatting>
  <pageMargins left="0.7" right="0.7" top="0.75" bottom="0.75" header="0" footer="0"/>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B98AB-C78E-0343-AFD6-FCA9331A2A61}">
  <sheetPr codeName="Sheet4">
    <tabColor rgb="FF1896A4"/>
  </sheetPr>
  <dimension ref="A1:BI112"/>
  <sheetViews>
    <sheetView showGridLines="0" zoomScale="108" zoomScaleNormal="85" workbookViewId="0">
      <pane xSplit="1" ySplit="4" topLeftCell="B8" activePane="bottomRight" state="frozen"/>
      <selection pane="topRight"/>
      <selection pane="bottomLeft"/>
      <selection pane="bottomRight" activeCell="H13" sqref="H13"/>
    </sheetView>
  </sheetViews>
  <sheetFormatPr defaultColWidth="9" defaultRowHeight="13.5"/>
  <cols>
    <col min="1" max="1" width="9.1328125" style="30" customWidth="1"/>
    <col min="2" max="2" width="6.1328125" style="30" customWidth="1"/>
    <col min="3" max="3" width="9.86328125" style="30" customWidth="1"/>
    <col min="4" max="4" width="8.86328125" style="30" customWidth="1"/>
    <col min="5" max="5" width="12.3984375" style="30" customWidth="1"/>
    <col min="6" max="6" width="13.86328125" style="30" customWidth="1"/>
    <col min="7" max="7" width="9.86328125" style="30" customWidth="1"/>
    <col min="8" max="8" width="47.3984375" style="30" bestFit="1" customWidth="1"/>
    <col min="9" max="9" width="11.86328125" style="30" customWidth="1"/>
    <col min="10" max="10" width="13.1328125" style="30" customWidth="1"/>
    <col min="11" max="11" width="27.86328125" style="30" customWidth="1"/>
    <col min="12" max="12" width="10.1328125" style="30" customWidth="1"/>
    <col min="13" max="13" width="10.1328125" style="31" customWidth="1"/>
    <col min="14" max="14" width="32.86328125" style="32" customWidth="1"/>
    <col min="15" max="15" width="18.3984375" style="45" customWidth="1"/>
    <col min="16" max="16" width="18.3984375" style="133" customWidth="1"/>
    <col min="17" max="17" width="13.3984375" style="45" customWidth="1"/>
    <col min="18" max="18" width="11.59765625" style="45" customWidth="1"/>
    <col min="19" max="19" width="12.1328125" style="45" customWidth="1"/>
    <col min="20" max="20" width="32.86328125" style="32" customWidth="1"/>
    <col min="21" max="21" width="29.1328125" style="32" customWidth="1"/>
    <col min="22" max="22" width="18.1328125" style="30" customWidth="1"/>
    <col min="23" max="23" width="19.1328125" style="30" customWidth="1"/>
    <col min="24" max="24" width="23.1328125" style="30" customWidth="1"/>
    <col min="25" max="25" width="18.1328125" style="2" customWidth="1"/>
    <col min="26" max="61" width="9" style="29"/>
    <col min="62" max="16384" width="9" style="30"/>
  </cols>
  <sheetData>
    <row r="1" spans="1:25" ht="14.25">
      <c r="A1" s="112" t="s">
        <v>29</v>
      </c>
    </row>
    <row r="2" spans="1:25" s="23" customFormat="1" ht="24" customHeight="1">
      <c r="A2" s="1843" t="s">
        <v>31</v>
      </c>
      <c r="B2" s="1843" t="s">
        <v>47</v>
      </c>
      <c r="C2" s="1843" t="s">
        <v>48</v>
      </c>
      <c r="D2" s="1843" t="s">
        <v>49</v>
      </c>
      <c r="E2" s="1843" t="s">
        <v>150</v>
      </c>
      <c r="F2" s="1843" t="s">
        <v>153</v>
      </c>
      <c r="G2" s="1843" t="s">
        <v>50</v>
      </c>
      <c r="H2" s="1843" t="s">
        <v>51</v>
      </c>
      <c r="I2" s="1843" t="s">
        <v>126</v>
      </c>
      <c r="J2" s="1843" t="s">
        <v>155</v>
      </c>
      <c r="K2" s="1843" t="s">
        <v>156</v>
      </c>
      <c r="L2" s="1843" t="s">
        <v>127</v>
      </c>
      <c r="M2" s="1845" t="s">
        <v>158</v>
      </c>
      <c r="N2" s="1843" t="s">
        <v>128</v>
      </c>
      <c r="O2" s="1846" t="s">
        <v>159</v>
      </c>
      <c r="P2" s="1846" t="s">
        <v>160</v>
      </c>
      <c r="Q2" s="1846" t="s">
        <v>161</v>
      </c>
      <c r="R2" s="1846"/>
      <c r="S2" s="1846"/>
      <c r="T2" s="1843" t="s">
        <v>1942</v>
      </c>
      <c r="U2" s="1844" t="s">
        <v>163</v>
      </c>
      <c r="V2" s="1843" t="s">
        <v>164</v>
      </c>
      <c r="W2" s="1843" t="s">
        <v>165</v>
      </c>
      <c r="X2" s="1843" t="s">
        <v>166</v>
      </c>
      <c r="Y2" s="1843" t="s">
        <v>167</v>
      </c>
    </row>
    <row r="3" spans="1:25" s="23" customFormat="1" ht="32.25" customHeight="1">
      <c r="A3" s="1843"/>
      <c r="B3" s="1843"/>
      <c r="C3" s="1843"/>
      <c r="D3" s="1843"/>
      <c r="E3" s="1843"/>
      <c r="F3" s="1843"/>
      <c r="G3" s="1843"/>
      <c r="H3" s="1843"/>
      <c r="I3" s="1843"/>
      <c r="J3" s="1843"/>
      <c r="K3" s="1843"/>
      <c r="L3" s="1843"/>
      <c r="M3" s="1845"/>
      <c r="N3" s="1843"/>
      <c r="O3" s="1846"/>
      <c r="P3" s="1846"/>
      <c r="Q3" s="67" t="s">
        <v>181</v>
      </c>
      <c r="R3" s="35" t="s">
        <v>182</v>
      </c>
      <c r="S3" s="68" t="s">
        <v>183</v>
      </c>
      <c r="T3" s="1843"/>
      <c r="U3" s="1844"/>
      <c r="V3" s="1843"/>
      <c r="W3" s="1843"/>
      <c r="X3" s="1843"/>
      <c r="Y3" s="1843"/>
    </row>
    <row r="4" spans="1:25" s="23" customFormat="1" ht="30.4">
      <c r="A4" s="3" t="s">
        <v>36</v>
      </c>
      <c r="B4" s="4" t="s">
        <v>57</v>
      </c>
      <c r="C4" s="4" t="s">
        <v>58</v>
      </c>
      <c r="D4" s="4" t="s">
        <v>59</v>
      </c>
      <c r="E4" s="4" t="s">
        <v>60</v>
      </c>
      <c r="F4" s="4" t="s">
        <v>58</v>
      </c>
      <c r="G4" s="4" t="s">
        <v>60</v>
      </c>
      <c r="H4" s="4" t="s">
        <v>58</v>
      </c>
      <c r="I4" s="4" t="s">
        <v>57</v>
      </c>
      <c r="J4" s="4" t="s">
        <v>60</v>
      </c>
      <c r="K4" s="4" t="s">
        <v>60</v>
      </c>
      <c r="L4" s="4" t="s">
        <v>177</v>
      </c>
      <c r="M4" s="24" t="s">
        <v>59</v>
      </c>
      <c r="N4" s="4" t="s">
        <v>60</v>
      </c>
      <c r="O4" s="5" t="s">
        <v>63</v>
      </c>
      <c r="P4" s="5" t="s">
        <v>63</v>
      </c>
      <c r="Q4" s="5" t="s">
        <v>63</v>
      </c>
      <c r="R4" s="5" t="s">
        <v>63</v>
      </c>
      <c r="S4" s="5" t="s">
        <v>63</v>
      </c>
      <c r="T4" s="4" t="s">
        <v>61</v>
      </c>
      <c r="U4" s="4" t="s">
        <v>60</v>
      </c>
      <c r="V4" s="4" t="s">
        <v>58</v>
      </c>
      <c r="W4" s="4" t="s">
        <v>58</v>
      </c>
      <c r="X4" s="4" t="s">
        <v>60</v>
      </c>
      <c r="Y4" s="4" t="s">
        <v>60</v>
      </c>
    </row>
    <row r="5" spans="1:25" s="27" customFormat="1" ht="243">
      <c r="A5" s="6" t="s">
        <v>38</v>
      </c>
      <c r="B5" s="8"/>
      <c r="C5" s="8"/>
      <c r="D5" s="13" t="s">
        <v>64</v>
      </c>
      <c r="E5" s="8" t="s">
        <v>207</v>
      </c>
      <c r="F5" s="8" t="s">
        <v>208</v>
      </c>
      <c r="G5" s="8" t="s">
        <v>1943</v>
      </c>
      <c r="H5" s="8" t="s">
        <v>209</v>
      </c>
      <c r="I5" s="8" t="s">
        <v>210</v>
      </c>
      <c r="J5" s="8" t="s">
        <v>211</v>
      </c>
      <c r="K5" s="8" t="s">
        <v>212</v>
      </c>
      <c r="L5" s="8" t="s">
        <v>190</v>
      </c>
      <c r="M5" s="25" t="s">
        <v>213</v>
      </c>
      <c r="N5" s="9" t="s">
        <v>214</v>
      </c>
      <c r="O5" s="9" t="s">
        <v>215</v>
      </c>
      <c r="P5" s="65" t="s">
        <v>216</v>
      </c>
      <c r="Q5" s="20" t="s">
        <v>217</v>
      </c>
      <c r="R5" s="20"/>
      <c r="S5" s="20"/>
      <c r="T5" s="8" t="s">
        <v>218</v>
      </c>
      <c r="U5" s="8" t="s">
        <v>219</v>
      </c>
      <c r="V5" s="8" t="s">
        <v>220</v>
      </c>
      <c r="W5" s="8" t="s">
        <v>221</v>
      </c>
      <c r="X5" s="8" t="s">
        <v>222</v>
      </c>
      <c r="Y5" s="8" t="s">
        <v>223</v>
      </c>
    </row>
    <row r="6" spans="1:25" s="28" customFormat="1" ht="188.25" customHeight="1">
      <c r="A6" s="11" t="s">
        <v>43</v>
      </c>
      <c r="B6" s="8"/>
      <c r="C6" s="8"/>
      <c r="D6" s="12"/>
      <c r="E6" s="13" t="s">
        <v>224</v>
      </c>
      <c r="F6" s="13"/>
      <c r="G6" s="13"/>
      <c r="H6" s="14" t="s">
        <v>225</v>
      </c>
      <c r="I6" s="8" t="s">
        <v>1944</v>
      </c>
      <c r="J6" s="13" t="s">
        <v>227</v>
      </c>
      <c r="K6" s="13"/>
      <c r="L6" s="13"/>
      <c r="M6" s="9" t="s">
        <v>228</v>
      </c>
      <c r="N6" s="9" t="s">
        <v>229</v>
      </c>
      <c r="O6" s="52"/>
      <c r="P6" s="66"/>
      <c r="Q6" s="20"/>
      <c r="R6" s="20"/>
      <c r="S6" s="20"/>
      <c r="T6" s="13" t="s">
        <v>232</v>
      </c>
      <c r="U6" s="13" t="s">
        <v>233</v>
      </c>
      <c r="V6" s="13"/>
      <c r="W6" s="13" t="s">
        <v>235</v>
      </c>
      <c r="X6" s="81"/>
      <c r="Y6" s="13" t="s">
        <v>236</v>
      </c>
    </row>
    <row r="7" spans="1:25" s="194" customFormat="1" ht="61.7" customHeight="1">
      <c r="A7" s="193" t="s">
        <v>266</v>
      </c>
      <c r="B7" s="187"/>
      <c r="C7" s="187" t="s">
        <v>75</v>
      </c>
      <c r="D7" s="187"/>
      <c r="E7" s="185" t="s">
        <v>106</v>
      </c>
      <c r="F7" s="185" t="s">
        <v>240</v>
      </c>
      <c r="G7" s="185" t="s">
        <v>1945</v>
      </c>
      <c r="H7" s="185" t="s">
        <v>77</v>
      </c>
      <c r="I7" s="187">
        <v>1</v>
      </c>
      <c r="J7" s="185" t="s">
        <v>1946</v>
      </c>
      <c r="K7" s="185" t="s">
        <v>1947</v>
      </c>
      <c r="L7" s="187" t="s">
        <v>245</v>
      </c>
      <c r="M7" s="192"/>
      <c r="N7" s="185" t="s">
        <v>1948</v>
      </c>
      <c r="O7" s="185" t="s">
        <v>1949</v>
      </c>
      <c r="P7" s="183" t="s">
        <v>202</v>
      </c>
      <c r="Q7" s="183" t="s">
        <v>1950</v>
      </c>
      <c r="R7" s="183" t="s">
        <v>1951</v>
      </c>
      <c r="S7" s="183" t="s">
        <v>1952</v>
      </c>
      <c r="T7" s="185" t="s">
        <v>252</v>
      </c>
      <c r="U7" s="186" t="s">
        <v>1953</v>
      </c>
      <c r="V7" s="185" t="s">
        <v>1954</v>
      </c>
      <c r="W7" s="187" t="s">
        <v>1955</v>
      </c>
      <c r="X7" s="185" t="s">
        <v>1956</v>
      </c>
      <c r="Y7" s="187" t="s">
        <v>1957</v>
      </c>
    </row>
    <row r="8" spans="1:25" s="28" customFormat="1" ht="20.25">
      <c r="A8" s="3"/>
      <c r="B8" s="16"/>
      <c r="C8" s="16"/>
      <c r="D8" s="16"/>
      <c r="E8" s="79"/>
      <c r="F8" s="79"/>
      <c r="G8" s="79"/>
      <c r="H8" s="79"/>
      <c r="I8" s="98"/>
      <c r="J8" s="79"/>
      <c r="K8" s="79"/>
      <c r="L8" s="180" t="s">
        <v>1958</v>
      </c>
      <c r="M8" s="181"/>
      <c r="N8" s="185" t="s">
        <v>1959</v>
      </c>
      <c r="O8" s="182"/>
      <c r="P8" s="183"/>
      <c r="Q8" s="184"/>
      <c r="R8" s="184"/>
      <c r="S8" s="184"/>
      <c r="T8" s="185"/>
      <c r="U8" s="186" t="s">
        <v>1960</v>
      </c>
      <c r="V8" s="185" t="s">
        <v>1961</v>
      </c>
      <c r="W8" s="187"/>
      <c r="X8" s="185" t="s">
        <v>1962</v>
      </c>
      <c r="Y8" s="187" t="s">
        <v>1957</v>
      </c>
    </row>
    <row r="9" spans="1:25" s="28" customFormat="1" ht="20.25">
      <c r="A9" s="3"/>
      <c r="B9" s="16"/>
      <c r="C9" s="16"/>
      <c r="D9" s="16"/>
      <c r="E9" s="79"/>
      <c r="F9" s="79"/>
      <c r="G9" s="79"/>
      <c r="H9" s="79"/>
      <c r="I9" s="98"/>
      <c r="J9" s="79"/>
      <c r="K9" s="79"/>
      <c r="L9" s="180" t="s">
        <v>1963</v>
      </c>
      <c r="M9" s="181"/>
      <c r="N9" s="185" t="s">
        <v>1964</v>
      </c>
      <c r="O9" s="182"/>
      <c r="P9" s="183"/>
      <c r="Q9" s="184"/>
      <c r="R9" s="184"/>
      <c r="S9" s="184"/>
      <c r="T9" s="185"/>
      <c r="U9" s="186" t="s">
        <v>1965</v>
      </c>
      <c r="V9" s="185" t="s">
        <v>1961</v>
      </c>
      <c r="W9" s="187"/>
      <c r="X9" s="185" t="s">
        <v>1966</v>
      </c>
      <c r="Y9" s="187" t="s">
        <v>1957</v>
      </c>
    </row>
    <row r="10" spans="1:25" s="28" customFormat="1" ht="10.5">
      <c r="A10" s="3"/>
      <c r="B10" s="16"/>
      <c r="C10" s="16"/>
      <c r="D10" s="16"/>
      <c r="E10" s="79"/>
      <c r="F10" s="79"/>
      <c r="G10" s="79"/>
      <c r="H10" s="79"/>
      <c r="I10" s="98"/>
      <c r="J10" s="79"/>
      <c r="K10" s="79"/>
      <c r="L10" s="180" t="s">
        <v>1967</v>
      </c>
      <c r="M10" s="181"/>
      <c r="N10" s="185" t="s">
        <v>1968</v>
      </c>
      <c r="O10" s="182"/>
      <c r="P10" s="183"/>
      <c r="Q10" s="184"/>
      <c r="R10" s="184"/>
      <c r="S10" s="184"/>
      <c r="T10" s="185"/>
      <c r="U10" s="186" t="s">
        <v>1969</v>
      </c>
      <c r="V10" s="185" t="s">
        <v>1961</v>
      </c>
      <c r="W10" s="187"/>
      <c r="X10" s="185" t="s">
        <v>1970</v>
      </c>
      <c r="Y10" s="187" t="s">
        <v>1957</v>
      </c>
    </row>
    <row r="11" spans="1:25" s="28" customFormat="1" ht="20.25">
      <c r="A11" s="3"/>
      <c r="B11" s="16"/>
      <c r="C11" s="16"/>
      <c r="D11" s="16"/>
      <c r="E11" s="79"/>
      <c r="F11" s="79"/>
      <c r="G11" s="79"/>
      <c r="H11" s="79"/>
      <c r="I11" s="98"/>
      <c r="J11" s="79"/>
      <c r="K11" s="79"/>
      <c r="L11" s="180" t="s">
        <v>1971</v>
      </c>
      <c r="M11" s="181"/>
      <c r="N11" s="185" t="s">
        <v>1972</v>
      </c>
      <c r="O11" s="182"/>
      <c r="P11" s="183"/>
      <c r="Q11" s="184"/>
      <c r="R11" s="184"/>
      <c r="S11" s="184"/>
      <c r="T11" s="185"/>
      <c r="U11" s="186" t="s">
        <v>1973</v>
      </c>
      <c r="V11" s="185" t="s">
        <v>1961</v>
      </c>
      <c r="W11" s="187"/>
      <c r="X11" s="185"/>
      <c r="Y11" s="187"/>
    </row>
    <row r="12" spans="1:25" s="28" customFormat="1" ht="20.25">
      <c r="A12" s="3"/>
      <c r="B12" s="16"/>
      <c r="C12" s="16"/>
      <c r="D12" s="16"/>
      <c r="E12" s="79"/>
      <c r="F12" s="79"/>
      <c r="G12" s="79"/>
      <c r="H12" s="79"/>
      <c r="I12" s="98"/>
      <c r="J12" s="79"/>
      <c r="K12" s="79"/>
      <c r="L12" s="180" t="s">
        <v>1974</v>
      </c>
      <c r="M12" s="181"/>
      <c r="N12" s="185" t="s">
        <v>1975</v>
      </c>
      <c r="O12" s="182"/>
      <c r="P12" s="183"/>
      <c r="Q12" s="184"/>
      <c r="R12" s="184"/>
      <c r="S12" s="184"/>
      <c r="T12" s="185"/>
      <c r="U12" s="186" t="s">
        <v>1976</v>
      </c>
      <c r="V12" s="185" t="s">
        <v>1961</v>
      </c>
      <c r="W12" s="187"/>
      <c r="X12" s="185"/>
      <c r="Y12" s="187"/>
    </row>
    <row r="13" spans="1:25" s="28" customFormat="1" ht="31.5">
      <c r="A13" s="3"/>
      <c r="B13" s="16"/>
      <c r="C13" s="16"/>
      <c r="D13" s="16"/>
      <c r="E13" s="79"/>
      <c r="F13" s="79"/>
      <c r="G13" s="79"/>
      <c r="H13" s="79"/>
      <c r="I13" s="98"/>
      <c r="J13" s="79"/>
      <c r="K13" s="79"/>
      <c r="L13" s="180" t="s">
        <v>1977</v>
      </c>
      <c r="M13" s="181"/>
      <c r="N13" s="185" t="s">
        <v>1978</v>
      </c>
      <c r="O13" s="182" t="s">
        <v>1979</v>
      </c>
      <c r="P13" s="183" t="s">
        <v>202</v>
      </c>
      <c r="Q13" s="184" t="s">
        <v>1950</v>
      </c>
      <c r="R13" s="184" t="s">
        <v>1951</v>
      </c>
      <c r="S13" s="184" t="s">
        <v>1952</v>
      </c>
      <c r="T13" s="185"/>
      <c r="U13" s="186" t="s">
        <v>1980</v>
      </c>
      <c r="V13" s="185" t="s">
        <v>1961</v>
      </c>
      <c r="W13" s="187"/>
      <c r="X13" s="185"/>
      <c r="Y13" s="187"/>
    </row>
    <row r="14" spans="1:25" s="28" customFormat="1" ht="30.4">
      <c r="A14" s="3"/>
      <c r="B14" s="16"/>
      <c r="C14" s="16"/>
      <c r="D14" s="16"/>
      <c r="E14" s="79"/>
      <c r="F14" s="79"/>
      <c r="G14" s="79"/>
      <c r="H14" s="79"/>
      <c r="I14" s="98"/>
      <c r="J14" s="79"/>
      <c r="K14" s="79"/>
      <c r="L14" s="180" t="s">
        <v>1981</v>
      </c>
      <c r="M14" s="181"/>
      <c r="N14" s="185" t="s">
        <v>1982</v>
      </c>
      <c r="O14" s="182"/>
      <c r="P14" s="183"/>
      <c r="Q14" s="184"/>
      <c r="R14" s="184"/>
      <c r="S14" s="184"/>
      <c r="T14" s="185"/>
      <c r="U14" s="185" t="s">
        <v>1983</v>
      </c>
      <c r="V14" s="185" t="s">
        <v>1961</v>
      </c>
      <c r="W14" s="187"/>
      <c r="X14" s="185"/>
      <c r="Y14" s="187"/>
    </row>
    <row r="15" spans="1:25" s="28" customFormat="1" ht="10.5">
      <c r="A15" s="3"/>
      <c r="B15" s="16"/>
      <c r="C15" s="16"/>
      <c r="D15" s="16"/>
      <c r="E15" s="79"/>
      <c r="F15" s="79"/>
      <c r="G15" s="79"/>
      <c r="H15" s="79"/>
      <c r="I15" s="98"/>
      <c r="J15" s="79"/>
      <c r="K15" s="79"/>
      <c r="L15" s="180" t="s">
        <v>1984</v>
      </c>
      <c r="M15" s="181"/>
      <c r="N15" s="185" t="s">
        <v>1985</v>
      </c>
      <c r="O15" s="182"/>
      <c r="P15" s="183"/>
      <c r="Q15" s="184"/>
      <c r="R15" s="184"/>
      <c r="S15" s="184"/>
      <c r="T15" s="185"/>
      <c r="U15" s="185" t="s">
        <v>1986</v>
      </c>
      <c r="V15" s="185" t="s">
        <v>1961</v>
      </c>
      <c r="W15" s="187"/>
      <c r="X15" s="185"/>
      <c r="Y15" s="187"/>
    </row>
    <row r="16" spans="1:25" s="28" customFormat="1" ht="30.4">
      <c r="A16" s="3"/>
      <c r="B16" s="16"/>
      <c r="C16" s="16"/>
      <c r="D16" s="16"/>
      <c r="E16" s="79"/>
      <c r="F16" s="79"/>
      <c r="G16" s="79"/>
      <c r="H16" s="79"/>
      <c r="I16" s="98"/>
      <c r="J16" s="79"/>
      <c r="K16" s="79"/>
      <c r="L16" s="180" t="s">
        <v>1987</v>
      </c>
      <c r="M16" s="181"/>
      <c r="N16" s="185" t="s">
        <v>1988</v>
      </c>
      <c r="O16" s="182" t="s">
        <v>1989</v>
      </c>
      <c r="P16" s="65" t="s">
        <v>1990</v>
      </c>
      <c r="Q16" s="208" t="s">
        <v>1991</v>
      </c>
      <c r="R16" s="207" t="s">
        <v>1992</v>
      </c>
      <c r="S16" s="207" t="s">
        <v>1993</v>
      </c>
      <c r="T16" s="8"/>
      <c r="U16" s="102" t="s">
        <v>1994</v>
      </c>
      <c r="V16" s="185" t="s">
        <v>1961</v>
      </c>
      <c r="W16" s="16"/>
      <c r="X16" s="8"/>
      <c r="Y16" s="16"/>
    </row>
    <row r="17" spans="1:25" s="28" customFormat="1" ht="30.75" customHeight="1">
      <c r="A17" s="3"/>
      <c r="B17" s="16"/>
      <c r="C17" s="16"/>
      <c r="D17" s="16"/>
      <c r="E17" s="79"/>
      <c r="F17" s="79"/>
      <c r="G17" s="79"/>
      <c r="H17" s="79"/>
      <c r="I17" s="98"/>
      <c r="J17" s="79"/>
      <c r="K17" s="79"/>
      <c r="L17" s="180" t="s">
        <v>1995</v>
      </c>
      <c r="M17" s="181"/>
      <c r="N17" s="185" t="s">
        <v>1996</v>
      </c>
      <c r="O17" s="182" t="s">
        <v>1997</v>
      </c>
      <c r="P17" s="65" t="s">
        <v>1998</v>
      </c>
      <c r="Q17" s="208" t="s">
        <v>1991</v>
      </c>
      <c r="R17" s="207" t="s">
        <v>1992</v>
      </c>
      <c r="S17" s="207" t="s">
        <v>1993</v>
      </c>
      <c r="T17" s="8"/>
      <c r="U17" s="102" t="s">
        <v>1999</v>
      </c>
      <c r="V17" s="185" t="s">
        <v>1961</v>
      </c>
      <c r="W17" s="16"/>
      <c r="X17" s="8"/>
      <c r="Y17" s="16"/>
    </row>
    <row r="18" spans="1:25" s="28" customFormat="1" ht="20.25">
      <c r="A18" s="3"/>
      <c r="B18" s="16"/>
      <c r="C18" s="16"/>
      <c r="D18" s="16"/>
      <c r="E18" s="79"/>
      <c r="F18" s="79"/>
      <c r="G18" s="79"/>
      <c r="H18" s="79"/>
      <c r="I18" s="98"/>
      <c r="J18" s="79"/>
      <c r="K18" s="79"/>
      <c r="L18" s="180" t="s">
        <v>2000</v>
      </c>
      <c r="M18" s="181"/>
      <c r="N18" s="185" t="s">
        <v>2001</v>
      </c>
      <c r="O18" s="182"/>
      <c r="P18" s="65"/>
      <c r="Q18" s="208"/>
      <c r="R18" s="183"/>
      <c r="S18" s="183"/>
      <c r="T18" s="8"/>
      <c r="U18" s="102"/>
      <c r="V18" s="8"/>
      <c r="W18" s="16"/>
      <c r="X18" s="8"/>
      <c r="Y18" s="16"/>
    </row>
    <row r="19" spans="1:25" s="28" customFormat="1" ht="10.5">
      <c r="A19" s="3"/>
      <c r="B19" s="16"/>
      <c r="C19" s="16"/>
      <c r="D19" s="16"/>
      <c r="E19" s="79"/>
      <c r="F19" s="79"/>
      <c r="G19" s="79"/>
      <c r="H19" s="79"/>
      <c r="I19" s="98"/>
      <c r="J19" s="79"/>
      <c r="K19" s="79"/>
      <c r="L19" s="180"/>
      <c r="M19" s="181"/>
      <c r="N19" s="185"/>
      <c r="O19" s="182"/>
      <c r="P19" s="65"/>
      <c r="Q19" s="208"/>
      <c r="R19" s="183"/>
      <c r="S19" s="183"/>
      <c r="T19" s="8"/>
      <c r="U19" s="102"/>
      <c r="V19" s="8"/>
      <c r="W19" s="16"/>
      <c r="X19" s="8"/>
      <c r="Y19" s="16"/>
    </row>
    <row r="20" spans="1:25" s="28" customFormat="1" ht="10.5">
      <c r="A20" s="3"/>
      <c r="B20" s="16"/>
      <c r="C20" s="16"/>
      <c r="D20" s="16"/>
      <c r="E20" s="79"/>
      <c r="F20" s="79"/>
      <c r="G20" s="79"/>
      <c r="H20" s="79"/>
      <c r="I20" s="98"/>
      <c r="J20" s="79"/>
      <c r="K20" s="79"/>
      <c r="L20" s="180"/>
      <c r="M20" s="181"/>
      <c r="N20" s="185"/>
      <c r="O20" s="182"/>
      <c r="P20" s="65"/>
      <c r="Q20" s="208"/>
      <c r="R20" s="183"/>
      <c r="S20" s="183"/>
      <c r="T20" s="8"/>
      <c r="U20" s="102"/>
      <c r="V20" s="8"/>
      <c r="W20" s="16"/>
      <c r="X20" s="8"/>
      <c r="Y20" s="16"/>
    </row>
    <row r="21" spans="1:25" s="28" customFormat="1" ht="10.5">
      <c r="A21" s="3"/>
      <c r="B21" s="16"/>
      <c r="C21" s="16"/>
      <c r="D21" s="16"/>
      <c r="E21" s="79"/>
      <c r="F21" s="79"/>
      <c r="G21" s="79"/>
      <c r="H21" s="79"/>
      <c r="I21" s="98"/>
      <c r="J21" s="79"/>
      <c r="K21" s="79"/>
      <c r="L21" s="180"/>
      <c r="M21" s="181"/>
      <c r="N21" s="185"/>
      <c r="O21" s="182"/>
      <c r="P21" s="65"/>
      <c r="Q21" s="208"/>
      <c r="R21" s="183"/>
      <c r="S21" s="183"/>
      <c r="T21" s="8"/>
      <c r="U21" s="102"/>
      <c r="V21" s="8"/>
      <c r="W21" s="16"/>
      <c r="X21" s="8"/>
      <c r="Y21" s="16"/>
    </row>
    <row r="22" spans="1:25" s="28" customFormat="1" ht="10.5">
      <c r="A22" s="3"/>
      <c r="B22" s="16"/>
      <c r="C22" s="16"/>
      <c r="D22" s="16"/>
      <c r="E22" s="79"/>
      <c r="F22" s="79"/>
      <c r="G22" s="79"/>
      <c r="H22" s="79"/>
      <c r="I22" s="98"/>
      <c r="J22" s="79"/>
      <c r="K22" s="79"/>
      <c r="L22" s="180"/>
      <c r="M22" s="181"/>
      <c r="N22" s="185"/>
      <c r="O22" s="182"/>
      <c r="P22" s="65"/>
      <c r="Q22" s="208"/>
      <c r="R22" s="183"/>
      <c r="S22" s="183"/>
      <c r="T22" s="8"/>
      <c r="U22" s="102"/>
      <c r="V22" s="8"/>
      <c r="W22" s="16"/>
      <c r="X22" s="8"/>
      <c r="Y22" s="16"/>
    </row>
    <row r="23" spans="1:25" s="28" customFormat="1" ht="10.5">
      <c r="A23" s="3"/>
      <c r="B23" s="16"/>
      <c r="C23" s="16"/>
      <c r="D23" s="16"/>
      <c r="E23" s="79"/>
      <c r="F23" s="79"/>
      <c r="G23" s="79"/>
      <c r="H23" s="79"/>
      <c r="I23" s="98"/>
      <c r="J23" s="79"/>
      <c r="K23" s="79"/>
      <c r="L23" s="180" t="s">
        <v>1967</v>
      </c>
      <c r="M23" s="181"/>
      <c r="N23" s="185"/>
      <c r="O23" s="182"/>
      <c r="P23" s="65"/>
      <c r="Q23" s="208"/>
      <c r="R23" s="183"/>
      <c r="S23" s="183"/>
      <c r="T23" s="8"/>
      <c r="U23" s="102"/>
      <c r="V23" s="8"/>
      <c r="W23" s="16"/>
      <c r="X23" s="8"/>
      <c r="Y23" s="16"/>
    </row>
    <row r="24" spans="1:25" s="28" customFormat="1" ht="10.5">
      <c r="A24" s="3"/>
      <c r="B24" s="16"/>
      <c r="C24" s="16"/>
      <c r="D24" s="16"/>
      <c r="E24" s="79"/>
      <c r="F24" s="79"/>
      <c r="G24" s="79"/>
      <c r="H24" s="79"/>
      <c r="I24" s="98"/>
      <c r="J24" s="79"/>
      <c r="K24" s="79"/>
      <c r="L24" s="180" t="s">
        <v>1971</v>
      </c>
      <c r="M24" s="181"/>
      <c r="N24" s="185" t="s">
        <v>2002</v>
      </c>
      <c r="O24" s="182"/>
      <c r="P24" s="65"/>
      <c r="Q24" s="139"/>
      <c r="R24" s="183"/>
      <c r="S24" s="183"/>
      <c r="T24" s="8"/>
      <c r="U24" s="102"/>
      <c r="V24" s="8"/>
      <c r="W24" s="16"/>
      <c r="X24" s="8"/>
      <c r="Y24" s="16"/>
    </row>
    <row r="25" spans="1:25" s="28" customFormat="1" ht="20.25">
      <c r="A25" s="3"/>
      <c r="B25" s="16"/>
      <c r="C25" s="16"/>
      <c r="D25" s="16"/>
      <c r="E25" s="79"/>
      <c r="F25" s="79"/>
      <c r="G25" s="79"/>
      <c r="H25" s="79"/>
      <c r="I25" s="98"/>
      <c r="J25" s="79"/>
      <c r="K25" s="79"/>
      <c r="L25" s="180" t="s">
        <v>1974</v>
      </c>
      <c r="M25" s="181"/>
      <c r="N25" s="185" t="s">
        <v>2003</v>
      </c>
      <c r="O25" s="182" t="s">
        <v>2004</v>
      </c>
      <c r="P25" s="65" t="s">
        <v>2005</v>
      </c>
      <c r="Q25" s="208" t="s">
        <v>2006</v>
      </c>
      <c r="R25" s="207" t="s">
        <v>2007</v>
      </c>
      <c r="S25" s="207" t="s">
        <v>2008</v>
      </c>
      <c r="T25" s="8"/>
      <c r="U25" s="102"/>
      <c r="V25" s="8"/>
      <c r="W25" s="16"/>
      <c r="X25" s="8"/>
      <c r="Y25" s="16"/>
    </row>
    <row r="26" spans="1:25" s="28" customFormat="1" ht="20.25">
      <c r="A26" s="3"/>
      <c r="B26" s="16"/>
      <c r="C26" s="16"/>
      <c r="D26" s="16"/>
      <c r="E26" s="79"/>
      <c r="F26" s="79"/>
      <c r="G26" s="79"/>
      <c r="H26" s="79"/>
      <c r="I26" s="98"/>
      <c r="J26" s="79"/>
      <c r="K26" s="79"/>
      <c r="L26" s="180"/>
      <c r="M26" s="181"/>
      <c r="N26" s="185"/>
      <c r="O26" s="182" t="s">
        <v>2009</v>
      </c>
      <c r="P26" s="65" t="s">
        <v>2010</v>
      </c>
      <c r="Q26" s="206" t="s">
        <v>2011</v>
      </c>
      <c r="R26" s="207" t="s">
        <v>2012</v>
      </c>
      <c r="S26" s="207" t="s">
        <v>2013</v>
      </c>
      <c r="T26" s="8"/>
      <c r="U26" s="102"/>
      <c r="V26" s="8"/>
      <c r="W26" s="16"/>
      <c r="X26" s="8"/>
      <c r="Y26" s="16"/>
    </row>
    <row r="27" spans="1:25" s="28" customFormat="1" ht="20.25">
      <c r="A27" s="3"/>
      <c r="B27" s="16"/>
      <c r="C27" s="16"/>
      <c r="D27" s="16"/>
      <c r="E27" s="79"/>
      <c r="F27" s="79"/>
      <c r="G27" s="79"/>
      <c r="H27" s="79"/>
      <c r="I27" s="98"/>
      <c r="J27" s="79"/>
      <c r="K27" s="79"/>
      <c r="L27" s="180" t="s">
        <v>1977</v>
      </c>
      <c r="M27" s="181"/>
      <c r="N27" s="185" t="s">
        <v>2014</v>
      </c>
      <c r="O27" s="182"/>
      <c r="P27" s="183"/>
      <c r="Q27" s="209"/>
      <c r="R27" s="76"/>
      <c r="S27" s="76"/>
      <c r="T27" s="8"/>
      <c r="U27" s="102"/>
      <c r="V27" s="8"/>
      <c r="W27" s="16"/>
      <c r="X27" s="8"/>
      <c r="Y27" s="16"/>
    </row>
    <row r="28" spans="1:25" s="28" customFormat="1" ht="10.5">
      <c r="A28" s="3"/>
      <c r="B28" s="16"/>
      <c r="C28" s="16"/>
      <c r="D28" s="16"/>
      <c r="E28" s="79"/>
      <c r="F28" s="79"/>
      <c r="G28" s="79"/>
      <c r="H28" s="79"/>
      <c r="I28" s="98"/>
      <c r="J28" s="79"/>
      <c r="K28" s="79"/>
      <c r="L28" s="180" t="s">
        <v>1981</v>
      </c>
      <c r="M28" s="181"/>
      <c r="N28" s="185" t="s">
        <v>2015</v>
      </c>
      <c r="O28" s="182"/>
      <c r="P28" s="183"/>
      <c r="Q28" s="209"/>
      <c r="R28" s="76"/>
      <c r="S28" s="76"/>
      <c r="T28" s="8"/>
      <c r="U28" s="102"/>
      <c r="V28" s="8"/>
      <c r="W28" s="16"/>
      <c r="X28" s="8"/>
      <c r="Y28" s="16"/>
    </row>
    <row r="29" spans="1:25" s="28" customFormat="1" ht="30.4">
      <c r="A29" s="3"/>
      <c r="B29" s="16"/>
      <c r="C29" s="16"/>
      <c r="D29" s="16"/>
      <c r="E29" s="79"/>
      <c r="F29" s="79"/>
      <c r="G29" s="79"/>
      <c r="H29" s="79"/>
      <c r="I29" s="98"/>
      <c r="J29" s="79"/>
      <c r="K29" s="79"/>
      <c r="L29" s="180" t="s">
        <v>1984</v>
      </c>
      <c r="M29" s="181"/>
      <c r="N29" s="185" t="s">
        <v>2016</v>
      </c>
      <c r="O29" s="182"/>
      <c r="P29" s="183"/>
      <c r="Q29" s="76"/>
      <c r="R29" s="76"/>
      <c r="S29" s="76"/>
      <c r="T29" s="8"/>
      <c r="U29" s="102"/>
      <c r="V29" s="8"/>
      <c r="W29" s="16"/>
      <c r="X29" s="8"/>
      <c r="Y29" s="16"/>
    </row>
    <row r="30" spans="1:25" s="28" customFormat="1" ht="20.25">
      <c r="A30" s="3"/>
      <c r="B30" s="16"/>
      <c r="C30" s="16"/>
      <c r="D30" s="16"/>
      <c r="E30" s="79"/>
      <c r="F30" s="79"/>
      <c r="G30" s="79"/>
      <c r="H30" s="79"/>
      <c r="I30" s="98"/>
      <c r="J30" s="79"/>
      <c r="K30" s="79"/>
      <c r="L30" s="180" t="s">
        <v>1987</v>
      </c>
      <c r="M30" s="181"/>
      <c r="N30" s="185" t="s">
        <v>2017</v>
      </c>
      <c r="O30" s="182"/>
      <c r="P30" s="183"/>
      <c r="Q30" s="76"/>
      <c r="R30" s="76"/>
      <c r="S30" s="76"/>
      <c r="T30" s="8"/>
      <c r="U30" s="102"/>
      <c r="V30" s="8"/>
      <c r="W30" s="16"/>
      <c r="X30" s="8"/>
      <c r="Y30" s="16"/>
    </row>
    <row r="31" spans="1:25" s="28" customFormat="1" ht="20.25">
      <c r="A31" s="3"/>
      <c r="B31" s="16"/>
      <c r="C31" s="16"/>
      <c r="D31" s="16"/>
      <c r="E31" s="79"/>
      <c r="F31" s="79"/>
      <c r="G31" s="79"/>
      <c r="H31" s="79"/>
      <c r="I31" s="98"/>
      <c r="J31" s="79"/>
      <c r="K31" s="79"/>
      <c r="L31" s="180" t="s">
        <v>1995</v>
      </c>
      <c r="M31" s="181"/>
      <c r="N31" s="185" t="s">
        <v>2018</v>
      </c>
      <c r="O31" s="182"/>
      <c r="P31" s="183"/>
      <c r="Q31" s="76"/>
      <c r="R31" s="76"/>
      <c r="S31" s="76"/>
      <c r="T31" s="8"/>
      <c r="U31" s="102"/>
      <c r="V31" s="8"/>
      <c r="W31" s="16"/>
      <c r="X31" s="8"/>
      <c r="Y31" s="16"/>
    </row>
    <row r="32" spans="1:25" s="28" customFormat="1" ht="17.45" customHeight="1">
      <c r="A32" s="3"/>
      <c r="B32" s="16"/>
      <c r="C32" s="16"/>
      <c r="D32" s="16"/>
      <c r="E32" s="79"/>
      <c r="F32" s="79"/>
      <c r="G32" s="79"/>
      <c r="H32" s="79"/>
      <c r="I32" s="98">
        <v>2</v>
      </c>
      <c r="J32" s="79" t="s">
        <v>2019</v>
      </c>
      <c r="K32" s="79"/>
      <c r="L32" s="180"/>
      <c r="M32" s="181"/>
      <c r="N32" s="185"/>
      <c r="O32" s="182"/>
      <c r="P32" s="183"/>
      <c r="Q32" s="76"/>
      <c r="R32" s="76"/>
      <c r="S32" s="76"/>
      <c r="T32" s="8"/>
      <c r="U32" s="102"/>
      <c r="V32" s="8"/>
      <c r="W32" s="16"/>
      <c r="X32" s="8"/>
      <c r="Y32" s="16"/>
    </row>
    <row r="33" spans="1:25" s="28" customFormat="1" ht="17.45" customHeight="1">
      <c r="A33" s="3"/>
      <c r="B33" s="16"/>
      <c r="C33" s="16"/>
      <c r="D33" s="16"/>
      <c r="E33" s="79"/>
      <c r="F33" s="79"/>
      <c r="G33" s="79"/>
      <c r="H33" s="79"/>
      <c r="I33" s="98">
        <v>3</v>
      </c>
      <c r="J33" s="79" t="s">
        <v>2020</v>
      </c>
      <c r="K33" s="79"/>
      <c r="L33" s="180"/>
      <c r="M33" s="181"/>
      <c r="N33" s="185"/>
      <c r="O33" s="182"/>
      <c r="P33" s="183"/>
      <c r="Q33" s="76"/>
      <c r="R33" s="76"/>
      <c r="S33" s="76"/>
      <c r="T33" s="8"/>
      <c r="U33" s="102"/>
      <c r="V33" s="8"/>
      <c r="W33" s="16"/>
      <c r="X33" s="8"/>
      <c r="Y33" s="16"/>
    </row>
    <row r="34" spans="1:25" s="28" customFormat="1" ht="17.45" customHeight="1">
      <c r="A34" s="3"/>
      <c r="B34" s="16"/>
      <c r="C34" s="16"/>
      <c r="D34" s="16"/>
      <c r="E34" s="79"/>
      <c r="F34" s="79"/>
      <c r="G34" s="79"/>
      <c r="H34" s="79"/>
      <c r="I34" s="98"/>
      <c r="J34" s="79"/>
      <c r="K34" s="79"/>
      <c r="L34" s="180"/>
      <c r="M34" s="181"/>
      <c r="N34" s="185"/>
      <c r="O34" s="182"/>
      <c r="P34" s="183"/>
      <c r="Q34" s="76"/>
      <c r="R34" s="76"/>
      <c r="S34" s="76"/>
      <c r="T34" s="8"/>
      <c r="U34" s="102"/>
      <c r="V34" s="8"/>
      <c r="W34" s="16"/>
      <c r="X34" s="8"/>
      <c r="Y34" s="16"/>
    </row>
    <row r="35" spans="1:25" s="28" customFormat="1" ht="17.45" customHeight="1">
      <c r="A35" s="3"/>
      <c r="B35" s="16"/>
      <c r="C35" s="16"/>
      <c r="D35" s="16"/>
      <c r="E35" s="79"/>
      <c r="F35" s="79"/>
      <c r="G35" s="79"/>
      <c r="H35" s="79"/>
      <c r="I35" s="98">
        <v>4</v>
      </c>
      <c r="J35" s="79" t="s">
        <v>2021</v>
      </c>
      <c r="K35" s="79"/>
      <c r="L35" s="180"/>
      <c r="M35" s="181"/>
      <c r="N35" s="185"/>
      <c r="O35" s="182"/>
      <c r="P35" s="183"/>
      <c r="Q35" s="76"/>
      <c r="R35" s="76"/>
      <c r="S35" s="76"/>
      <c r="T35" s="8"/>
      <c r="U35" s="102"/>
      <c r="V35" s="8"/>
      <c r="W35" s="16"/>
      <c r="X35" s="8"/>
      <c r="Y35" s="16"/>
    </row>
    <row r="36" spans="1:25" s="28" customFormat="1" ht="17.45" customHeight="1">
      <c r="A36" s="3"/>
      <c r="B36" s="16"/>
      <c r="C36" s="16"/>
      <c r="D36" s="16"/>
      <c r="E36" s="79"/>
      <c r="F36" s="79"/>
      <c r="G36" s="79"/>
      <c r="H36" s="79"/>
      <c r="I36" s="98"/>
      <c r="J36" s="79"/>
      <c r="K36" s="79"/>
      <c r="L36" s="180"/>
      <c r="M36" s="181"/>
      <c r="N36" s="185"/>
      <c r="O36" s="182"/>
      <c r="P36" s="183"/>
      <c r="Q36" s="76"/>
      <c r="R36" s="76"/>
      <c r="S36" s="76"/>
      <c r="T36" s="8"/>
      <c r="U36" s="102"/>
      <c r="V36" s="8"/>
      <c r="W36" s="16"/>
      <c r="X36" s="8"/>
      <c r="Y36" s="16"/>
    </row>
    <row r="37" spans="1:25" s="28" customFormat="1" ht="17.45" customHeight="1">
      <c r="A37" s="3"/>
      <c r="B37" s="16"/>
      <c r="C37" s="16"/>
      <c r="D37" s="16"/>
      <c r="E37" s="79"/>
      <c r="F37" s="79"/>
      <c r="G37" s="79"/>
      <c r="H37" s="79"/>
      <c r="I37" s="98"/>
      <c r="J37" s="79"/>
      <c r="K37" s="79"/>
      <c r="L37" s="180"/>
      <c r="M37" s="181"/>
      <c r="N37" s="185"/>
      <c r="O37" s="182"/>
      <c r="P37" s="183"/>
      <c r="Q37" s="76"/>
      <c r="R37" s="76"/>
      <c r="S37" s="76"/>
      <c r="T37" s="8"/>
      <c r="U37" s="102"/>
      <c r="V37" s="8"/>
      <c r="W37" s="16"/>
      <c r="X37" s="8"/>
      <c r="Y37" s="16"/>
    </row>
    <row r="38" spans="1:25" s="28" customFormat="1" ht="17.45" customHeight="1">
      <c r="A38" s="3"/>
      <c r="B38" s="16"/>
      <c r="C38" s="16"/>
      <c r="D38" s="16"/>
      <c r="E38" s="79"/>
      <c r="F38" s="79"/>
      <c r="G38" s="79"/>
      <c r="H38" s="79"/>
      <c r="I38" s="98"/>
      <c r="J38" s="79"/>
      <c r="K38" s="79"/>
      <c r="L38" s="180"/>
      <c r="M38" s="181"/>
      <c r="N38" s="185"/>
      <c r="O38" s="182"/>
      <c r="P38" s="183"/>
      <c r="Q38" s="76"/>
      <c r="R38" s="76"/>
      <c r="S38" s="76"/>
      <c r="T38" s="8"/>
      <c r="U38" s="102"/>
      <c r="V38" s="8"/>
      <c r="W38" s="16"/>
      <c r="X38" s="8"/>
      <c r="Y38" s="16"/>
    </row>
    <row r="39" spans="1:25" s="28" customFormat="1" ht="17.45" customHeight="1">
      <c r="A39" s="3"/>
      <c r="B39" s="16"/>
      <c r="C39" s="16"/>
      <c r="D39" s="16"/>
      <c r="E39" s="79"/>
      <c r="F39" s="79"/>
      <c r="G39" s="79"/>
      <c r="H39" s="79"/>
      <c r="I39" s="98"/>
      <c r="J39" s="79"/>
      <c r="K39" s="79"/>
      <c r="L39" s="180"/>
      <c r="M39" s="181"/>
      <c r="N39" s="185"/>
      <c r="O39" s="182"/>
      <c r="P39" s="183"/>
      <c r="Q39" s="76"/>
      <c r="R39" s="76"/>
      <c r="S39" s="76"/>
      <c r="T39" s="8"/>
      <c r="U39" s="102"/>
      <c r="V39" s="8"/>
      <c r="W39" s="16"/>
      <c r="X39" s="8"/>
      <c r="Y39" s="16"/>
    </row>
    <row r="40" spans="1:25" s="28" customFormat="1" ht="17.45" customHeight="1">
      <c r="A40" s="3"/>
      <c r="B40" s="16"/>
      <c r="C40" s="16"/>
      <c r="D40" s="16"/>
      <c r="E40" s="79"/>
      <c r="F40" s="79"/>
      <c r="G40" s="79"/>
      <c r="H40" s="79"/>
      <c r="I40" s="98"/>
      <c r="J40" s="79"/>
      <c r="K40" s="79"/>
      <c r="L40" s="180"/>
      <c r="M40" s="181"/>
      <c r="N40" s="185"/>
      <c r="O40" s="182"/>
      <c r="P40" s="183"/>
      <c r="Q40" s="76"/>
      <c r="R40" s="76"/>
      <c r="S40" s="76"/>
      <c r="T40" s="8"/>
      <c r="U40" s="102"/>
      <c r="V40" s="8"/>
      <c r="W40" s="16"/>
      <c r="X40" s="8"/>
      <c r="Y40" s="16"/>
    </row>
    <row r="41" spans="1:25" s="28" customFormat="1" ht="17.45" customHeight="1">
      <c r="A41" s="3"/>
      <c r="B41" s="16"/>
      <c r="C41" s="16"/>
      <c r="D41" s="16"/>
      <c r="E41" s="79"/>
      <c r="F41" s="79"/>
      <c r="G41" s="79"/>
      <c r="H41" s="79"/>
      <c r="I41" s="98"/>
      <c r="J41" s="79"/>
      <c r="K41" s="79"/>
      <c r="L41" s="180"/>
      <c r="M41" s="181"/>
      <c r="N41" s="185"/>
      <c r="O41" s="182"/>
      <c r="P41" s="183"/>
      <c r="Q41" s="76"/>
      <c r="R41" s="76"/>
      <c r="S41" s="76"/>
      <c r="T41" s="8"/>
      <c r="U41" s="102"/>
      <c r="V41" s="8"/>
      <c r="W41" s="16"/>
      <c r="X41" s="8"/>
      <c r="Y41" s="16"/>
    </row>
    <row r="42" spans="1:25" s="28" customFormat="1" ht="17.45" customHeight="1">
      <c r="A42" s="3"/>
      <c r="B42" s="16"/>
      <c r="C42" s="16"/>
      <c r="D42" s="16"/>
      <c r="E42" s="79"/>
      <c r="F42" s="79"/>
      <c r="G42" s="79"/>
      <c r="H42" s="79"/>
      <c r="I42" s="98"/>
      <c r="J42" s="79"/>
      <c r="K42" s="79"/>
      <c r="L42" s="180"/>
      <c r="M42" s="181"/>
      <c r="N42" s="185"/>
      <c r="O42" s="182"/>
      <c r="P42" s="183"/>
      <c r="Q42" s="76"/>
      <c r="R42" s="76"/>
      <c r="S42" s="76"/>
      <c r="T42" s="8"/>
      <c r="U42" s="102"/>
      <c r="V42" s="8"/>
      <c r="W42" s="16"/>
      <c r="X42" s="8"/>
      <c r="Y42" s="16"/>
    </row>
    <row r="43" spans="1:25" s="28" customFormat="1" ht="17.45" customHeight="1">
      <c r="A43" s="3"/>
      <c r="B43" s="16"/>
      <c r="C43" s="16"/>
      <c r="D43" s="16"/>
      <c r="E43" s="79"/>
      <c r="F43" s="79"/>
      <c r="G43" s="79"/>
      <c r="H43" s="79"/>
      <c r="I43" s="98"/>
      <c r="J43" s="79"/>
      <c r="K43" s="79"/>
      <c r="L43" s="180"/>
      <c r="M43" s="181"/>
      <c r="N43" s="185"/>
      <c r="O43" s="182"/>
      <c r="P43" s="183"/>
      <c r="Q43" s="76"/>
      <c r="R43" s="76"/>
      <c r="S43" s="76"/>
      <c r="T43" s="8"/>
      <c r="U43" s="102"/>
      <c r="V43" s="8"/>
      <c r="W43" s="16"/>
      <c r="X43" s="8"/>
      <c r="Y43" s="16"/>
    </row>
    <row r="44" spans="1:25" s="28" customFormat="1" ht="17.45" customHeight="1">
      <c r="A44" s="3"/>
      <c r="B44" s="16"/>
      <c r="C44" s="16"/>
      <c r="D44" s="16"/>
      <c r="E44" s="79"/>
      <c r="F44" s="79"/>
      <c r="G44" s="79"/>
      <c r="H44" s="79"/>
      <c r="I44" s="98"/>
      <c r="J44" s="79"/>
      <c r="K44" s="79"/>
      <c r="L44" s="180"/>
      <c r="M44" s="181"/>
      <c r="N44" s="185"/>
      <c r="O44" s="182"/>
      <c r="P44" s="183"/>
      <c r="Q44" s="76"/>
      <c r="R44" s="76"/>
      <c r="S44" s="76"/>
      <c r="T44" s="8"/>
      <c r="U44" s="102"/>
      <c r="V44" s="8"/>
      <c r="W44" s="16"/>
      <c r="X44" s="8"/>
      <c r="Y44" s="16"/>
    </row>
    <row r="45" spans="1:25" s="28" customFormat="1" ht="17.45" customHeight="1">
      <c r="A45" s="3"/>
      <c r="B45" s="16"/>
      <c r="C45" s="16"/>
      <c r="D45" s="16"/>
      <c r="E45" s="79"/>
      <c r="F45" s="79"/>
      <c r="G45" s="79"/>
      <c r="H45" s="79"/>
      <c r="I45" s="98"/>
      <c r="J45" s="79"/>
      <c r="K45" s="79"/>
      <c r="L45" s="180"/>
      <c r="M45" s="181"/>
      <c r="N45" s="185"/>
      <c r="O45" s="182"/>
      <c r="P45" s="183"/>
      <c r="Q45" s="76"/>
      <c r="R45" s="76"/>
      <c r="S45" s="76"/>
      <c r="T45" s="8"/>
      <c r="U45" s="102"/>
      <c r="V45" s="8"/>
      <c r="W45" s="16"/>
      <c r="X45" s="8"/>
      <c r="Y45" s="16"/>
    </row>
    <row r="46" spans="1:25" s="28" customFormat="1" ht="17.45" customHeight="1">
      <c r="A46" s="3"/>
      <c r="B46" s="16"/>
      <c r="C46" s="16"/>
      <c r="D46" s="16"/>
      <c r="E46" s="79"/>
      <c r="F46" s="79"/>
      <c r="G46" s="79"/>
      <c r="H46" s="79"/>
      <c r="I46" s="98"/>
      <c r="J46" s="79"/>
      <c r="K46" s="79"/>
      <c r="L46" s="180"/>
      <c r="M46" s="181"/>
      <c r="N46" s="185"/>
      <c r="O46" s="182"/>
      <c r="P46" s="183"/>
      <c r="Q46" s="76"/>
      <c r="R46" s="76"/>
      <c r="S46" s="76"/>
      <c r="T46" s="8"/>
      <c r="U46" s="102"/>
      <c r="V46" s="8"/>
      <c r="W46" s="16"/>
      <c r="X46" s="8"/>
      <c r="Y46" s="16"/>
    </row>
    <row r="47" spans="1:25" s="28" customFormat="1" ht="17.45" customHeight="1">
      <c r="A47" s="3"/>
      <c r="B47" s="16"/>
      <c r="C47" s="16"/>
      <c r="D47" s="16"/>
      <c r="E47" s="79"/>
      <c r="F47" s="79"/>
      <c r="G47" s="79"/>
      <c r="H47" s="79"/>
      <c r="I47" s="98"/>
      <c r="J47" s="79"/>
      <c r="K47" s="79"/>
      <c r="L47" s="180"/>
      <c r="M47" s="181"/>
      <c r="N47" s="185"/>
      <c r="O47" s="182"/>
      <c r="P47" s="183"/>
      <c r="Q47" s="76"/>
      <c r="R47" s="76"/>
      <c r="S47" s="76"/>
      <c r="T47" s="8"/>
      <c r="U47" s="102"/>
      <c r="V47" s="8"/>
      <c r="W47" s="16"/>
      <c r="X47" s="8"/>
      <c r="Y47" s="16"/>
    </row>
    <row r="48" spans="1:25" s="28" customFormat="1" ht="17.45" customHeight="1">
      <c r="A48" s="3"/>
      <c r="B48" s="16"/>
      <c r="C48" s="16"/>
      <c r="D48" s="16"/>
      <c r="E48" s="79"/>
      <c r="F48" s="79"/>
      <c r="G48" s="79"/>
      <c r="H48" s="79"/>
      <c r="I48" s="98"/>
      <c r="J48" s="79"/>
      <c r="K48" s="79"/>
      <c r="L48" s="180"/>
      <c r="M48" s="181"/>
      <c r="N48" s="185"/>
      <c r="O48" s="182"/>
      <c r="P48" s="183"/>
      <c r="Q48" s="76"/>
      <c r="R48" s="76"/>
      <c r="S48" s="76"/>
      <c r="T48" s="8"/>
      <c r="U48" s="102"/>
      <c r="V48" s="8"/>
      <c r="W48" s="16"/>
      <c r="X48" s="8"/>
      <c r="Y48" s="16"/>
    </row>
    <row r="49" spans="1:25" s="28" customFormat="1" ht="17.45" customHeight="1">
      <c r="A49" s="3"/>
      <c r="B49" s="16"/>
      <c r="C49" s="16"/>
      <c r="D49" s="16"/>
      <c r="E49" s="79"/>
      <c r="F49" s="79"/>
      <c r="G49" s="79"/>
      <c r="H49" s="79"/>
      <c r="I49" s="98"/>
      <c r="J49" s="79"/>
      <c r="K49" s="79"/>
      <c r="L49" s="180"/>
      <c r="M49" s="181"/>
      <c r="N49" s="185"/>
      <c r="O49" s="182"/>
      <c r="P49" s="183"/>
      <c r="Q49" s="76"/>
      <c r="R49" s="76"/>
      <c r="S49" s="76"/>
      <c r="T49" s="8"/>
      <c r="U49" s="102"/>
      <c r="V49" s="8"/>
      <c r="W49" s="16"/>
      <c r="X49" s="8"/>
      <c r="Y49" s="16"/>
    </row>
    <row r="50" spans="1:25" s="28" customFormat="1" ht="17.45" customHeight="1">
      <c r="A50" s="3"/>
      <c r="B50" s="16"/>
      <c r="C50" s="16"/>
      <c r="D50" s="16"/>
      <c r="E50" s="79"/>
      <c r="F50" s="79"/>
      <c r="G50" s="79"/>
      <c r="H50" s="79"/>
      <c r="I50" s="98"/>
      <c r="J50" s="79"/>
      <c r="K50" s="79"/>
      <c r="L50" s="180"/>
      <c r="M50" s="181"/>
      <c r="N50" s="185"/>
      <c r="O50" s="182"/>
      <c r="P50" s="183"/>
      <c r="Q50" s="76"/>
      <c r="R50" s="76"/>
      <c r="S50" s="76"/>
      <c r="T50" s="8"/>
      <c r="U50" s="102"/>
      <c r="V50" s="8"/>
      <c r="W50" s="16"/>
      <c r="X50" s="8"/>
      <c r="Y50" s="16"/>
    </row>
    <row r="51" spans="1:25" s="28" customFormat="1" ht="17.45" customHeight="1">
      <c r="A51" s="3"/>
      <c r="B51" s="16"/>
      <c r="C51" s="16"/>
      <c r="D51" s="16"/>
      <c r="E51" s="79"/>
      <c r="F51" s="79"/>
      <c r="G51" s="79"/>
      <c r="H51" s="79"/>
      <c r="I51" s="98"/>
      <c r="J51" s="79"/>
      <c r="K51" s="79"/>
      <c r="L51" s="180"/>
      <c r="M51" s="181"/>
      <c r="N51" s="185"/>
      <c r="O51" s="182"/>
      <c r="P51" s="183"/>
      <c r="Q51" s="76"/>
      <c r="R51" s="76"/>
      <c r="S51" s="76"/>
      <c r="T51" s="8"/>
      <c r="U51" s="102"/>
      <c r="V51" s="8"/>
      <c r="W51" s="16"/>
      <c r="X51" s="8"/>
      <c r="Y51" s="16"/>
    </row>
    <row r="52" spans="1:25" s="28" customFormat="1" ht="17.45" customHeight="1">
      <c r="A52" s="3"/>
      <c r="B52" s="16"/>
      <c r="C52" s="16"/>
      <c r="D52" s="16"/>
      <c r="E52" s="79"/>
      <c r="F52" s="79"/>
      <c r="G52" s="79"/>
      <c r="H52" s="79"/>
      <c r="I52" s="98"/>
      <c r="J52" s="79"/>
      <c r="K52" s="79"/>
      <c r="L52" s="180"/>
      <c r="M52" s="181"/>
      <c r="N52" s="185"/>
      <c r="O52" s="182"/>
      <c r="P52" s="183"/>
      <c r="Q52" s="76"/>
      <c r="R52" s="76"/>
      <c r="S52" s="76"/>
      <c r="T52" s="8"/>
      <c r="U52" s="102"/>
      <c r="V52" s="8"/>
      <c r="W52" s="16"/>
      <c r="X52" s="8"/>
      <c r="Y52" s="16"/>
    </row>
    <row r="53" spans="1:25" s="28" customFormat="1" ht="17.45" customHeight="1">
      <c r="A53" s="3"/>
      <c r="B53" s="16"/>
      <c r="C53" s="16"/>
      <c r="D53" s="16"/>
      <c r="E53" s="79"/>
      <c r="F53" s="79"/>
      <c r="G53" s="79"/>
      <c r="H53" s="79"/>
      <c r="I53" s="98"/>
      <c r="J53" s="79"/>
      <c r="K53" s="79"/>
      <c r="L53" s="180"/>
      <c r="M53" s="181"/>
      <c r="N53" s="185"/>
      <c r="O53" s="182"/>
      <c r="P53" s="183"/>
      <c r="Q53" s="76"/>
      <c r="R53" s="76"/>
      <c r="S53" s="76"/>
      <c r="T53" s="8"/>
      <c r="U53" s="102"/>
      <c r="V53" s="8"/>
      <c r="W53" s="16"/>
      <c r="X53" s="8"/>
      <c r="Y53" s="16"/>
    </row>
    <row r="54" spans="1:25" s="28" customFormat="1" ht="17.45" customHeight="1">
      <c r="A54" s="3"/>
      <c r="B54" s="16"/>
      <c r="C54" s="16"/>
      <c r="D54" s="16"/>
      <c r="E54" s="79"/>
      <c r="F54" s="79"/>
      <c r="G54" s="79"/>
      <c r="H54" s="79"/>
      <c r="I54" s="98"/>
      <c r="J54" s="79"/>
      <c r="K54" s="79"/>
      <c r="L54" s="180"/>
      <c r="M54" s="181"/>
      <c r="N54" s="185"/>
      <c r="O54" s="182"/>
      <c r="P54" s="183"/>
      <c r="Q54" s="76"/>
      <c r="R54" s="76"/>
      <c r="S54" s="76"/>
      <c r="T54" s="8"/>
      <c r="U54" s="102"/>
      <c r="V54" s="8"/>
      <c r="W54" s="16"/>
      <c r="X54" s="8"/>
      <c r="Y54" s="16"/>
    </row>
    <row r="55" spans="1:25" s="28" customFormat="1" ht="17.45" customHeight="1">
      <c r="A55" s="3"/>
      <c r="B55" s="16"/>
      <c r="C55" s="16"/>
      <c r="D55" s="16"/>
      <c r="E55" s="79"/>
      <c r="F55" s="79"/>
      <c r="G55" s="79"/>
      <c r="H55" s="79"/>
      <c r="I55" s="98"/>
      <c r="J55" s="79"/>
      <c r="K55" s="79"/>
      <c r="L55" s="180"/>
      <c r="M55" s="181"/>
      <c r="N55" s="185"/>
      <c r="O55" s="182"/>
      <c r="P55" s="183"/>
      <c r="Q55" s="76"/>
      <c r="R55" s="76"/>
      <c r="S55" s="76"/>
      <c r="T55" s="8"/>
      <c r="U55" s="102"/>
      <c r="V55" s="8"/>
      <c r="W55" s="16"/>
      <c r="X55" s="8"/>
      <c r="Y55" s="16"/>
    </row>
    <row r="56" spans="1:25" s="28" customFormat="1" ht="17.45" customHeight="1">
      <c r="A56" s="3"/>
      <c r="B56" s="16"/>
      <c r="C56" s="16"/>
      <c r="D56" s="16"/>
      <c r="E56" s="79"/>
      <c r="F56" s="79"/>
      <c r="G56" s="79"/>
      <c r="H56" s="79"/>
      <c r="I56" s="98"/>
      <c r="J56" s="79"/>
      <c r="K56" s="79"/>
      <c r="L56" s="180"/>
      <c r="M56" s="181"/>
      <c r="N56" s="185"/>
      <c r="O56" s="182"/>
      <c r="P56" s="183"/>
      <c r="Q56" s="76"/>
      <c r="R56" s="76"/>
      <c r="S56" s="76"/>
      <c r="T56" s="8"/>
      <c r="U56" s="102"/>
      <c r="V56" s="8"/>
      <c r="W56" s="16"/>
      <c r="X56" s="8"/>
      <c r="Y56" s="16"/>
    </row>
    <row r="57" spans="1:25" s="28" customFormat="1" ht="17.45" customHeight="1">
      <c r="A57" s="3"/>
      <c r="B57" s="16"/>
      <c r="C57" s="16"/>
      <c r="D57" s="16"/>
      <c r="E57" s="79"/>
      <c r="F57" s="79"/>
      <c r="G57" s="79"/>
      <c r="H57" s="79"/>
      <c r="I57" s="98"/>
      <c r="J57" s="79"/>
      <c r="K57" s="79"/>
      <c r="L57" s="180"/>
      <c r="M57" s="181"/>
      <c r="N57" s="185"/>
      <c r="O57" s="182"/>
      <c r="P57" s="183"/>
      <c r="Q57" s="76"/>
      <c r="R57" s="76"/>
      <c r="S57" s="76"/>
      <c r="T57" s="8"/>
      <c r="U57" s="102"/>
      <c r="V57" s="8"/>
      <c r="W57" s="16"/>
      <c r="X57" s="8"/>
      <c r="Y57" s="16"/>
    </row>
    <row r="58" spans="1:25" s="28" customFormat="1" ht="17.45" customHeight="1">
      <c r="A58" s="3"/>
      <c r="B58" s="16"/>
      <c r="C58" s="16"/>
      <c r="D58" s="16"/>
      <c r="E58" s="79"/>
      <c r="F58" s="79"/>
      <c r="G58" s="79"/>
      <c r="H58" s="79"/>
      <c r="I58" s="98"/>
      <c r="J58" s="79"/>
      <c r="K58" s="79"/>
      <c r="L58" s="180"/>
      <c r="M58" s="181"/>
      <c r="N58" s="185"/>
      <c r="O58" s="182"/>
      <c r="P58" s="183"/>
      <c r="Q58" s="76"/>
      <c r="R58" s="76"/>
      <c r="S58" s="76"/>
      <c r="T58" s="8"/>
      <c r="U58" s="102"/>
      <c r="V58" s="8"/>
      <c r="W58" s="16"/>
      <c r="X58" s="8"/>
      <c r="Y58" s="16"/>
    </row>
    <row r="59" spans="1:25" s="28" customFormat="1" ht="17.45" customHeight="1">
      <c r="A59" s="3"/>
      <c r="B59" s="16"/>
      <c r="C59" s="16"/>
      <c r="D59" s="16"/>
      <c r="E59" s="79"/>
      <c r="F59" s="79"/>
      <c r="G59" s="79"/>
      <c r="H59" s="79"/>
      <c r="I59" s="98"/>
      <c r="J59" s="79"/>
      <c r="K59" s="79"/>
      <c r="L59" s="180"/>
      <c r="M59" s="181"/>
      <c r="N59" s="185"/>
      <c r="O59" s="182"/>
      <c r="P59" s="183"/>
      <c r="Q59" s="76"/>
      <c r="R59" s="76"/>
      <c r="S59" s="76"/>
      <c r="T59" s="8"/>
      <c r="U59" s="102"/>
      <c r="V59" s="8"/>
      <c r="W59" s="16"/>
      <c r="X59" s="8"/>
      <c r="Y59" s="16"/>
    </row>
    <row r="60" spans="1:25" s="28" customFormat="1" ht="17.45" customHeight="1">
      <c r="A60" s="3"/>
      <c r="B60" s="16"/>
      <c r="C60" s="16"/>
      <c r="D60" s="16"/>
      <c r="E60" s="79"/>
      <c r="F60" s="79"/>
      <c r="G60" s="79"/>
      <c r="H60" s="79"/>
      <c r="I60" s="98"/>
      <c r="J60" s="79"/>
      <c r="K60" s="79"/>
      <c r="L60" s="180"/>
      <c r="M60" s="181"/>
      <c r="N60" s="185"/>
      <c r="O60" s="182"/>
      <c r="P60" s="183"/>
      <c r="Q60" s="76"/>
      <c r="R60" s="76"/>
      <c r="S60" s="76"/>
      <c r="T60" s="8"/>
      <c r="U60" s="102"/>
      <c r="V60" s="8"/>
      <c r="W60" s="16"/>
      <c r="X60" s="8"/>
      <c r="Y60" s="16"/>
    </row>
    <row r="61" spans="1:25" s="28" customFormat="1" ht="17.45" customHeight="1">
      <c r="A61" s="3"/>
      <c r="B61" s="16"/>
      <c r="C61" s="16"/>
      <c r="D61" s="16"/>
      <c r="E61" s="79"/>
      <c r="F61" s="79"/>
      <c r="G61" s="79"/>
      <c r="H61" s="79"/>
      <c r="I61" s="98"/>
      <c r="J61" s="79"/>
      <c r="K61" s="79"/>
      <c r="L61" s="180"/>
      <c r="M61" s="181"/>
      <c r="N61" s="185"/>
      <c r="O61" s="182"/>
      <c r="P61" s="183"/>
      <c r="Q61" s="76"/>
      <c r="R61" s="76"/>
      <c r="S61" s="76"/>
      <c r="T61" s="8"/>
      <c r="U61" s="102"/>
      <c r="V61" s="8"/>
      <c r="W61" s="16"/>
      <c r="X61" s="8"/>
      <c r="Y61" s="16"/>
    </row>
    <row r="62" spans="1:25" s="28" customFormat="1" ht="17.45" customHeight="1">
      <c r="A62" s="3"/>
      <c r="B62" s="16"/>
      <c r="C62" s="16"/>
      <c r="D62" s="16"/>
      <c r="E62" s="79"/>
      <c r="F62" s="79"/>
      <c r="G62" s="79"/>
      <c r="H62" s="79"/>
      <c r="I62" s="98"/>
      <c r="J62" s="79"/>
      <c r="K62" s="79"/>
      <c r="L62" s="180"/>
      <c r="M62" s="181"/>
      <c r="N62" s="185"/>
      <c r="O62" s="182"/>
      <c r="P62" s="183"/>
      <c r="Q62" s="76"/>
      <c r="R62" s="76"/>
      <c r="S62" s="76"/>
      <c r="T62" s="8"/>
      <c r="U62" s="102"/>
      <c r="V62" s="8"/>
      <c r="W62" s="16"/>
      <c r="X62" s="8"/>
      <c r="Y62" s="16"/>
    </row>
    <row r="63" spans="1:25" s="28" customFormat="1" ht="17.45" customHeight="1">
      <c r="A63" s="3"/>
      <c r="B63" s="16"/>
      <c r="C63" s="16"/>
      <c r="D63" s="16"/>
      <c r="E63" s="79"/>
      <c r="F63" s="79"/>
      <c r="G63" s="79"/>
      <c r="H63" s="79"/>
      <c r="I63" s="98"/>
      <c r="J63" s="79"/>
      <c r="K63" s="79"/>
      <c r="L63" s="180"/>
      <c r="M63" s="181"/>
      <c r="N63" s="185"/>
      <c r="O63" s="182"/>
      <c r="P63" s="183"/>
      <c r="Q63" s="76"/>
      <c r="R63" s="76"/>
      <c r="S63" s="76"/>
      <c r="T63" s="8"/>
      <c r="U63" s="102"/>
      <c r="V63" s="8"/>
      <c r="W63" s="16"/>
      <c r="X63" s="8"/>
      <c r="Y63" s="16"/>
    </row>
    <row r="64" spans="1:25" s="28" customFormat="1" ht="17.45" customHeight="1">
      <c r="A64" s="3"/>
      <c r="B64" s="16"/>
      <c r="C64" s="16"/>
      <c r="D64" s="16"/>
      <c r="E64" s="79"/>
      <c r="F64" s="79"/>
      <c r="G64" s="79"/>
      <c r="H64" s="79"/>
      <c r="I64" s="98"/>
      <c r="J64" s="79"/>
      <c r="K64" s="79"/>
      <c r="L64" s="180"/>
      <c r="M64" s="181"/>
      <c r="N64" s="185"/>
      <c r="O64" s="182"/>
      <c r="P64" s="183"/>
      <c r="Q64" s="76"/>
      <c r="R64" s="76"/>
      <c r="S64" s="76"/>
      <c r="T64" s="8"/>
      <c r="U64" s="102"/>
      <c r="V64" s="8"/>
      <c r="W64" s="16"/>
      <c r="X64" s="8"/>
      <c r="Y64" s="16"/>
    </row>
    <row r="65" spans="1:25" s="28" customFormat="1" ht="17.45" customHeight="1">
      <c r="A65" s="3"/>
      <c r="B65" s="16"/>
      <c r="C65" s="16"/>
      <c r="D65" s="16"/>
      <c r="E65" s="79"/>
      <c r="F65" s="79"/>
      <c r="G65" s="79"/>
      <c r="H65" s="79"/>
      <c r="I65" s="98"/>
      <c r="J65" s="79"/>
      <c r="K65" s="79"/>
      <c r="L65" s="180"/>
      <c r="M65" s="181"/>
      <c r="N65" s="185"/>
      <c r="O65" s="182"/>
      <c r="P65" s="183"/>
      <c r="Q65" s="76"/>
      <c r="R65" s="76"/>
      <c r="S65" s="76"/>
      <c r="T65" s="8"/>
      <c r="U65" s="102"/>
      <c r="V65" s="8"/>
      <c r="W65" s="16"/>
      <c r="X65" s="8"/>
      <c r="Y65" s="16"/>
    </row>
    <row r="66" spans="1:25" s="28" customFormat="1" ht="17.45" customHeight="1">
      <c r="A66" s="3"/>
      <c r="B66" s="16"/>
      <c r="C66" s="16"/>
      <c r="D66" s="16"/>
      <c r="E66" s="79"/>
      <c r="F66" s="79"/>
      <c r="G66" s="79"/>
      <c r="H66" s="79"/>
      <c r="I66" s="98"/>
      <c r="J66" s="79"/>
      <c r="K66" s="79"/>
      <c r="L66" s="180"/>
      <c r="M66" s="181"/>
      <c r="N66" s="185"/>
      <c r="O66" s="182"/>
      <c r="P66" s="183"/>
      <c r="Q66" s="76"/>
      <c r="R66" s="76"/>
      <c r="S66" s="76"/>
      <c r="T66" s="8"/>
      <c r="U66" s="102"/>
      <c r="V66" s="8"/>
      <c r="W66" s="16"/>
      <c r="X66" s="8"/>
      <c r="Y66" s="16"/>
    </row>
    <row r="67" spans="1:25" s="28" customFormat="1" ht="17.45" customHeight="1">
      <c r="A67" s="3"/>
      <c r="B67" s="16"/>
      <c r="C67" s="16"/>
      <c r="D67" s="16"/>
      <c r="E67" s="79"/>
      <c r="F67" s="79"/>
      <c r="G67" s="79"/>
      <c r="H67" s="79"/>
      <c r="I67" s="98"/>
      <c r="J67" s="79"/>
      <c r="K67" s="79"/>
      <c r="L67" s="180"/>
      <c r="M67" s="181"/>
      <c r="N67" s="185"/>
      <c r="O67" s="182"/>
      <c r="P67" s="183"/>
      <c r="Q67" s="76"/>
      <c r="R67" s="76"/>
      <c r="S67" s="76"/>
      <c r="T67" s="8"/>
      <c r="U67" s="102"/>
      <c r="V67" s="8"/>
      <c r="W67" s="16"/>
      <c r="X67" s="8"/>
      <c r="Y67" s="16"/>
    </row>
    <row r="68" spans="1:25" s="28" customFormat="1" ht="17.45" customHeight="1">
      <c r="A68" s="3"/>
      <c r="B68" s="16"/>
      <c r="C68" s="16"/>
      <c r="D68" s="16"/>
      <c r="E68" s="79"/>
      <c r="F68" s="79"/>
      <c r="G68" s="79"/>
      <c r="H68" s="79"/>
      <c r="I68" s="98"/>
      <c r="J68" s="79"/>
      <c r="K68" s="79"/>
      <c r="L68" s="180"/>
      <c r="M68" s="181"/>
      <c r="N68" s="185"/>
      <c r="O68" s="182"/>
      <c r="P68" s="183"/>
      <c r="Q68" s="76"/>
      <c r="R68" s="76"/>
      <c r="S68" s="76"/>
      <c r="T68" s="8"/>
      <c r="U68" s="102"/>
      <c r="V68" s="8"/>
      <c r="W68" s="16"/>
      <c r="X68" s="8"/>
      <c r="Y68" s="16"/>
    </row>
    <row r="69" spans="1:25" s="28" customFormat="1" ht="17.45" customHeight="1">
      <c r="A69" s="3"/>
      <c r="B69" s="16"/>
      <c r="C69" s="16"/>
      <c r="D69" s="16"/>
      <c r="E69" s="79"/>
      <c r="F69" s="79"/>
      <c r="G69" s="79"/>
      <c r="H69" s="79"/>
      <c r="I69" s="98"/>
      <c r="J69" s="79"/>
      <c r="K69" s="79"/>
      <c r="L69" s="180"/>
      <c r="M69" s="181"/>
      <c r="N69" s="185"/>
      <c r="O69" s="182"/>
      <c r="P69" s="183"/>
      <c r="Q69" s="76"/>
      <c r="R69" s="76"/>
      <c r="S69" s="76"/>
      <c r="T69" s="8"/>
      <c r="U69" s="102"/>
      <c r="V69" s="8"/>
      <c r="W69" s="16"/>
      <c r="X69" s="8"/>
      <c r="Y69" s="16"/>
    </row>
    <row r="70" spans="1:25" s="28" customFormat="1" ht="17.45" customHeight="1">
      <c r="A70" s="3"/>
      <c r="B70" s="16"/>
      <c r="C70" s="16"/>
      <c r="D70" s="16"/>
      <c r="E70" s="79"/>
      <c r="F70" s="79"/>
      <c r="G70" s="79"/>
      <c r="H70" s="79"/>
      <c r="I70" s="98"/>
      <c r="J70" s="79"/>
      <c r="K70" s="79"/>
      <c r="L70" s="180"/>
      <c r="M70" s="181"/>
      <c r="N70" s="185"/>
      <c r="O70" s="182"/>
      <c r="P70" s="183"/>
      <c r="Q70" s="76"/>
      <c r="R70" s="76"/>
      <c r="S70" s="76"/>
      <c r="T70" s="8"/>
      <c r="U70" s="102"/>
      <c r="V70" s="8"/>
      <c r="W70" s="16"/>
      <c r="X70" s="8"/>
      <c r="Y70" s="16"/>
    </row>
    <row r="71" spans="1:25" s="28" customFormat="1" ht="17.45" customHeight="1">
      <c r="A71" s="3"/>
      <c r="B71" s="16"/>
      <c r="C71" s="16"/>
      <c r="D71" s="16"/>
      <c r="E71" s="79"/>
      <c r="F71" s="79"/>
      <c r="G71" s="79"/>
      <c r="H71" s="79"/>
      <c r="I71" s="98"/>
      <c r="J71" s="79"/>
      <c r="K71" s="79"/>
      <c r="L71" s="180"/>
      <c r="M71" s="181"/>
      <c r="N71" s="185"/>
      <c r="O71" s="182"/>
      <c r="P71" s="183"/>
      <c r="Q71" s="76"/>
      <c r="R71" s="76"/>
      <c r="S71" s="76"/>
      <c r="T71" s="8"/>
      <c r="U71" s="102"/>
      <c r="V71" s="8"/>
      <c r="W71" s="16"/>
      <c r="X71" s="8"/>
      <c r="Y71" s="16"/>
    </row>
    <row r="72" spans="1:25" s="28" customFormat="1" ht="17.45" customHeight="1">
      <c r="A72" s="3"/>
      <c r="B72" s="16"/>
      <c r="C72" s="16"/>
      <c r="D72" s="16"/>
      <c r="E72" s="79"/>
      <c r="F72" s="79"/>
      <c r="G72" s="79"/>
      <c r="H72" s="79"/>
      <c r="I72" s="98"/>
      <c r="J72" s="79"/>
      <c r="K72" s="79"/>
      <c r="L72" s="180"/>
      <c r="M72" s="181"/>
      <c r="N72" s="185"/>
      <c r="O72" s="182"/>
      <c r="P72" s="183"/>
      <c r="Q72" s="76"/>
      <c r="R72" s="76"/>
      <c r="S72" s="76"/>
      <c r="T72" s="8"/>
      <c r="U72" s="102"/>
      <c r="V72" s="8"/>
      <c r="W72" s="16"/>
      <c r="X72" s="8"/>
      <c r="Y72" s="16"/>
    </row>
    <row r="73" spans="1:25" s="28" customFormat="1" ht="17.45" customHeight="1">
      <c r="A73" s="3"/>
      <c r="B73" s="16"/>
      <c r="C73" s="16"/>
      <c r="D73" s="16"/>
      <c r="E73" s="79"/>
      <c r="F73" s="79"/>
      <c r="G73" s="79"/>
      <c r="H73" s="79"/>
      <c r="I73" s="98"/>
      <c r="J73" s="79"/>
      <c r="K73" s="79"/>
      <c r="L73" s="180"/>
      <c r="M73" s="181"/>
      <c r="N73" s="185"/>
      <c r="O73" s="182"/>
      <c r="P73" s="183"/>
      <c r="Q73" s="76"/>
      <c r="R73" s="76"/>
      <c r="S73" s="76"/>
      <c r="T73" s="8"/>
      <c r="U73" s="102"/>
      <c r="V73" s="8"/>
      <c r="W73" s="16"/>
      <c r="X73" s="8"/>
      <c r="Y73" s="16"/>
    </row>
    <row r="74" spans="1:25" s="28" customFormat="1" ht="17.45" customHeight="1">
      <c r="A74" s="3"/>
      <c r="B74" s="16"/>
      <c r="C74" s="16"/>
      <c r="D74" s="16"/>
      <c r="E74" s="79"/>
      <c r="F74" s="79"/>
      <c r="G74" s="79"/>
      <c r="H74" s="79"/>
      <c r="I74" s="98"/>
      <c r="J74" s="79"/>
      <c r="K74" s="79"/>
      <c r="L74" s="180"/>
      <c r="M74" s="181"/>
      <c r="N74" s="185"/>
      <c r="O74" s="182"/>
      <c r="P74" s="183"/>
      <c r="Q74" s="76"/>
      <c r="R74" s="76"/>
      <c r="S74" s="76"/>
      <c r="T74" s="8"/>
      <c r="U74" s="102"/>
      <c r="V74" s="8"/>
      <c r="W74" s="16"/>
      <c r="X74" s="8"/>
      <c r="Y74" s="16"/>
    </row>
    <row r="75" spans="1:25" s="28" customFormat="1" ht="17.45" customHeight="1">
      <c r="A75" s="3"/>
      <c r="B75" s="16"/>
      <c r="C75" s="16"/>
      <c r="D75" s="16"/>
      <c r="E75" s="79"/>
      <c r="F75" s="79"/>
      <c r="G75" s="79"/>
      <c r="H75" s="79"/>
      <c r="I75" s="98"/>
      <c r="J75" s="79"/>
      <c r="K75" s="79"/>
      <c r="L75" s="180"/>
      <c r="M75" s="181"/>
      <c r="N75" s="185"/>
      <c r="O75" s="182"/>
      <c r="P75" s="183"/>
      <c r="Q75" s="76"/>
      <c r="R75" s="76"/>
      <c r="S75" s="76"/>
      <c r="T75" s="8"/>
      <c r="U75" s="102"/>
      <c r="V75" s="8"/>
      <c r="W75" s="16"/>
      <c r="X75" s="8"/>
      <c r="Y75" s="16"/>
    </row>
    <row r="76" spans="1:25" s="28" customFormat="1" ht="17.45" customHeight="1">
      <c r="A76" s="3"/>
      <c r="B76" s="16"/>
      <c r="C76" s="16"/>
      <c r="D76" s="16"/>
      <c r="E76" s="79"/>
      <c r="F76" s="79"/>
      <c r="G76" s="79"/>
      <c r="H76" s="79"/>
      <c r="I76" s="98"/>
      <c r="J76" s="79"/>
      <c r="K76" s="79"/>
      <c r="L76" s="180"/>
      <c r="M76" s="181"/>
      <c r="N76" s="185"/>
      <c r="O76" s="182"/>
      <c r="P76" s="183"/>
      <c r="Q76" s="76"/>
      <c r="R76" s="76"/>
      <c r="S76" s="76"/>
      <c r="T76" s="8"/>
      <c r="U76" s="102"/>
      <c r="V76" s="8"/>
      <c r="W76" s="16"/>
      <c r="X76" s="8"/>
      <c r="Y76" s="16"/>
    </row>
    <row r="77" spans="1:25" s="28" customFormat="1" ht="17.45" customHeight="1">
      <c r="A77" s="3"/>
      <c r="B77" s="16"/>
      <c r="C77" s="16"/>
      <c r="D77" s="16"/>
      <c r="E77" s="79"/>
      <c r="F77" s="79"/>
      <c r="G77" s="79"/>
      <c r="H77" s="79"/>
      <c r="I77" s="98"/>
      <c r="J77" s="79"/>
      <c r="K77" s="79"/>
      <c r="L77" s="180"/>
      <c r="M77" s="181"/>
      <c r="N77" s="185"/>
      <c r="O77" s="182"/>
      <c r="P77" s="183"/>
      <c r="Q77" s="76"/>
      <c r="R77" s="76"/>
      <c r="S77" s="76"/>
      <c r="T77" s="8"/>
      <c r="U77" s="102"/>
      <c r="V77" s="8"/>
      <c r="W77" s="16"/>
      <c r="X77" s="8"/>
      <c r="Y77" s="16"/>
    </row>
    <row r="78" spans="1:25" s="28" customFormat="1" ht="17.45" customHeight="1">
      <c r="A78" s="3"/>
      <c r="B78" s="16"/>
      <c r="C78" s="16"/>
      <c r="D78" s="16"/>
      <c r="E78" s="79"/>
      <c r="F78" s="79"/>
      <c r="G78" s="79"/>
      <c r="H78" s="79"/>
      <c r="I78" s="98"/>
      <c r="J78" s="79"/>
      <c r="K78" s="79"/>
      <c r="L78" s="180"/>
      <c r="M78" s="181"/>
      <c r="N78" s="185"/>
      <c r="O78" s="182"/>
      <c r="P78" s="183"/>
      <c r="Q78" s="76"/>
      <c r="R78" s="76"/>
      <c r="S78" s="76"/>
      <c r="T78" s="8"/>
      <c r="U78" s="102"/>
      <c r="V78" s="8"/>
      <c r="W78" s="16"/>
      <c r="X78" s="8"/>
      <c r="Y78" s="16"/>
    </row>
    <row r="79" spans="1:25" s="28" customFormat="1" ht="17.45" customHeight="1">
      <c r="A79" s="3"/>
      <c r="B79" s="16"/>
      <c r="C79" s="16"/>
      <c r="D79" s="16"/>
      <c r="E79" s="79"/>
      <c r="F79" s="79"/>
      <c r="G79" s="79"/>
      <c r="H79" s="79"/>
      <c r="I79" s="98"/>
      <c r="J79" s="79"/>
      <c r="K79" s="79"/>
      <c r="L79" s="180"/>
      <c r="M79" s="181"/>
      <c r="N79" s="185"/>
      <c r="O79" s="182"/>
      <c r="P79" s="183"/>
      <c r="Q79" s="76"/>
      <c r="R79" s="76"/>
      <c r="S79" s="76"/>
      <c r="T79" s="8"/>
      <c r="U79" s="102"/>
      <c r="V79" s="8"/>
      <c r="W79" s="16"/>
      <c r="X79" s="8"/>
      <c r="Y79" s="16"/>
    </row>
    <row r="80" spans="1:25" s="28" customFormat="1" ht="17.45" customHeight="1">
      <c r="A80" s="3"/>
      <c r="B80" s="16"/>
      <c r="C80" s="16"/>
      <c r="D80" s="16"/>
      <c r="E80" s="79"/>
      <c r="F80" s="79"/>
      <c r="G80" s="79"/>
      <c r="H80" s="79"/>
      <c r="I80" s="98"/>
      <c r="J80" s="79"/>
      <c r="K80" s="79"/>
      <c r="L80" s="180"/>
      <c r="M80" s="181"/>
      <c r="N80" s="185"/>
      <c r="O80" s="182"/>
      <c r="P80" s="183"/>
      <c r="Q80" s="76"/>
      <c r="R80" s="76"/>
      <c r="S80" s="76"/>
      <c r="T80" s="8"/>
      <c r="U80" s="102"/>
      <c r="V80" s="8"/>
      <c r="W80" s="16"/>
      <c r="X80" s="8"/>
      <c r="Y80" s="16"/>
    </row>
    <row r="81" spans="1:25" s="28" customFormat="1" ht="17.45" customHeight="1">
      <c r="A81" s="3"/>
      <c r="B81" s="16"/>
      <c r="C81" s="16"/>
      <c r="D81" s="16"/>
      <c r="E81" s="79"/>
      <c r="F81" s="79"/>
      <c r="G81" s="79"/>
      <c r="H81" s="79"/>
      <c r="I81" s="98"/>
      <c r="J81" s="79"/>
      <c r="K81" s="79"/>
      <c r="L81" s="180"/>
      <c r="M81" s="181"/>
      <c r="N81" s="185"/>
      <c r="O81" s="182"/>
      <c r="P81" s="183"/>
      <c r="Q81" s="76"/>
      <c r="R81" s="76"/>
      <c r="S81" s="76"/>
      <c r="T81" s="8"/>
      <c r="U81" s="102"/>
      <c r="V81" s="8"/>
      <c r="W81" s="16"/>
      <c r="X81" s="8"/>
      <c r="Y81" s="16"/>
    </row>
    <row r="82" spans="1:25" s="28" customFormat="1" ht="17.45" customHeight="1">
      <c r="A82" s="3"/>
      <c r="B82" s="16"/>
      <c r="C82" s="16"/>
      <c r="D82" s="16"/>
      <c r="E82" s="79"/>
      <c r="F82" s="79"/>
      <c r="G82" s="79"/>
      <c r="H82" s="79"/>
      <c r="I82" s="98"/>
      <c r="J82" s="79"/>
      <c r="K82" s="79"/>
      <c r="L82" s="180"/>
      <c r="M82" s="181"/>
      <c r="N82" s="185"/>
      <c r="O82" s="182"/>
      <c r="P82" s="183"/>
      <c r="Q82" s="76"/>
      <c r="R82" s="76"/>
      <c r="S82" s="76"/>
      <c r="T82" s="8"/>
      <c r="U82" s="102"/>
      <c r="V82" s="8"/>
      <c r="W82" s="16"/>
      <c r="X82" s="8"/>
      <c r="Y82" s="16"/>
    </row>
    <row r="83" spans="1:25" s="28" customFormat="1" ht="17.45" customHeight="1">
      <c r="A83" s="3"/>
      <c r="B83" s="16"/>
      <c r="C83" s="16"/>
      <c r="D83" s="16"/>
      <c r="E83" s="79"/>
      <c r="F83" s="79"/>
      <c r="G83" s="79"/>
      <c r="H83" s="79"/>
      <c r="I83" s="98"/>
      <c r="J83" s="79"/>
      <c r="K83" s="79"/>
      <c r="L83" s="180"/>
      <c r="M83" s="181"/>
      <c r="N83" s="185"/>
      <c r="O83" s="182"/>
      <c r="P83" s="183"/>
      <c r="Q83" s="76"/>
      <c r="R83" s="76"/>
      <c r="S83" s="76"/>
      <c r="T83" s="8"/>
      <c r="U83" s="102"/>
      <c r="V83" s="8"/>
      <c r="W83" s="16"/>
      <c r="X83" s="8"/>
      <c r="Y83" s="16"/>
    </row>
    <row r="84" spans="1:25" s="28" customFormat="1" ht="17.45" customHeight="1">
      <c r="A84" s="3"/>
      <c r="B84" s="16"/>
      <c r="C84" s="16"/>
      <c r="D84" s="16"/>
      <c r="E84" s="79"/>
      <c r="F84" s="79"/>
      <c r="G84" s="79"/>
      <c r="H84" s="79"/>
      <c r="I84" s="98"/>
      <c r="J84" s="79"/>
      <c r="K84" s="79"/>
      <c r="L84" s="180"/>
      <c r="M84" s="181"/>
      <c r="N84" s="185"/>
      <c r="O84" s="182"/>
      <c r="P84" s="183"/>
      <c r="Q84" s="76"/>
      <c r="R84" s="76"/>
      <c r="S84" s="76"/>
      <c r="T84" s="8"/>
      <c r="U84" s="102"/>
      <c r="V84" s="8"/>
      <c r="W84" s="16"/>
      <c r="X84" s="8"/>
      <c r="Y84" s="16"/>
    </row>
    <row r="85" spans="1:25" s="28" customFormat="1" ht="17.45" customHeight="1">
      <c r="A85" s="3"/>
      <c r="B85" s="16"/>
      <c r="C85" s="16"/>
      <c r="D85" s="16"/>
      <c r="E85" s="79"/>
      <c r="F85" s="79"/>
      <c r="G85" s="79"/>
      <c r="H85" s="79"/>
      <c r="I85" s="98"/>
      <c r="J85" s="79"/>
      <c r="K85" s="79"/>
      <c r="L85" s="180"/>
      <c r="M85" s="181"/>
      <c r="N85" s="185"/>
      <c r="O85" s="182"/>
      <c r="P85" s="183"/>
      <c r="Q85" s="76"/>
      <c r="R85" s="76"/>
      <c r="S85" s="76"/>
      <c r="T85" s="8"/>
      <c r="U85" s="102"/>
      <c r="V85" s="8"/>
      <c r="W85" s="16"/>
      <c r="X85" s="8"/>
      <c r="Y85" s="16"/>
    </row>
    <row r="86" spans="1:25" s="28" customFormat="1" ht="17.45" customHeight="1">
      <c r="A86" s="3"/>
      <c r="B86" s="16"/>
      <c r="C86" s="16"/>
      <c r="D86" s="16"/>
      <c r="E86" s="79"/>
      <c r="F86" s="79"/>
      <c r="G86" s="79"/>
      <c r="H86" s="79"/>
      <c r="I86" s="98"/>
      <c r="J86" s="79"/>
      <c r="K86" s="79"/>
      <c r="L86" s="180"/>
      <c r="M86" s="181"/>
      <c r="N86" s="185"/>
      <c r="O86" s="182"/>
      <c r="P86" s="183"/>
      <c r="Q86" s="76"/>
      <c r="R86" s="76"/>
      <c r="S86" s="76"/>
      <c r="T86" s="8"/>
      <c r="U86" s="102"/>
      <c r="V86" s="8"/>
      <c r="W86" s="16"/>
      <c r="X86" s="8"/>
      <c r="Y86" s="16"/>
    </row>
    <row r="87" spans="1:25" s="28" customFormat="1" ht="17.45" customHeight="1">
      <c r="A87" s="3"/>
      <c r="B87" s="16"/>
      <c r="C87" s="16"/>
      <c r="D87" s="16"/>
      <c r="E87" s="79"/>
      <c r="F87" s="79"/>
      <c r="G87" s="79"/>
      <c r="H87" s="79"/>
      <c r="I87" s="98"/>
      <c r="J87" s="79"/>
      <c r="K87" s="79"/>
      <c r="L87" s="180"/>
      <c r="M87" s="181"/>
      <c r="N87" s="185"/>
      <c r="O87" s="182"/>
      <c r="P87" s="183"/>
      <c r="Q87" s="76"/>
      <c r="R87" s="76"/>
      <c r="S87" s="76"/>
      <c r="T87" s="8"/>
      <c r="U87" s="102"/>
      <c r="V87" s="8"/>
      <c r="W87" s="16"/>
      <c r="X87" s="8"/>
      <c r="Y87" s="16"/>
    </row>
    <row r="88" spans="1:25" s="28" customFormat="1" ht="17.45" customHeight="1">
      <c r="A88" s="3"/>
      <c r="B88" s="16"/>
      <c r="C88" s="16"/>
      <c r="D88" s="16"/>
      <c r="E88" s="79"/>
      <c r="F88" s="79"/>
      <c r="G88" s="79"/>
      <c r="H88" s="79"/>
      <c r="I88" s="98"/>
      <c r="J88" s="79"/>
      <c r="K88" s="79"/>
      <c r="L88" s="180"/>
      <c r="M88" s="181"/>
      <c r="N88" s="185"/>
      <c r="O88" s="182"/>
      <c r="P88" s="183"/>
      <c r="Q88" s="76"/>
      <c r="R88" s="76"/>
      <c r="S88" s="76"/>
      <c r="T88" s="8"/>
      <c r="U88" s="102"/>
      <c r="V88" s="8"/>
      <c r="W88" s="16"/>
      <c r="X88" s="8"/>
      <c r="Y88" s="16"/>
    </row>
    <row r="89" spans="1:25" s="28" customFormat="1" ht="17.45" customHeight="1">
      <c r="A89" s="3"/>
      <c r="B89" s="16"/>
      <c r="C89" s="16"/>
      <c r="D89" s="16"/>
      <c r="E89" s="79"/>
      <c r="F89" s="79"/>
      <c r="G89" s="79"/>
      <c r="H89" s="79"/>
      <c r="I89" s="98"/>
      <c r="J89" s="79"/>
      <c r="K89" s="79"/>
      <c r="L89" s="180"/>
      <c r="M89" s="181"/>
      <c r="N89" s="185"/>
      <c r="O89" s="182"/>
      <c r="P89" s="183"/>
      <c r="Q89" s="76"/>
      <c r="R89" s="76"/>
      <c r="S89" s="76"/>
      <c r="T89" s="8"/>
      <c r="U89" s="102"/>
      <c r="V89" s="8"/>
      <c r="W89" s="16"/>
      <c r="X89" s="8"/>
      <c r="Y89" s="16"/>
    </row>
    <row r="90" spans="1:25" s="28" customFormat="1" ht="17.45" customHeight="1">
      <c r="A90" s="3"/>
      <c r="B90" s="16"/>
      <c r="C90" s="16"/>
      <c r="D90" s="16"/>
      <c r="E90" s="79"/>
      <c r="F90" s="79"/>
      <c r="G90" s="79"/>
      <c r="H90" s="79"/>
      <c r="I90" s="98"/>
      <c r="J90" s="79"/>
      <c r="K90" s="79"/>
      <c r="L90" s="180"/>
      <c r="M90" s="181"/>
      <c r="N90" s="185"/>
      <c r="O90" s="182"/>
      <c r="P90" s="183"/>
      <c r="Q90" s="76"/>
      <c r="R90" s="76"/>
      <c r="S90" s="76"/>
      <c r="T90" s="8"/>
      <c r="U90" s="102"/>
      <c r="V90" s="8"/>
      <c r="W90" s="16"/>
      <c r="X90" s="8"/>
      <c r="Y90" s="16"/>
    </row>
    <row r="91" spans="1:25" s="28" customFormat="1" ht="17.45" customHeight="1">
      <c r="A91" s="3"/>
      <c r="B91" s="16"/>
      <c r="C91" s="16"/>
      <c r="D91" s="16"/>
      <c r="E91" s="79"/>
      <c r="F91" s="79"/>
      <c r="G91" s="79"/>
      <c r="H91" s="79"/>
      <c r="I91" s="98"/>
      <c r="J91" s="79"/>
      <c r="K91" s="79"/>
      <c r="L91" s="180"/>
      <c r="M91" s="181"/>
      <c r="N91" s="185"/>
      <c r="O91" s="182"/>
      <c r="P91" s="183"/>
      <c r="Q91" s="76"/>
      <c r="R91" s="76"/>
      <c r="S91" s="76"/>
      <c r="T91" s="8"/>
      <c r="U91" s="102"/>
      <c r="V91" s="8"/>
      <c r="W91" s="16"/>
      <c r="X91" s="8"/>
      <c r="Y91" s="16"/>
    </row>
    <row r="92" spans="1:25" s="28" customFormat="1" ht="17.45" customHeight="1">
      <c r="A92" s="3"/>
      <c r="B92" s="16"/>
      <c r="C92" s="16"/>
      <c r="D92" s="16"/>
      <c r="E92" s="79"/>
      <c r="F92" s="79"/>
      <c r="G92" s="79"/>
      <c r="H92" s="79"/>
      <c r="I92" s="98"/>
      <c r="J92" s="79"/>
      <c r="K92" s="79"/>
      <c r="L92" s="180"/>
      <c r="M92" s="181"/>
      <c r="N92" s="185"/>
      <c r="O92" s="182"/>
      <c r="P92" s="183"/>
      <c r="Q92" s="76"/>
      <c r="R92" s="76"/>
      <c r="S92" s="76"/>
      <c r="T92" s="8"/>
      <c r="U92" s="102"/>
      <c r="V92" s="8"/>
      <c r="W92" s="16"/>
      <c r="X92" s="8"/>
      <c r="Y92" s="16"/>
    </row>
    <row r="93" spans="1:25" s="28" customFormat="1" ht="17.45" customHeight="1">
      <c r="A93" s="3"/>
      <c r="B93" s="16"/>
      <c r="C93" s="16"/>
      <c r="D93" s="16"/>
      <c r="E93" s="79"/>
      <c r="F93" s="79"/>
      <c r="G93" s="79"/>
      <c r="H93" s="79"/>
      <c r="I93" s="98"/>
      <c r="J93" s="79"/>
      <c r="K93" s="79"/>
      <c r="L93" s="180"/>
      <c r="M93" s="181"/>
      <c r="N93" s="185"/>
      <c r="O93" s="182"/>
      <c r="P93" s="183"/>
      <c r="Q93" s="76"/>
      <c r="R93" s="76"/>
      <c r="S93" s="76"/>
      <c r="T93" s="8"/>
      <c r="U93" s="102"/>
      <c r="V93" s="8"/>
      <c r="W93" s="16"/>
      <c r="X93" s="8"/>
      <c r="Y93" s="16"/>
    </row>
    <row r="94" spans="1:25" s="28" customFormat="1" ht="17.45" customHeight="1">
      <c r="A94" s="3"/>
      <c r="B94" s="16"/>
      <c r="C94" s="16"/>
      <c r="D94" s="16"/>
      <c r="E94" s="79"/>
      <c r="F94" s="79"/>
      <c r="G94" s="79"/>
      <c r="H94" s="79"/>
      <c r="I94" s="98"/>
      <c r="J94" s="79"/>
      <c r="K94" s="79"/>
      <c r="L94" s="180"/>
      <c r="M94" s="181"/>
      <c r="N94" s="185"/>
      <c r="O94" s="182"/>
      <c r="P94" s="183"/>
      <c r="Q94" s="76"/>
      <c r="R94" s="76"/>
      <c r="S94" s="76"/>
      <c r="T94" s="8"/>
      <c r="U94" s="102"/>
      <c r="V94" s="8"/>
      <c r="W94" s="16"/>
      <c r="X94" s="8"/>
      <c r="Y94" s="16"/>
    </row>
    <row r="95" spans="1:25" s="28" customFormat="1" ht="17.45" customHeight="1">
      <c r="A95" s="3"/>
      <c r="B95" s="16"/>
      <c r="C95" s="16"/>
      <c r="D95" s="16"/>
      <c r="E95" s="79"/>
      <c r="F95" s="79"/>
      <c r="G95" s="79"/>
      <c r="H95" s="79"/>
      <c r="I95" s="98"/>
      <c r="J95" s="79"/>
      <c r="K95" s="79"/>
      <c r="L95" s="180"/>
      <c r="M95" s="181"/>
      <c r="N95" s="185"/>
      <c r="O95" s="182"/>
      <c r="P95" s="183"/>
      <c r="Q95" s="76"/>
      <c r="R95" s="76"/>
      <c r="S95" s="76"/>
      <c r="T95" s="8"/>
      <c r="U95" s="102"/>
      <c r="V95" s="8"/>
      <c r="W95" s="16"/>
      <c r="X95" s="8"/>
      <c r="Y95" s="16"/>
    </row>
    <row r="96" spans="1:25" s="28" customFormat="1" ht="17.45" customHeight="1">
      <c r="A96" s="3"/>
      <c r="B96" s="16"/>
      <c r="C96" s="16"/>
      <c r="D96" s="16"/>
      <c r="E96" s="79"/>
      <c r="F96" s="79"/>
      <c r="G96" s="79"/>
      <c r="H96" s="79"/>
      <c r="I96" s="98"/>
      <c r="J96" s="79"/>
      <c r="K96" s="79"/>
      <c r="L96" s="180"/>
      <c r="M96" s="181"/>
      <c r="N96" s="185"/>
      <c r="O96" s="182"/>
      <c r="P96" s="183"/>
      <c r="Q96" s="76"/>
      <c r="R96" s="76"/>
      <c r="S96" s="76"/>
      <c r="T96" s="8"/>
      <c r="U96" s="102"/>
      <c r="V96" s="8"/>
      <c r="W96" s="16"/>
      <c r="X96" s="8"/>
      <c r="Y96" s="16"/>
    </row>
    <row r="97" spans="1:25" s="28" customFormat="1" ht="17.45" customHeight="1">
      <c r="A97" s="3"/>
      <c r="B97" s="16"/>
      <c r="C97" s="16"/>
      <c r="D97" s="16"/>
      <c r="E97" s="79"/>
      <c r="F97" s="79"/>
      <c r="G97" s="79"/>
      <c r="H97" s="79"/>
      <c r="I97" s="98"/>
      <c r="J97" s="79"/>
      <c r="K97" s="79"/>
      <c r="L97" s="180"/>
      <c r="M97" s="181"/>
      <c r="N97" s="185"/>
      <c r="O97" s="182"/>
      <c r="P97" s="183"/>
      <c r="Q97" s="76"/>
      <c r="R97" s="76"/>
      <c r="S97" s="76"/>
      <c r="T97" s="8"/>
      <c r="U97" s="102"/>
      <c r="V97" s="8"/>
      <c r="W97" s="16"/>
      <c r="X97" s="8"/>
      <c r="Y97" s="16"/>
    </row>
    <row r="98" spans="1:25" s="28" customFormat="1" ht="17.45" customHeight="1">
      <c r="A98" s="3"/>
      <c r="B98" s="16"/>
      <c r="C98" s="16"/>
      <c r="D98" s="16"/>
      <c r="E98" s="79"/>
      <c r="F98" s="79"/>
      <c r="G98" s="79"/>
      <c r="H98" s="79"/>
      <c r="I98" s="98"/>
      <c r="J98" s="79"/>
      <c r="K98" s="79"/>
      <c r="L98" s="180"/>
      <c r="M98" s="181"/>
      <c r="N98" s="185"/>
      <c r="O98" s="182"/>
      <c r="P98" s="183"/>
      <c r="Q98" s="76"/>
      <c r="R98" s="76"/>
      <c r="S98" s="76"/>
      <c r="T98" s="8"/>
      <c r="U98" s="102"/>
      <c r="V98" s="8"/>
      <c r="W98" s="16"/>
      <c r="X98" s="8"/>
      <c r="Y98" s="16"/>
    </row>
    <row r="99" spans="1:25" s="28" customFormat="1" ht="17.45" customHeight="1">
      <c r="A99" s="3"/>
      <c r="B99" s="16"/>
      <c r="C99" s="16"/>
      <c r="D99" s="16"/>
      <c r="E99" s="79"/>
      <c r="F99" s="79"/>
      <c r="G99" s="79"/>
      <c r="H99" s="79"/>
      <c r="I99" s="98"/>
      <c r="J99" s="79"/>
      <c r="K99" s="79"/>
      <c r="L99" s="180"/>
      <c r="M99" s="181"/>
      <c r="N99" s="185"/>
      <c r="O99" s="182"/>
      <c r="P99" s="183"/>
      <c r="Q99" s="76"/>
      <c r="R99" s="76"/>
      <c r="S99" s="76"/>
      <c r="T99" s="8"/>
      <c r="U99" s="102"/>
      <c r="V99" s="8"/>
      <c r="W99" s="16"/>
      <c r="X99" s="8"/>
      <c r="Y99" s="16"/>
    </row>
    <row r="100" spans="1:25" s="28" customFormat="1" ht="17.45" customHeight="1">
      <c r="A100" s="3"/>
      <c r="B100" s="16"/>
      <c r="C100" s="16"/>
      <c r="D100" s="16"/>
      <c r="E100" s="79"/>
      <c r="F100" s="79"/>
      <c r="G100" s="79"/>
      <c r="H100" s="79"/>
      <c r="I100" s="98"/>
      <c r="J100" s="79"/>
      <c r="K100" s="79"/>
      <c r="L100" s="180"/>
      <c r="M100" s="181"/>
      <c r="N100" s="185"/>
      <c r="O100" s="182"/>
      <c r="P100" s="183"/>
      <c r="Q100" s="76"/>
      <c r="R100" s="76"/>
      <c r="S100" s="76"/>
      <c r="T100" s="8"/>
      <c r="U100" s="102"/>
      <c r="V100" s="8"/>
      <c r="W100" s="16"/>
      <c r="X100" s="8"/>
      <c r="Y100" s="16"/>
    </row>
    <row r="101" spans="1:25" s="28" customFormat="1" ht="17.45" customHeight="1">
      <c r="A101" s="3"/>
      <c r="B101" s="16"/>
      <c r="C101" s="16"/>
      <c r="D101" s="16"/>
      <c r="E101" s="79"/>
      <c r="F101" s="79"/>
      <c r="G101" s="79"/>
      <c r="H101" s="79"/>
      <c r="I101" s="98"/>
      <c r="J101" s="79"/>
      <c r="K101" s="79"/>
      <c r="L101" s="180"/>
      <c r="M101" s="181"/>
      <c r="N101" s="185"/>
      <c r="O101" s="182"/>
      <c r="P101" s="183"/>
      <c r="Q101" s="76"/>
      <c r="R101" s="76"/>
      <c r="S101" s="76"/>
      <c r="T101" s="8"/>
      <c r="U101" s="102"/>
      <c r="V101" s="8"/>
      <c r="W101" s="16"/>
      <c r="X101" s="8"/>
      <c r="Y101" s="16"/>
    </row>
    <row r="102" spans="1:25" s="28" customFormat="1" ht="17.45" customHeight="1">
      <c r="A102" s="3"/>
      <c r="B102" s="16"/>
      <c r="C102" s="16"/>
      <c r="D102" s="16"/>
      <c r="E102" s="79"/>
      <c r="F102" s="79"/>
      <c r="G102" s="79"/>
      <c r="H102" s="79"/>
      <c r="I102" s="98"/>
      <c r="J102" s="79"/>
      <c r="K102" s="79"/>
      <c r="L102" s="180"/>
      <c r="M102" s="181"/>
      <c r="N102" s="185"/>
      <c r="O102" s="182"/>
      <c r="P102" s="183"/>
      <c r="Q102" s="76"/>
      <c r="R102" s="76"/>
      <c r="S102" s="76"/>
      <c r="T102" s="8"/>
      <c r="U102" s="102"/>
      <c r="V102" s="8"/>
      <c r="W102" s="16"/>
      <c r="X102" s="8"/>
      <c r="Y102" s="16"/>
    </row>
    <row r="103" spans="1:25" s="28" customFormat="1" ht="17.45" customHeight="1">
      <c r="A103" s="3"/>
      <c r="B103" s="16"/>
      <c r="C103" s="16"/>
      <c r="D103" s="16"/>
      <c r="E103" s="79"/>
      <c r="F103" s="79"/>
      <c r="G103" s="79"/>
      <c r="H103" s="79"/>
      <c r="I103" s="98"/>
      <c r="J103" s="79"/>
      <c r="K103" s="79"/>
      <c r="L103" s="180"/>
      <c r="M103" s="181"/>
      <c r="N103" s="185"/>
      <c r="O103" s="182"/>
      <c r="P103" s="183"/>
      <c r="Q103" s="76"/>
      <c r="R103" s="76"/>
      <c r="S103" s="76"/>
      <c r="T103" s="8"/>
      <c r="U103" s="102"/>
      <c r="V103" s="8"/>
      <c r="W103" s="16"/>
      <c r="X103" s="8"/>
      <c r="Y103" s="16"/>
    </row>
    <row r="104" spans="1:25" s="28" customFormat="1" ht="17.45" customHeight="1">
      <c r="A104" s="3"/>
      <c r="B104" s="16"/>
      <c r="C104" s="16"/>
      <c r="D104" s="16"/>
      <c r="E104" s="79"/>
      <c r="F104" s="79"/>
      <c r="G104" s="79"/>
      <c r="H104" s="79"/>
      <c r="I104" s="98"/>
      <c r="J104" s="79"/>
      <c r="K104" s="79"/>
      <c r="L104" s="180"/>
      <c r="M104" s="181"/>
      <c r="N104" s="185"/>
      <c r="O104" s="182"/>
      <c r="P104" s="183"/>
      <c r="Q104" s="76"/>
      <c r="R104" s="76"/>
      <c r="S104" s="76"/>
      <c r="T104" s="8"/>
      <c r="U104" s="102"/>
      <c r="V104" s="8"/>
      <c r="W104" s="16"/>
      <c r="X104" s="8"/>
      <c r="Y104" s="16"/>
    </row>
    <row r="105" spans="1:25" s="28" customFormat="1" ht="17.45" customHeight="1">
      <c r="A105" s="3"/>
      <c r="B105" s="16"/>
      <c r="C105" s="16"/>
      <c r="D105" s="16"/>
      <c r="E105" s="79"/>
      <c r="F105" s="79"/>
      <c r="G105" s="79"/>
      <c r="H105" s="79"/>
      <c r="I105" s="98"/>
      <c r="J105" s="79"/>
      <c r="K105" s="79"/>
      <c r="L105" s="180"/>
      <c r="M105" s="181"/>
      <c r="N105" s="185"/>
      <c r="O105" s="182"/>
      <c r="P105" s="183"/>
      <c r="Q105" s="76"/>
      <c r="R105" s="76"/>
      <c r="S105" s="76"/>
      <c r="T105" s="8"/>
      <c r="U105" s="102"/>
      <c r="V105" s="8"/>
      <c r="W105" s="16"/>
      <c r="X105" s="8"/>
      <c r="Y105" s="16"/>
    </row>
    <row r="106" spans="1:25" s="28" customFormat="1" ht="17.45" customHeight="1">
      <c r="A106" s="3"/>
      <c r="B106" s="16"/>
      <c r="C106" s="16"/>
      <c r="D106" s="16"/>
      <c r="E106" s="79"/>
      <c r="F106" s="79"/>
      <c r="G106" s="79"/>
      <c r="H106" s="79"/>
      <c r="I106" s="98"/>
      <c r="J106" s="79"/>
      <c r="K106" s="79"/>
      <c r="L106" s="180"/>
      <c r="M106" s="181"/>
      <c r="N106" s="185"/>
      <c r="O106" s="182"/>
      <c r="P106" s="183"/>
      <c r="Q106" s="76"/>
      <c r="R106" s="76"/>
      <c r="S106" s="76"/>
      <c r="T106" s="8"/>
      <c r="U106" s="102"/>
      <c r="V106" s="8"/>
      <c r="W106" s="16"/>
      <c r="X106" s="8"/>
      <c r="Y106" s="16"/>
    </row>
    <row r="107" spans="1:25" s="28" customFormat="1" ht="17.45" customHeight="1">
      <c r="A107" s="3"/>
      <c r="B107" s="16"/>
      <c r="C107" s="16"/>
      <c r="D107" s="16"/>
      <c r="E107" s="79"/>
      <c r="F107" s="79"/>
      <c r="G107" s="79"/>
      <c r="H107" s="79"/>
      <c r="I107" s="98"/>
      <c r="J107" s="79"/>
      <c r="K107" s="79"/>
      <c r="L107" s="180"/>
      <c r="M107" s="181"/>
      <c r="N107" s="185"/>
      <c r="O107" s="182"/>
      <c r="P107" s="183"/>
      <c r="Q107" s="76"/>
      <c r="R107" s="76"/>
      <c r="S107" s="76"/>
      <c r="T107" s="8"/>
      <c r="U107" s="102"/>
      <c r="V107" s="8"/>
      <c r="W107" s="16"/>
      <c r="X107" s="8"/>
      <c r="Y107" s="16"/>
    </row>
    <row r="108" spans="1:25" s="28" customFormat="1" ht="17.45" customHeight="1">
      <c r="A108" s="3"/>
      <c r="B108" s="16"/>
      <c r="C108" s="16"/>
      <c r="D108" s="16"/>
      <c r="E108" s="79"/>
      <c r="F108" s="79"/>
      <c r="G108" s="79"/>
      <c r="H108" s="79"/>
      <c r="I108" s="98"/>
      <c r="J108" s="79"/>
      <c r="K108" s="79"/>
      <c r="L108" s="180"/>
      <c r="M108" s="181"/>
      <c r="N108" s="185"/>
      <c r="O108" s="182"/>
      <c r="P108" s="183"/>
      <c r="Q108" s="76"/>
      <c r="R108" s="76"/>
      <c r="S108" s="76"/>
      <c r="T108" s="8"/>
      <c r="U108" s="102"/>
      <c r="V108" s="8"/>
      <c r="W108" s="16"/>
      <c r="X108" s="8"/>
      <c r="Y108" s="16"/>
    </row>
    <row r="109" spans="1:25" s="28" customFormat="1" ht="17.45" customHeight="1">
      <c r="A109" s="3"/>
      <c r="B109" s="16"/>
      <c r="C109" s="16"/>
      <c r="D109" s="16"/>
      <c r="E109" s="79"/>
      <c r="F109" s="79"/>
      <c r="G109" s="79"/>
      <c r="H109" s="79"/>
      <c r="I109" s="98"/>
      <c r="J109" s="79"/>
      <c r="K109" s="79"/>
      <c r="L109" s="180"/>
      <c r="M109" s="181"/>
      <c r="N109" s="185"/>
      <c r="O109" s="182"/>
      <c r="P109" s="183"/>
      <c r="Q109" s="76"/>
      <c r="R109" s="76"/>
      <c r="S109" s="76"/>
      <c r="T109" s="8"/>
      <c r="U109" s="102"/>
      <c r="V109" s="8"/>
      <c r="W109" s="16"/>
      <c r="X109" s="8"/>
      <c r="Y109" s="16"/>
    </row>
    <row r="110" spans="1:25" s="28" customFormat="1" ht="17.45" customHeight="1">
      <c r="A110" s="3"/>
      <c r="B110" s="16"/>
      <c r="C110" s="16"/>
      <c r="D110" s="16"/>
      <c r="E110" s="79"/>
      <c r="F110" s="79"/>
      <c r="G110" s="79"/>
      <c r="H110" s="79"/>
      <c r="I110" s="98"/>
      <c r="J110" s="79"/>
      <c r="K110" s="79"/>
      <c r="L110" s="180"/>
      <c r="M110" s="181"/>
      <c r="N110" s="185"/>
      <c r="O110" s="182"/>
      <c r="P110" s="183"/>
      <c r="Q110" s="76"/>
      <c r="R110" s="76"/>
      <c r="S110" s="76"/>
      <c r="T110" s="8"/>
      <c r="U110" s="102"/>
      <c r="V110" s="8"/>
      <c r="W110" s="16"/>
      <c r="X110" s="8"/>
      <c r="Y110" s="16"/>
    </row>
    <row r="111" spans="1:25" s="28" customFormat="1" ht="17.45" customHeight="1">
      <c r="A111" s="3"/>
      <c r="B111" s="16"/>
      <c r="C111" s="16"/>
      <c r="D111" s="16"/>
      <c r="E111" s="79"/>
      <c r="F111" s="79"/>
      <c r="G111" s="79"/>
      <c r="H111" s="79"/>
      <c r="I111" s="98"/>
      <c r="J111" s="79"/>
      <c r="K111" s="79"/>
      <c r="L111" s="180"/>
      <c r="M111" s="181"/>
      <c r="N111" s="185"/>
      <c r="O111" s="182"/>
      <c r="P111" s="183"/>
      <c r="Q111" s="76"/>
      <c r="R111" s="76"/>
      <c r="S111" s="76"/>
      <c r="T111" s="8"/>
      <c r="U111" s="102"/>
      <c r="V111" s="8"/>
      <c r="W111" s="16"/>
      <c r="X111" s="8"/>
      <c r="Y111" s="16"/>
    </row>
    <row r="112" spans="1:25" s="28" customFormat="1" ht="17.45" customHeight="1">
      <c r="A112" s="3"/>
      <c r="B112" s="16"/>
      <c r="C112" s="16"/>
      <c r="D112" s="16"/>
      <c r="E112" s="79"/>
      <c r="F112" s="79"/>
      <c r="G112" s="79"/>
      <c r="H112" s="79"/>
      <c r="I112" s="98"/>
      <c r="J112" s="79"/>
      <c r="K112" s="79"/>
      <c r="L112" s="180"/>
      <c r="M112" s="181"/>
      <c r="N112" s="185"/>
      <c r="O112" s="182"/>
      <c r="P112" s="183"/>
      <c r="Q112" s="76"/>
      <c r="R112" s="76"/>
      <c r="S112" s="76"/>
      <c r="T112" s="8"/>
      <c r="U112" s="102"/>
      <c r="V112" s="8"/>
      <c r="W112" s="16"/>
      <c r="X112" s="8"/>
      <c r="Y112" s="16"/>
    </row>
  </sheetData>
  <mergeCells count="23">
    <mergeCell ref="M2:M3"/>
    <mergeCell ref="N2:N3"/>
    <mergeCell ref="V2:V3"/>
    <mergeCell ref="O2:O3"/>
    <mergeCell ref="G2:G3"/>
    <mergeCell ref="H2:H3"/>
    <mergeCell ref="I2:I3"/>
    <mergeCell ref="J2:J3"/>
    <mergeCell ref="P2:P3"/>
    <mergeCell ref="Q2:S2"/>
    <mergeCell ref="K2:K3"/>
    <mergeCell ref="L2:L3"/>
    <mergeCell ref="Y2:Y3"/>
    <mergeCell ref="X2:X3"/>
    <mergeCell ref="T2:T3"/>
    <mergeCell ref="U2:U3"/>
    <mergeCell ref="W2:W3"/>
    <mergeCell ref="F2:F3"/>
    <mergeCell ref="A2:A3"/>
    <mergeCell ref="B2:B3"/>
    <mergeCell ref="C2:C3"/>
    <mergeCell ref="D2:D3"/>
    <mergeCell ref="E2:E3"/>
  </mergeCells>
  <conditionalFormatting sqref="O5:Q5">
    <cfRule type="cellIs" dxfId="49" priority="2" operator="equal">
      <formula>1</formula>
    </cfRule>
  </conditionalFormatting>
  <conditionalFormatting sqref="O4:S4">
    <cfRule type="cellIs" dxfId="48" priority="3" operator="equal">
      <formula>1</formula>
    </cfRule>
  </conditionalFormatting>
  <conditionalFormatting sqref="Q6">
    <cfRule type="cellIs" dxfId="47" priority="1" operator="equal">
      <formula>1</formula>
    </cfRule>
  </conditionalFormatting>
  <hyperlinks>
    <hyperlink ref="A1" location="'Daftar Isi'!A1" display="Kembali ke Daftar Isi" xr:uid="{B04FCCBD-875A-44EC-A021-CCF88DC6D575}"/>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61ECD05E-1BE0-4637-80E0-1C657A36FD2F}">
          <x14:formula1>
            <xm:f>Master!$K$2:$K$6</xm:f>
          </x14:formula1>
          <xm:sqref>U14:U15 V7:V112</xm:sqref>
        </x14:dataValidation>
        <x14:dataValidation type="list" allowBlank="1" showInputMessage="1" showErrorMessage="1" xr:uid="{15BBF2C8-BC32-4F23-8CE6-5AF8AB3524D0}">
          <x14:formula1>
            <xm:f>Master!$D$2:$D$48</xm:f>
          </x14:formula1>
          <xm:sqref>C7:C112</xm:sqref>
        </x14:dataValidation>
        <x14:dataValidation type="list" allowBlank="1" showInputMessage="1" showErrorMessage="1" xr:uid="{E657B814-A84D-4974-98D7-DFD21C2E5AFA}">
          <x14:formula1>
            <xm:f>Master!$A$2:$A$6</xm:f>
          </x14:formula1>
          <xm:sqref>F7:F112</xm:sqref>
        </x14:dataValidation>
        <x14:dataValidation type="list" allowBlank="1" showInputMessage="1" showErrorMessage="1" xr:uid="{A1254CB2-BB7E-470E-B478-9D3C9693401B}">
          <x14:formula1>
            <xm:f>Master!$F$2:$F$22</xm:f>
          </x14:formula1>
          <xm:sqref>H7:H112</xm:sqref>
        </x14:dataValidation>
        <x14:dataValidation type="list" allowBlank="1" showInputMessage="1" showErrorMessage="1" xr:uid="{C37D85C6-7CD0-4242-B95B-3086ACAE3CED}">
          <x14:formula1>
            <xm:f>Master!$G$2:$G$3</xm:f>
          </x14:formula1>
          <xm:sqref>W7:W112</xm:sqref>
        </x14:dataValidation>
        <x14:dataValidation type="list" allowBlank="1" showInputMessage="1" showErrorMessage="1" xr:uid="{AC67262A-FD00-497F-8CAD-516E929CB42A}">
          <x14:formula1>
            <xm:f>Master!$R$2:$R$7</xm:f>
          </x14:formula1>
          <xm:sqref>T7:T112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48EA-6D52-8744-A6FE-8249E7DA22EF}">
  <sheetPr codeName="Sheet9">
    <tabColor rgb="FF1896A4"/>
  </sheetPr>
  <dimension ref="A1:AC818"/>
  <sheetViews>
    <sheetView showGridLines="0" topLeftCell="K1" zoomScale="93" zoomScaleNormal="120" workbookViewId="0">
      <pane ySplit="4" topLeftCell="A6" activePane="bottomLeft" state="frozen"/>
      <selection activeCell="W7" sqref="W7:Z7"/>
      <selection pane="bottomLeft" activeCell="W7" sqref="W7:Z7"/>
    </sheetView>
  </sheetViews>
  <sheetFormatPr defaultColWidth="11.3984375" defaultRowHeight="13.5"/>
  <cols>
    <col min="1" max="1" width="10.86328125" style="2" customWidth="1"/>
    <col min="2" max="2" width="7.3984375" style="2" customWidth="1"/>
    <col min="3" max="3" width="12.86328125" style="2" customWidth="1"/>
    <col min="4" max="5" width="8.86328125" style="30" customWidth="1"/>
    <col min="6" max="6" width="11.3984375" style="2"/>
    <col min="7" max="7" width="23.86328125" style="32" customWidth="1"/>
    <col min="8" max="8" width="16.1328125" style="30" customWidth="1"/>
    <col min="9" max="9" width="18" style="30" customWidth="1"/>
    <col min="10" max="10" width="50.1328125" style="45" customWidth="1"/>
    <col min="11" max="11" width="25" style="45" customWidth="1"/>
    <col min="12" max="12" width="17.86328125" style="45" customWidth="1"/>
    <col min="13" max="15" width="11.1328125" style="45" customWidth="1"/>
    <col min="16" max="16" width="17.86328125" style="45" customWidth="1"/>
    <col min="17" max="17" width="10.3984375" style="45" customWidth="1"/>
    <col min="18" max="26" width="3.1328125" style="45" customWidth="1"/>
    <col min="27" max="29" width="3.1328125" style="45" bestFit="1" customWidth="1"/>
    <col min="30" max="16384" width="11.3984375" style="2"/>
  </cols>
  <sheetData>
    <row r="1" spans="1:29" ht="14.25">
      <c r="A1" s="112" t="s">
        <v>29</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c r="A2" s="1846" t="s">
        <v>31</v>
      </c>
      <c r="B2" s="1846" t="s">
        <v>47</v>
      </c>
      <c r="C2" s="1846" t="s">
        <v>125</v>
      </c>
      <c r="D2" s="1843" t="s">
        <v>49</v>
      </c>
      <c r="E2" s="1846" t="s">
        <v>126</v>
      </c>
      <c r="F2" s="1846" t="s">
        <v>127</v>
      </c>
      <c r="G2" s="1843" t="s">
        <v>128</v>
      </c>
      <c r="H2" s="1843" t="s">
        <v>129</v>
      </c>
      <c r="I2" s="1846" t="s">
        <v>130</v>
      </c>
      <c r="J2" s="1846" t="s">
        <v>131</v>
      </c>
      <c r="K2" s="1846" t="s">
        <v>132</v>
      </c>
      <c r="L2" s="1846" t="s">
        <v>133</v>
      </c>
      <c r="M2" s="1851" t="s">
        <v>2022</v>
      </c>
      <c r="N2" s="1849" t="s">
        <v>2023</v>
      </c>
      <c r="O2" s="1850"/>
      <c r="P2" s="1846" t="s">
        <v>136</v>
      </c>
      <c r="Q2" s="1846" t="s">
        <v>137</v>
      </c>
      <c r="R2" s="1846" t="s">
        <v>138</v>
      </c>
      <c r="S2" s="1846"/>
      <c r="T2" s="1846"/>
      <c r="U2" s="1846"/>
      <c r="V2" s="1846"/>
      <c r="W2" s="1846"/>
      <c r="X2" s="1846"/>
      <c r="Y2" s="1846"/>
      <c r="Z2" s="1846"/>
      <c r="AA2" s="1846"/>
      <c r="AB2" s="1846"/>
      <c r="AC2" s="1846"/>
    </row>
    <row r="3" spans="1:29">
      <c r="A3" s="1846"/>
      <c r="B3" s="1846"/>
      <c r="C3" s="1846"/>
      <c r="D3" s="1843"/>
      <c r="E3" s="1846"/>
      <c r="F3" s="1846"/>
      <c r="G3" s="1843"/>
      <c r="H3" s="1843"/>
      <c r="I3" s="1846"/>
      <c r="J3" s="1846"/>
      <c r="K3" s="1846"/>
      <c r="L3" s="1846"/>
      <c r="M3" s="1852"/>
      <c r="N3" s="210" t="s">
        <v>2024</v>
      </c>
      <c r="O3" s="210" t="s">
        <v>2025</v>
      </c>
      <c r="P3" s="1846"/>
      <c r="Q3" s="1846"/>
      <c r="R3" s="50">
        <v>1</v>
      </c>
      <c r="S3" s="34">
        <f t="shared" ref="S3:AC3" si="0">R3+1</f>
        <v>2</v>
      </c>
      <c r="T3" s="34">
        <f t="shared" si="0"/>
        <v>3</v>
      </c>
      <c r="U3" s="34">
        <f t="shared" si="0"/>
        <v>4</v>
      </c>
      <c r="V3" s="34">
        <f t="shared" si="0"/>
        <v>5</v>
      </c>
      <c r="W3" s="34">
        <f t="shared" si="0"/>
        <v>6</v>
      </c>
      <c r="X3" s="34">
        <f t="shared" si="0"/>
        <v>7</v>
      </c>
      <c r="Y3" s="34">
        <f t="shared" si="0"/>
        <v>8</v>
      </c>
      <c r="Z3" s="34">
        <f t="shared" si="0"/>
        <v>9</v>
      </c>
      <c r="AA3" s="34">
        <f t="shared" si="0"/>
        <v>10</v>
      </c>
      <c r="AB3" s="34">
        <f t="shared" si="0"/>
        <v>11</v>
      </c>
      <c r="AC3" s="34">
        <f t="shared" si="0"/>
        <v>12</v>
      </c>
    </row>
    <row r="4" spans="1:29" ht="30.4">
      <c r="A4" s="35" t="s">
        <v>36</v>
      </c>
      <c r="B4" s="4" t="s">
        <v>57</v>
      </c>
      <c r="C4" s="4" t="s">
        <v>58</v>
      </c>
      <c r="D4" s="4" t="s">
        <v>59</v>
      </c>
      <c r="E4" s="4" t="s">
        <v>57</v>
      </c>
      <c r="F4" s="4" t="s">
        <v>177</v>
      </c>
      <c r="G4" s="4" t="s">
        <v>59</v>
      </c>
      <c r="H4" s="4" t="s">
        <v>58</v>
      </c>
      <c r="I4" s="4" t="s">
        <v>178</v>
      </c>
      <c r="J4" s="5" t="s">
        <v>60</v>
      </c>
      <c r="K4" s="5" t="s">
        <v>60</v>
      </c>
      <c r="L4" s="5" t="s">
        <v>179</v>
      </c>
      <c r="M4" s="5"/>
      <c r="N4" s="5"/>
      <c r="O4" s="5"/>
      <c r="P4" s="5" t="s">
        <v>60</v>
      </c>
      <c r="Q4" s="5" t="s">
        <v>60</v>
      </c>
      <c r="R4" s="1848" t="s">
        <v>180</v>
      </c>
      <c r="S4" s="1848"/>
      <c r="T4" s="1848"/>
      <c r="U4" s="1848"/>
      <c r="V4" s="1848"/>
      <c r="W4" s="1848"/>
      <c r="X4" s="1848"/>
      <c r="Y4" s="1848"/>
      <c r="Z4" s="1848"/>
      <c r="AA4" s="1848"/>
      <c r="AB4" s="1848"/>
      <c r="AC4" s="1848"/>
    </row>
    <row r="5" spans="1:29" ht="210" customHeight="1">
      <c r="A5" s="35" t="s">
        <v>38</v>
      </c>
      <c r="B5" s="8"/>
      <c r="C5" s="8"/>
      <c r="D5" s="16"/>
      <c r="E5" s="19" t="s">
        <v>64</v>
      </c>
      <c r="F5" s="8" t="s">
        <v>190</v>
      </c>
      <c r="G5" s="8" t="s">
        <v>191</v>
      </c>
      <c r="H5" s="26" t="s">
        <v>192</v>
      </c>
      <c r="I5" s="8" t="s">
        <v>2026</v>
      </c>
      <c r="J5" s="51" t="s">
        <v>2027</v>
      </c>
      <c r="K5" s="9" t="s">
        <v>195</v>
      </c>
      <c r="L5" s="9" t="s">
        <v>196</v>
      </c>
      <c r="M5" s="9"/>
      <c r="N5" s="9"/>
      <c r="O5" s="9"/>
      <c r="P5" s="9" t="s">
        <v>197</v>
      </c>
      <c r="Q5" s="9" t="s">
        <v>198</v>
      </c>
      <c r="R5" s="1847" t="s">
        <v>199</v>
      </c>
      <c r="S5" s="1847"/>
      <c r="T5" s="1847"/>
      <c r="U5" s="1847"/>
      <c r="V5" s="1847"/>
      <c r="W5" s="1847"/>
      <c r="X5" s="1847"/>
      <c r="Y5" s="1847"/>
      <c r="Z5" s="1847"/>
      <c r="AA5" s="1847"/>
      <c r="AB5" s="1847"/>
      <c r="AC5" s="1847"/>
    </row>
    <row r="6" spans="1:29" ht="60.75">
      <c r="A6" s="38" t="s">
        <v>43</v>
      </c>
      <c r="B6" s="16"/>
      <c r="C6" s="18"/>
      <c r="D6" s="18"/>
      <c r="E6" s="18"/>
      <c r="F6" s="8"/>
      <c r="G6" s="8" t="s">
        <v>204</v>
      </c>
      <c r="H6" s="19"/>
      <c r="I6" s="19" t="s">
        <v>205</v>
      </c>
      <c r="J6" s="13" t="s">
        <v>206</v>
      </c>
      <c r="K6" s="52"/>
      <c r="L6" s="52"/>
      <c r="M6" s="52"/>
      <c r="N6" s="52"/>
      <c r="O6" s="52"/>
      <c r="P6" s="52"/>
      <c r="Q6" s="52"/>
      <c r="R6" s="1478"/>
      <c r="S6" s="1478"/>
      <c r="T6" s="1478"/>
      <c r="U6" s="1478"/>
      <c r="V6" s="1478"/>
      <c r="W6" s="1478"/>
      <c r="X6" s="1478"/>
      <c r="Y6" s="1478"/>
      <c r="Z6" s="1478"/>
      <c r="AA6" s="1478"/>
      <c r="AB6" s="1478"/>
      <c r="AC6" s="1478"/>
    </row>
    <row r="7" spans="1:29" ht="30.4">
      <c r="A7" s="35" t="s">
        <v>266</v>
      </c>
      <c r="B7" s="20"/>
      <c r="C7" s="16" t="s">
        <v>75</v>
      </c>
      <c r="D7" s="16" t="str">
        <f>IFERROR(VLOOKUP(C7,Master!$D$2:$E$50,2,0),"")</f>
        <v>PLNA</v>
      </c>
      <c r="E7" s="16">
        <f>'Profil Risiko'!I7</f>
        <v>1</v>
      </c>
      <c r="F7" s="20" t="s">
        <v>245</v>
      </c>
      <c r="G7" s="214" t="str">
        <f>'Profil Risiko'!N7</f>
        <v xml:space="preserve">P1. Gangguan Pembangkit PLTGU Tanjung Uncang </v>
      </c>
      <c r="H7" s="26" t="s">
        <v>1397</v>
      </c>
      <c r="I7" s="8" t="s">
        <v>2028</v>
      </c>
      <c r="J7" s="213" t="s">
        <v>2029</v>
      </c>
      <c r="K7" s="103"/>
      <c r="L7" s="104"/>
      <c r="M7" s="104"/>
      <c r="N7" s="104"/>
      <c r="O7" s="104"/>
      <c r="P7" s="54" t="s">
        <v>350</v>
      </c>
      <c r="Q7" s="20"/>
      <c r="R7" s="76"/>
      <c r="S7" s="76"/>
      <c r="T7" s="76"/>
      <c r="U7" s="76"/>
      <c r="V7" s="76"/>
      <c r="W7" s="76"/>
      <c r="X7" s="76"/>
      <c r="Y7" s="76"/>
      <c r="Z7" s="76"/>
      <c r="AA7" s="76"/>
      <c r="AB7" s="76"/>
      <c r="AC7" s="76"/>
    </row>
    <row r="8" spans="1:29" ht="30.4">
      <c r="A8" s="35"/>
      <c r="B8" s="20"/>
      <c r="C8" s="16"/>
      <c r="D8" s="16"/>
      <c r="E8" s="16"/>
      <c r="F8" s="20"/>
      <c r="G8" s="214"/>
      <c r="H8" s="26"/>
      <c r="I8" s="8"/>
      <c r="J8" s="51" t="s">
        <v>2030</v>
      </c>
      <c r="K8" s="103" t="s">
        <v>2031</v>
      </c>
      <c r="L8" s="104">
        <f>SUM(M8:O8)</f>
        <v>56026241000</v>
      </c>
      <c r="M8" s="104">
        <v>56026241000</v>
      </c>
      <c r="N8" s="104"/>
      <c r="O8" s="104"/>
      <c r="P8" s="54" t="s">
        <v>1456</v>
      </c>
      <c r="Q8" s="20" t="s">
        <v>2032</v>
      </c>
      <c r="R8" s="76">
        <v>1</v>
      </c>
      <c r="S8" s="76">
        <v>1</v>
      </c>
      <c r="T8" s="76">
        <v>1</v>
      </c>
      <c r="U8" s="76">
        <v>1</v>
      </c>
      <c r="V8" s="76">
        <v>1</v>
      </c>
      <c r="W8" s="76">
        <v>1</v>
      </c>
      <c r="X8" s="76">
        <v>1</v>
      </c>
      <c r="Y8" s="76">
        <v>1</v>
      </c>
      <c r="Z8" s="76">
        <v>1</v>
      </c>
      <c r="AA8" s="76"/>
      <c r="AB8" s="76"/>
      <c r="AC8" s="76"/>
    </row>
    <row r="9" spans="1:29" ht="27.75" customHeight="1">
      <c r="A9" s="35"/>
      <c r="B9" s="20"/>
      <c r="C9" s="16"/>
      <c r="D9" s="16"/>
      <c r="E9" s="16"/>
      <c r="F9" s="20"/>
      <c r="G9" s="214"/>
      <c r="H9" s="26"/>
      <c r="I9" s="8"/>
      <c r="J9" s="51" t="s">
        <v>2033</v>
      </c>
      <c r="K9" s="103" t="s">
        <v>2034</v>
      </c>
      <c r="L9" s="104">
        <f t="shared" ref="L9:L10" si="1">SUM(M9:O9)</f>
        <v>11818722000</v>
      </c>
      <c r="M9" s="104">
        <v>11818722000</v>
      </c>
      <c r="N9" s="104"/>
      <c r="O9" s="104"/>
      <c r="P9" s="54" t="s">
        <v>264</v>
      </c>
      <c r="Q9" s="20" t="s">
        <v>2032</v>
      </c>
      <c r="R9" s="76">
        <v>1</v>
      </c>
      <c r="S9" s="76">
        <v>1</v>
      </c>
      <c r="T9" s="76">
        <v>1</v>
      </c>
      <c r="U9" s="76">
        <v>1</v>
      </c>
      <c r="V9" s="76">
        <v>1</v>
      </c>
      <c r="W9" s="76">
        <v>1</v>
      </c>
      <c r="X9" s="76">
        <v>1</v>
      </c>
      <c r="Y9" s="76">
        <v>1</v>
      </c>
      <c r="Z9" s="76">
        <v>1</v>
      </c>
      <c r="AA9" s="76">
        <v>1</v>
      </c>
      <c r="AB9" s="76">
        <v>1</v>
      </c>
      <c r="AC9" s="76"/>
    </row>
    <row r="10" spans="1:29" ht="20.25">
      <c r="A10" s="35"/>
      <c r="B10" s="20"/>
      <c r="C10" s="16"/>
      <c r="D10" s="16"/>
      <c r="E10" s="16"/>
      <c r="F10" s="20"/>
      <c r="G10" s="214"/>
      <c r="H10" s="26"/>
      <c r="I10" s="8"/>
      <c r="J10" s="51" t="s">
        <v>2035</v>
      </c>
      <c r="K10" s="103" t="s">
        <v>2036</v>
      </c>
      <c r="L10" s="104">
        <f t="shared" si="1"/>
        <v>4412100000</v>
      </c>
      <c r="M10" s="104">
        <v>4412100000</v>
      </c>
      <c r="N10" s="104"/>
      <c r="O10" s="104"/>
      <c r="P10" s="54" t="s">
        <v>264</v>
      </c>
      <c r="Q10" s="20" t="s">
        <v>2032</v>
      </c>
      <c r="R10" s="76">
        <v>1</v>
      </c>
      <c r="S10" s="76">
        <v>1</v>
      </c>
      <c r="T10" s="76">
        <v>1</v>
      </c>
      <c r="U10" s="76">
        <v>1</v>
      </c>
      <c r="V10" s="76">
        <v>1</v>
      </c>
      <c r="W10" s="76">
        <v>1</v>
      </c>
      <c r="X10" s="76"/>
      <c r="Y10" s="76"/>
      <c r="Z10" s="76"/>
      <c r="AA10" s="76"/>
      <c r="AB10" s="76"/>
      <c r="AC10" s="76"/>
    </row>
    <row r="11" spans="1:29" ht="30.4">
      <c r="A11" s="35"/>
      <c r="B11" s="20"/>
      <c r="C11" s="16"/>
      <c r="D11" s="16"/>
      <c r="E11" s="16"/>
      <c r="F11" s="20"/>
      <c r="G11" s="214"/>
      <c r="H11" s="26"/>
      <c r="I11" s="8"/>
      <c r="J11" s="51" t="s">
        <v>2037</v>
      </c>
      <c r="K11" s="103" t="s">
        <v>2038</v>
      </c>
      <c r="L11" s="104">
        <v>96278092000</v>
      </c>
      <c r="M11" s="104"/>
      <c r="N11" s="104">
        <v>96278092000</v>
      </c>
      <c r="O11" s="104"/>
      <c r="P11" s="54" t="s">
        <v>264</v>
      </c>
      <c r="Q11" s="20" t="s">
        <v>2032</v>
      </c>
      <c r="R11" s="76">
        <v>1</v>
      </c>
      <c r="S11" s="76">
        <v>1</v>
      </c>
      <c r="T11" s="76">
        <v>1</v>
      </c>
      <c r="U11" s="76">
        <v>1</v>
      </c>
      <c r="V11" s="76">
        <v>1</v>
      </c>
      <c r="W11" s="76">
        <v>1</v>
      </c>
      <c r="X11" s="76">
        <v>1</v>
      </c>
      <c r="Y11" s="76">
        <v>1</v>
      </c>
      <c r="Z11" s="76">
        <v>1</v>
      </c>
      <c r="AA11" s="76">
        <v>1</v>
      </c>
      <c r="AB11" s="76">
        <v>1</v>
      </c>
      <c r="AC11" s="76">
        <v>1</v>
      </c>
    </row>
    <row r="12" spans="1:29" ht="20.25">
      <c r="A12" s="35"/>
      <c r="B12" s="20"/>
      <c r="C12" s="16"/>
      <c r="D12" s="16"/>
      <c r="E12" s="16"/>
      <c r="F12" s="20" t="str">
        <f>'Profil Risiko'!L8</f>
        <v>b</v>
      </c>
      <c r="G12" s="214" t="str">
        <f>'Profil Risiko'!N8</f>
        <v>P2. Gangguan Pembangkit PLTMG Panaran</v>
      </c>
      <c r="H12" s="26"/>
      <c r="I12" s="8" t="s">
        <v>2028</v>
      </c>
      <c r="J12" s="213" t="s">
        <v>2039</v>
      </c>
      <c r="K12" s="103"/>
      <c r="L12" s="104"/>
      <c r="M12" s="104"/>
      <c r="N12" s="104"/>
      <c r="O12" s="104"/>
      <c r="P12" s="54"/>
      <c r="Q12" s="20"/>
      <c r="R12" s="76"/>
      <c r="S12" s="76"/>
      <c r="T12" s="76"/>
      <c r="U12" s="76"/>
      <c r="V12" s="76"/>
      <c r="W12" s="76"/>
      <c r="X12" s="76"/>
      <c r="Y12" s="76"/>
      <c r="Z12" s="76"/>
      <c r="AA12" s="76"/>
      <c r="AB12" s="76"/>
      <c r="AC12" s="76"/>
    </row>
    <row r="13" spans="1:29" ht="30.4">
      <c r="A13" s="35"/>
      <c r="B13" s="20"/>
      <c r="C13" s="16"/>
      <c r="D13" s="16"/>
      <c r="E13" s="16"/>
      <c r="F13" s="20"/>
      <c r="G13" s="214"/>
      <c r="H13" s="26"/>
      <c r="I13" s="8"/>
      <c r="J13" s="51" t="s">
        <v>2040</v>
      </c>
      <c r="K13" s="195" t="s">
        <v>2041</v>
      </c>
      <c r="L13" s="104">
        <v>17069564000</v>
      </c>
      <c r="M13" s="104"/>
      <c r="N13" s="104"/>
      <c r="O13" s="104"/>
      <c r="P13" s="54" t="s">
        <v>264</v>
      </c>
      <c r="Q13" s="20" t="s">
        <v>2032</v>
      </c>
      <c r="R13" s="76"/>
      <c r="S13" s="76"/>
      <c r="T13" s="76"/>
      <c r="U13" s="76">
        <v>1</v>
      </c>
      <c r="V13" s="76">
        <v>1</v>
      </c>
      <c r="W13" s="76">
        <v>1</v>
      </c>
      <c r="X13" s="76">
        <v>1</v>
      </c>
      <c r="Y13" s="76">
        <v>1</v>
      </c>
      <c r="Z13" s="76">
        <v>1</v>
      </c>
      <c r="AA13" s="76">
        <v>1</v>
      </c>
      <c r="AB13" s="76">
        <v>1</v>
      </c>
      <c r="AC13" s="76">
        <v>1</v>
      </c>
    </row>
    <row r="14" spans="1:29" ht="30.4">
      <c r="A14" s="35"/>
      <c r="B14" s="20"/>
      <c r="C14" s="16"/>
      <c r="D14" s="16"/>
      <c r="E14" s="16"/>
      <c r="F14" s="20"/>
      <c r="G14" s="214"/>
      <c r="H14" s="26"/>
      <c r="I14" s="8"/>
      <c r="J14" s="51" t="s">
        <v>2042</v>
      </c>
      <c r="K14" s="195" t="s">
        <v>2043</v>
      </c>
      <c r="L14" s="104">
        <v>2526494000</v>
      </c>
      <c r="M14" s="104"/>
      <c r="N14" s="104"/>
      <c r="O14" s="104"/>
      <c r="P14" s="54" t="s">
        <v>264</v>
      </c>
      <c r="Q14" s="20" t="s">
        <v>2032</v>
      </c>
      <c r="R14" s="76">
        <v>1</v>
      </c>
      <c r="S14" s="76">
        <v>1</v>
      </c>
      <c r="T14" s="76">
        <v>1</v>
      </c>
      <c r="U14" s="76">
        <v>1</v>
      </c>
      <c r="V14" s="76"/>
      <c r="W14" s="76"/>
      <c r="X14" s="76"/>
      <c r="Y14" s="76"/>
      <c r="Z14" s="76"/>
      <c r="AA14" s="76"/>
      <c r="AB14" s="76"/>
      <c r="AC14" s="76"/>
    </row>
    <row r="15" spans="1:29" ht="20.25">
      <c r="A15" s="35"/>
      <c r="B15" s="20"/>
      <c r="C15" s="16"/>
      <c r="D15" s="16"/>
      <c r="E15" s="16"/>
      <c r="F15" s="20" t="str">
        <f>'Profil Risiko'!L9</f>
        <v>c</v>
      </c>
      <c r="G15" s="214" t="str">
        <f>'Profil Risiko'!N9</f>
        <v>P3. Gangguan Gardu Induk</v>
      </c>
      <c r="H15" s="26"/>
      <c r="I15" s="8" t="s">
        <v>2028</v>
      </c>
      <c r="J15" s="213" t="s">
        <v>2044</v>
      </c>
      <c r="K15" s="103"/>
      <c r="L15" s="104"/>
      <c r="M15" s="104"/>
      <c r="N15" s="104"/>
      <c r="O15" s="104"/>
      <c r="P15" s="54"/>
      <c r="Q15" s="20"/>
      <c r="R15" s="76"/>
      <c r="S15" s="76"/>
      <c r="T15" s="76"/>
      <c r="U15" s="76"/>
      <c r="V15" s="76"/>
      <c r="W15" s="76"/>
      <c r="X15" s="76"/>
      <c r="Y15" s="76"/>
      <c r="Z15" s="76"/>
      <c r="AA15" s="76"/>
      <c r="AB15" s="76"/>
      <c r="AC15" s="76"/>
    </row>
    <row r="16" spans="1:29" ht="20.25">
      <c r="A16" s="35"/>
      <c r="B16" s="20"/>
      <c r="C16" s="16"/>
      <c r="D16" s="16"/>
      <c r="E16" s="16"/>
      <c r="F16" s="20"/>
      <c r="G16" s="214"/>
      <c r="H16" s="26"/>
      <c r="I16" s="8"/>
      <c r="J16" s="51" t="s">
        <v>2045</v>
      </c>
      <c r="K16" s="103"/>
      <c r="L16" s="104"/>
      <c r="M16" s="104"/>
      <c r="N16" s="104"/>
      <c r="O16" s="104"/>
      <c r="P16" s="54"/>
      <c r="Q16" s="20" t="s">
        <v>2032</v>
      </c>
      <c r="R16" s="76"/>
      <c r="S16" s="76"/>
      <c r="T16" s="76"/>
      <c r="U16" s="76"/>
      <c r="V16" s="76"/>
      <c r="W16" s="76"/>
      <c r="X16" s="76"/>
      <c r="Y16" s="76"/>
      <c r="Z16" s="76"/>
      <c r="AA16" s="76"/>
      <c r="AB16" s="76"/>
      <c r="AC16" s="76"/>
    </row>
    <row r="17" spans="1:29" ht="20.25">
      <c r="A17" s="35"/>
      <c r="B17" s="20"/>
      <c r="C17" s="16"/>
      <c r="D17" s="16"/>
      <c r="E17" s="16"/>
      <c r="F17" s="20"/>
      <c r="G17" s="214"/>
      <c r="H17" s="26"/>
      <c r="I17" s="8"/>
      <c r="J17" s="51" t="s">
        <v>2046</v>
      </c>
      <c r="K17" s="103"/>
      <c r="L17" s="104"/>
      <c r="M17" s="104"/>
      <c r="N17" s="104"/>
      <c r="O17" s="104"/>
      <c r="P17" s="54"/>
      <c r="Q17" s="20" t="s">
        <v>2032</v>
      </c>
      <c r="R17" s="76"/>
      <c r="S17" s="76"/>
      <c r="T17" s="76"/>
      <c r="U17" s="76"/>
      <c r="V17" s="76"/>
      <c r="W17" s="76"/>
      <c r="X17" s="76"/>
      <c r="Y17" s="76"/>
      <c r="Z17" s="76"/>
      <c r="AA17" s="76"/>
      <c r="AB17" s="76"/>
      <c r="AC17" s="76"/>
    </row>
    <row r="18" spans="1:29" ht="20.25">
      <c r="A18" s="35"/>
      <c r="B18" s="20"/>
      <c r="C18" s="16"/>
      <c r="D18" s="16"/>
      <c r="E18" s="16"/>
      <c r="F18" s="20"/>
      <c r="G18" s="214"/>
      <c r="H18" s="26"/>
      <c r="I18" s="8"/>
      <c r="J18" s="51" t="s">
        <v>2047</v>
      </c>
      <c r="K18" s="103"/>
      <c r="L18" s="104"/>
      <c r="M18" s="104"/>
      <c r="N18" s="104"/>
      <c r="O18" s="104"/>
      <c r="P18" s="54"/>
      <c r="Q18" s="20" t="s">
        <v>2032</v>
      </c>
      <c r="R18" s="76"/>
      <c r="S18" s="76"/>
      <c r="T18" s="76"/>
      <c r="U18" s="76"/>
      <c r="V18" s="76"/>
      <c r="W18" s="76"/>
      <c r="X18" s="76"/>
      <c r="Y18" s="76"/>
      <c r="Z18" s="76"/>
      <c r="AA18" s="76"/>
      <c r="AB18" s="76"/>
      <c r="AC18" s="76"/>
    </row>
    <row r="19" spans="1:29" ht="20.25">
      <c r="A19" s="35"/>
      <c r="B19" s="20"/>
      <c r="C19" s="16"/>
      <c r="D19" s="16"/>
      <c r="E19" s="16"/>
      <c r="F19" s="20"/>
      <c r="G19" s="214"/>
      <c r="H19" s="26"/>
      <c r="I19" s="8"/>
      <c r="J19" s="51" t="s">
        <v>2048</v>
      </c>
      <c r="K19" s="103"/>
      <c r="L19" s="104"/>
      <c r="M19" s="104"/>
      <c r="N19" s="104"/>
      <c r="O19" s="104"/>
      <c r="P19" s="54"/>
      <c r="Q19" s="20" t="s">
        <v>2032</v>
      </c>
      <c r="R19" s="76"/>
      <c r="S19" s="76"/>
      <c r="T19" s="76"/>
      <c r="U19" s="76"/>
      <c r="V19" s="76"/>
      <c r="W19" s="76"/>
      <c r="X19" s="76"/>
      <c r="Y19" s="76"/>
      <c r="Z19" s="76"/>
      <c r="AA19" s="76"/>
      <c r="AB19" s="76"/>
      <c r="AC19" s="76"/>
    </row>
    <row r="20" spans="1:29" ht="20.25">
      <c r="A20" s="35"/>
      <c r="B20" s="20"/>
      <c r="C20" s="16"/>
      <c r="D20" s="16"/>
      <c r="E20" s="16"/>
      <c r="F20" s="20"/>
      <c r="G20" s="214"/>
      <c r="H20" s="26"/>
      <c r="I20" s="8"/>
      <c r="J20" s="51" t="s">
        <v>2049</v>
      </c>
      <c r="K20" s="103"/>
      <c r="L20" s="104"/>
      <c r="M20" s="104"/>
      <c r="N20" s="104"/>
      <c r="O20" s="104"/>
      <c r="P20" s="54"/>
      <c r="Q20" s="20" t="s">
        <v>2050</v>
      </c>
      <c r="R20" s="76"/>
      <c r="S20" s="76"/>
      <c r="T20" s="76"/>
      <c r="U20" s="76"/>
      <c r="V20" s="76"/>
      <c r="W20" s="76"/>
      <c r="X20" s="76"/>
      <c r="Y20" s="76"/>
      <c r="Z20" s="76"/>
      <c r="AA20" s="76"/>
      <c r="AB20" s="76"/>
      <c r="AC20" s="76"/>
    </row>
    <row r="21" spans="1:29" ht="20.25">
      <c r="A21" s="35"/>
      <c r="B21" s="20"/>
      <c r="C21" s="16"/>
      <c r="D21" s="16"/>
      <c r="E21" s="16"/>
      <c r="F21" s="20"/>
      <c r="G21" s="214"/>
      <c r="H21" s="26"/>
      <c r="I21" s="8"/>
      <c r="J21" s="51" t="s">
        <v>2051</v>
      </c>
      <c r="K21" s="103"/>
      <c r="L21" s="104"/>
      <c r="M21" s="104"/>
      <c r="N21" s="104"/>
      <c r="O21" s="104"/>
      <c r="P21" s="54"/>
      <c r="Q21" s="20" t="s">
        <v>2032</v>
      </c>
      <c r="R21" s="76"/>
      <c r="S21" s="76"/>
      <c r="T21" s="76"/>
      <c r="U21" s="76"/>
      <c r="V21" s="76"/>
      <c r="W21" s="76"/>
      <c r="X21" s="76"/>
      <c r="Y21" s="76"/>
      <c r="Z21" s="76"/>
      <c r="AA21" s="76"/>
      <c r="AB21" s="76"/>
      <c r="AC21" s="76"/>
    </row>
    <row r="22" spans="1:29" ht="20.25">
      <c r="A22" s="35"/>
      <c r="B22" s="20"/>
      <c r="C22" s="16"/>
      <c r="D22" s="16"/>
      <c r="E22" s="16"/>
      <c r="F22" s="20"/>
      <c r="G22" s="214"/>
      <c r="H22" s="26"/>
      <c r="I22" s="8"/>
      <c r="J22" s="51" t="s">
        <v>2052</v>
      </c>
      <c r="K22" s="103"/>
      <c r="L22" s="104"/>
      <c r="M22" s="104"/>
      <c r="N22" s="104"/>
      <c r="O22" s="104"/>
      <c r="P22" s="54"/>
      <c r="Q22" s="20" t="s">
        <v>2032</v>
      </c>
      <c r="R22" s="76"/>
      <c r="S22" s="76"/>
      <c r="T22" s="76"/>
      <c r="U22" s="76"/>
      <c r="V22" s="76"/>
      <c r="W22" s="76"/>
      <c r="X22" s="76"/>
      <c r="Y22" s="76"/>
      <c r="Z22" s="76"/>
      <c r="AA22" s="76"/>
      <c r="AB22" s="76"/>
      <c r="AC22" s="76"/>
    </row>
    <row r="23" spans="1:29" ht="20.25">
      <c r="A23" s="35"/>
      <c r="B23" s="20"/>
      <c r="C23" s="16"/>
      <c r="D23" s="16"/>
      <c r="E23" s="16"/>
      <c r="F23" s="20" t="str">
        <f>'Profil Risiko'!L10</f>
        <v>d</v>
      </c>
      <c r="G23" s="53" t="str">
        <f>'Profil Risiko'!N10</f>
        <v>P4. Sistem Proteksi Gardu Induk tidak efektif</v>
      </c>
      <c r="H23" s="26"/>
      <c r="I23" s="8"/>
      <c r="J23" s="213" t="s">
        <v>2053</v>
      </c>
      <c r="K23" s="103"/>
      <c r="L23" s="104"/>
      <c r="M23" s="104"/>
      <c r="N23" s="104"/>
      <c r="O23" s="104"/>
      <c r="P23" s="54"/>
      <c r="Q23" s="20"/>
      <c r="R23" s="76"/>
      <c r="S23" s="76"/>
      <c r="T23" s="76"/>
      <c r="U23" s="76"/>
      <c r="V23" s="76"/>
      <c r="W23" s="76"/>
      <c r="X23" s="76"/>
      <c r="Y23" s="76"/>
      <c r="Z23" s="76"/>
      <c r="AA23" s="76"/>
      <c r="AB23" s="76"/>
      <c r="AC23" s="76"/>
    </row>
    <row r="24" spans="1:29" ht="20.25">
      <c r="A24" s="35"/>
      <c r="B24" s="20"/>
      <c r="C24" s="16"/>
      <c r="D24" s="16"/>
      <c r="E24" s="16"/>
      <c r="F24" s="20"/>
      <c r="G24" s="214"/>
      <c r="H24" s="26"/>
      <c r="I24" s="8"/>
      <c r="J24" s="51" t="s">
        <v>2054</v>
      </c>
      <c r="K24" s="103"/>
      <c r="L24" s="104"/>
      <c r="M24" s="104"/>
      <c r="N24" s="104"/>
      <c r="O24" s="104"/>
      <c r="P24" s="54"/>
      <c r="Q24" s="20"/>
      <c r="R24" s="76"/>
      <c r="S24" s="76"/>
      <c r="T24" s="76"/>
      <c r="U24" s="76"/>
      <c r="V24" s="76"/>
      <c r="W24" s="76"/>
      <c r="X24" s="76"/>
      <c r="Y24" s="76"/>
      <c r="Z24" s="76"/>
      <c r="AA24" s="76"/>
      <c r="AB24" s="76"/>
      <c r="AC24" s="76"/>
    </row>
    <row r="25" spans="1:29">
      <c r="A25" s="35"/>
      <c r="B25" s="20"/>
      <c r="C25" s="16"/>
      <c r="D25" s="16"/>
      <c r="E25" s="16"/>
      <c r="F25" s="20"/>
      <c r="G25" s="214"/>
      <c r="H25" s="26"/>
      <c r="I25" s="8"/>
      <c r="J25" s="51" t="s">
        <v>2055</v>
      </c>
      <c r="K25" s="103"/>
      <c r="L25" s="104"/>
      <c r="M25" s="104"/>
      <c r="N25" s="104"/>
      <c r="O25" s="104"/>
      <c r="P25" s="54"/>
      <c r="Q25" s="20"/>
      <c r="R25" s="76"/>
      <c r="S25" s="76"/>
      <c r="T25" s="76"/>
      <c r="U25" s="76"/>
      <c r="V25" s="76"/>
      <c r="W25" s="76"/>
      <c r="X25" s="76"/>
      <c r="Y25" s="76"/>
      <c r="Z25" s="76"/>
      <c r="AA25" s="76"/>
      <c r="AB25" s="76"/>
      <c r="AC25" s="76"/>
    </row>
    <row r="26" spans="1:29">
      <c r="A26" s="35"/>
      <c r="B26" s="20"/>
      <c r="C26" s="16"/>
      <c r="D26" s="16"/>
      <c r="E26" s="16"/>
      <c r="F26" s="20"/>
      <c r="G26" s="214"/>
      <c r="H26" s="26"/>
      <c r="I26" s="8"/>
      <c r="J26" s="51" t="s">
        <v>2056</v>
      </c>
      <c r="K26" s="103"/>
      <c r="L26" s="104"/>
      <c r="M26" s="104"/>
      <c r="N26" s="104"/>
      <c r="O26" s="104"/>
      <c r="P26" s="54"/>
      <c r="Q26" s="20"/>
      <c r="R26" s="76"/>
      <c r="S26" s="76"/>
      <c r="T26" s="76"/>
      <c r="U26" s="76"/>
      <c r="V26" s="76"/>
      <c r="W26" s="76"/>
      <c r="X26" s="76"/>
      <c r="Y26" s="76"/>
      <c r="Z26" s="76"/>
      <c r="AA26" s="76"/>
      <c r="AB26" s="76"/>
      <c r="AC26" s="76"/>
    </row>
    <row r="27" spans="1:29">
      <c r="A27" s="35"/>
      <c r="B27" s="20"/>
      <c r="C27" s="16"/>
      <c r="D27" s="16"/>
      <c r="E27" s="16"/>
      <c r="F27" s="20"/>
      <c r="G27" s="214"/>
      <c r="H27" s="26"/>
      <c r="I27" s="8"/>
      <c r="J27" s="51" t="s">
        <v>2057</v>
      </c>
      <c r="K27" s="103"/>
      <c r="L27" s="104"/>
      <c r="M27" s="104"/>
      <c r="N27" s="104"/>
      <c r="O27" s="104"/>
      <c r="P27" s="54"/>
      <c r="Q27" s="20"/>
      <c r="R27" s="76"/>
      <c r="S27" s="76"/>
      <c r="T27" s="76"/>
      <c r="U27" s="76"/>
      <c r="V27" s="76"/>
      <c r="W27" s="76"/>
      <c r="X27" s="76"/>
      <c r="Y27" s="76"/>
      <c r="Z27" s="76"/>
      <c r="AA27" s="76"/>
      <c r="AB27" s="76"/>
      <c r="AC27" s="76"/>
    </row>
    <row r="28" spans="1:29">
      <c r="A28" s="35"/>
      <c r="B28" s="20"/>
      <c r="C28" s="16"/>
      <c r="D28" s="16"/>
      <c r="E28" s="16"/>
      <c r="F28" s="20"/>
      <c r="G28" s="214"/>
      <c r="H28" s="26"/>
      <c r="I28" s="8"/>
      <c r="J28" s="51" t="s">
        <v>2058</v>
      </c>
      <c r="K28" s="103"/>
      <c r="L28" s="104"/>
      <c r="M28" s="104"/>
      <c r="N28" s="104"/>
      <c r="O28" s="104"/>
      <c r="P28" s="54"/>
      <c r="Q28" s="20"/>
      <c r="R28" s="76"/>
      <c r="S28" s="76"/>
      <c r="T28" s="76"/>
      <c r="U28" s="76"/>
      <c r="V28" s="76"/>
      <c r="W28" s="76"/>
      <c r="X28" s="76"/>
      <c r="Y28" s="76"/>
      <c r="Z28" s="76"/>
      <c r="AA28" s="76"/>
      <c r="AB28" s="76"/>
      <c r="AC28" s="76"/>
    </row>
    <row r="29" spans="1:29" ht="20.25">
      <c r="A29" s="35"/>
      <c r="B29" s="20"/>
      <c r="C29" s="16"/>
      <c r="D29" s="16"/>
      <c r="E29" s="16"/>
      <c r="F29" s="20"/>
      <c r="G29" s="214"/>
      <c r="H29" s="26"/>
      <c r="I29" s="8"/>
      <c r="J29" s="51" t="s">
        <v>2059</v>
      </c>
      <c r="K29" s="103"/>
      <c r="L29" s="104"/>
      <c r="M29" s="104"/>
      <c r="N29" s="104"/>
      <c r="O29" s="104"/>
      <c r="P29" s="54"/>
      <c r="Q29" s="20"/>
      <c r="R29" s="76"/>
      <c r="S29" s="76"/>
      <c r="T29" s="76"/>
      <c r="U29" s="76"/>
      <c r="V29" s="76"/>
      <c r="W29" s="76"/>
      <c r="X29" s="76"/>
      <c r="Y29" s="76"/>
      <c r="Z29" s="76"/>
      <c r="AA29" s="76"/>
      <c r="AB29" s="76"/>
      <c r="AC29" s="76"/>
    </row>
    <row r="30" spans="1:29">
      <c r="A30" s="35"/>
      <c r="B30" s="20"/>
      <c r="C30" s="16"/>
      <c r="D30" s="16"/>
      <c r="E30" s="16"/>
      <c r="F30" s="20"/>
      <c r="G30" s="214"/>
      <c r="H30" s="26"/>
      <c r="I30" s="8"/>
      <c r="J30" s="51" t="s">
        <v>2060</v>
      </c>
      <c r="K30" s="103"/>
      <c r="L30" s="104"/>
      <c r="M30" s="104"/>
      <c r="N30" s="104"/>
      <c r="O30" s="104"/>
      <c r="P30" s="54"/>
      <c r="Q30" s="20"/>
      <c r="R30" s="76"/>
      <c r="S30" s="76"/>
      <c r="T30" s="76"/>
      <c r="U30" s="76"/>
      <c r="V30" s="76"/>
      <c r="W30" s="76"/>
      <c r="X30" s="76"/>
      <c r="Y30" s="76"/>
      <c r="Z30" s="76"/>
      <c r="AA30" s="76"/>
      <c r="AB30" s="76"/>
      <c r="AC30" s="76"/>
    </row>
    <row r="31" spans="1:29">
      <c r="A31" s="35"/>
      <c r="B31" s="20"/>
      <c r="C31" s="16"/>
      <c r="D31" s="16"/>
      <c r="E31" s="16"/>
      <c r="F31" s="20"/>
      <c r="G31" s="214"/>
      <c r="H31" s="26"/>
      <c r="I31" s="8"/>
      <c r="J31" s="51" t="s">
        <v>2061</v>
      </c>
      <c r="K31" s="103"/>
      <c r="L31" s="104"/>
      <c r="M31" s="104"/>
      <c r="N31" s="104"/>
      <c r="O31" s="104"/>
      <c r="P31" s="54"/>
      <c r="Q31" s="20"/>
      <c r="R31" s="76"/>
      <c r="S31" s="76"/>
      <c r="T31" s="76"/>
      <c r="U31" s="76"/>
      <c r="V31" s="76"/>
      <c r="W31" s="76"/>
      <c r="X31" s="76"/>
      <c r="Y31" s="76"/>
      <c r="Z31" s="76"/>
      <c r="AA31" s="76"/>
      <c r="AB31" s="76"/>
      <c r="AC31" s="76"/>
    </row>
    <row r="32" spans="1:29">
      <c r="A32" s="35"/>
      <c r="B32" s="20"/>
      <c r="C32" s="16"/>
      <c r="D32" s="16"/>
      <c r="E32" s="16"/>
      <c r="F32" s="20"/>
      <c r="G32" s="214"/>
      <c r="H32" s="26"/>
      <c r="I32" s="8"/>
      <c r="J32" s="51" t="s">
        <v>2062</v>
      </c>
      <c r="K32" s="103"/>
      <c r="L32" s="104"/>
      <c r="M32" s="104"/>
      <c r="N32" s="104"/>
      <c r="O32" s="104"/>
      <c r="P32" s="54"/>
      <c r="Q32" s="20"/>
      <c r="R32" s="76"/>
      <c r="S32" s="76"/>
      <c r="T32" s="76"/>
      <c r="U32" s="76"/>
      <c r="V32" s="76"/>
      <c r="W32" s="76"/>
      <c r="X32" s="76"/>
      <c r="Y32" s="76"/>
      <c r="Z32" s="76"/>
      <c r="AA32" s="76"/>
      <c r="AB32" s="76"/>
      <c r="AC32" s="76"/>
    </row>
    <row r="33" spans="1:29" ht="20.25">
      <c r="A33" s="35"/>
      <c r="B33" s="20"/>
      <c r="C33" s="16"/>
      <c r="D33" s="16"/>
      <c r="E33" s="16"/>
      <c r="F33" s="20"/>
      <c r="G33" s="214"/>
      <c r="H33" s="26"/>
      <c r="I33" s="8"/>
      <c r="J33" s="51" t="s">
        <v>2063</v>
      </c>
      <c r="K33" s="103"/>
      <c r="L33" s="104"/>
      <c r="M33" s="104"/>
      <c r="N33" s="104"/>
      <c r="O33" s="104"/>
      <c r="P33" s="54"/>
      <c r="Q33" s="20"/>
      <c r="R33" s="76"/>
      <c r="S33" s="76"/>
      <c r="T33" s="76"/>
      <c r="U33" s="76"/>
      <c r="V33" s="76"/>
      <c r="W33" s="76"/>
      <c r="X33" s="76"/>
      <c r="Y33" s="76"/>
      <c r="Z33" s="76"/>
      <c r="AA33" s="76"/>
      <c r="AB33" s="76"/>
      <c r="AC33" s="76"/>
    </row>
    <row r="34" spans="1:29" ht="20.25">
      <c r="A34" s="35"/>
      <c r="B34" s="20"/>
      <c r="C34" s="16"/>
      <c r="D34" s="16"/>
      <c r="E34" s="16"/>
      <c r="F34" s="20" t="str">
        <f>'Profil Risiko'!L11</f>
        <v>e</v>
      </c>
      <c r="G34" s="214" t="str">
        <f>'Profil Risiko'!N11</f>
        <v>P5. Manajemen Pengelolaan Gardu Induk tidak efektif</v>
      </c>
      <c r="H34" s="26"/>
      <c r="I34" s="8"/>
      <c r="J34" s="213" t="s">
        <v>2064</v>
      </c>
      <c r="K34" s="103"/>
      <c r="L34" s="104"/>
      <c r="M34" s="104"/>
      <c r="N34" s="104"/>
      <c r="O34" s="104"/>
      <c r="P34" s="54"/>
      <c r="Q34" s="20"/>
      <c r="R34" s="76"/>
      <c r="S34" s="76"/>
      <c r="T34" s="76"/>
      <c r="U34" s="76"/>
      <c r="V34" s="76"/>
      <c r="W34" s="76"/>
      <c r="X34" s="76"/>
      <c r="Y34" s="76"/>
      <c r="Z34" s="76"/>
      <c r="AA34" s="76"/>
      <c r="AB34" s="76"/>
      <c r="AC34" s="76"/>
    </row>
    <row r="35" spans="1:29" ht="20.25">
      <c r="A35" s="35"/>
      <c r="B35" s="20"/>
      <c r="C35" s="16"/>
      <c r="D35" s="16"/>
      <c r="E35" s="16"/>
      <c r="F35" s="20"/>
      <c r="G35" s="214"/>
      <c r="H35" s="26"/>
      <c r="I35" s="8"/>
      <c r="J35" s="51" t="s">
        <v>2065</v>
      </c>
      <c r="K35" s="103"/>
      <c r="L35" s="104"/>
      <c r="M35" s="104"/>
      <c r="N35" s="104"/>
      <c r="O35" s="104"/>
      <c r="P35" s="54"/>
      <c r="Q35" s="20"/>
      <c r="R35" s="76"/>
      <c r="S35" s="76"/>
      <c r="T35" s="76"/>
      <c r="U35" s="76"/>
      <c r="V35" s="76"/>
      <c r="W35" s="76"/>
      <c r="X35" s="76"/>
      <c r="Y35" s="76"/>
      <c r="Z35" s="76"/>
      <c r="AA35" s="76"/>
      <c r="AB35" s="76"/>
      <c r="AC35" s="76"/>
    </row>
    <row r="36" spans="1:29" ht="20.25">
      <c r="A36" s="35"/>
      <c r="B36" s="20"/>
      <c r="C36" s="16"/>
      <c r="D36" s="16"/>
      <c r="E36" s="16"/>
      <c r="F36" s="20" t="str">
        <f>'Profil Risiko'!L12</f>
        <v>f</v>
      </c>
      <c r="G36" s="214" t="str">
        <f>'Profil Risiko'!N12</f>
        <v>P6. Overload pada Sistem Transmisi Batam</v>
      </c>
      <c r="H36" s="26"/>
      <c r="I36" s="8"/>
      <c r="J36" s="213" t="s">
        <v>2066</v>
      </c>
      <c r="K36" s="103"/>
      <c r="L36" s="104"/>
      <c r="M36" s="104"/>
      <c r="N36" s="104"/>
      <c r="O36" s="104"/>
      <c r="P36" s="54"/>
      <c r="Q36" s="20"/>
      <c r="R36" s="76"/>
      <c r="S36" s="76"/>
      <c r="T36" s="76"/>
      <c r="U36" s="76"/>
      <c r="V36" s="76"/>
      <c r="W36" s="76"/>
      <c r="X36" s="76"/>
      <c r="Y36" s="76"/>
      <c r="Z36" s="76"/>
      <c r="AA36" s="76"/>
      <c r="AB36" s="76"/>
      <c r="AC36" s="76"/>
    </row>
    <row r="37" spans="1:29">
      <c r="A37" s="35"/>
      <c r="B37" s="20"/>
      <c r="C37" s="16"/>
      <c r="D37" s="16"/>
      <c r="E37" s="16"/>
      <c r="F37" s="20"/>
      <c r="G37" s="214"/>
      <c r="H37" s="26"/>
      <c r="I37" s="8"/>
      <c r="J37" s="51" t="s">
        <v>2067</v>
      </c>
      <c r="K37" s="103"/>
      <c r="L37" s="104"/>
      <c r="M37" s="104"/>
      <c r="N37" s="104"/>
      <c r="O37" s="104"/>
      <c r="P37" s="54"/>
      <c r="Q37" s="20"/>
      <c r="R37" s="76"/>
      <c r="S37" s="76"/>
      <c r="T37" s="76"/>
      <c r="U37" s="76"/>
      <c r="V37" s="76"/>
      <c r="W37" s="76"/>
      <c r="X37" s="76"/>
      <c r="Y37" s="76"/>
      <c r="Z37" s="76"/>
      <c r="AA37" s="76"/>
      <c r="AB37" s="76"/>
      <c r="AC37" s="76"/>
    </row>
    <row r="38" spans="1:29" ht="20.25">
      <c r="A38" s="35"/>
      <c r="B38" s="20"/>
      <c r="C38" s="16"/>
      <c r="D38" s="16"/>
      <c r="E38" s="16"/>
      <c r="F38" s="20"/>
      <c r="G38" s="214"/>
      <c r="H38" s="26"/>
      <c r="I38" s="8"/>
      <c r="J38" s="51" t="s">
        <v>2068</v>
      </c>
      <c r="K38" s="103"/>
      <c r="L38" s="104"/>
      <c r="M38" s="104"/>
      <c r="N38" s="104"/>
      <c r="O38" s="104"/>
      <c r="P38" s="54"/>
      <c r="Q38" s="20"/>
      <c r="R38" s="76"/>
      <c r="S38" s="76"/>
      <c r="T38" s="76"/>
      <c r="U38" s="76"/>
      <c r="V38" s="76"/>
      <c r="W38" s="76"/>
      <c r="X38" s="76"/>
      <c r="Y38" s="76"/>
      <c r="Z38" s="76"/>
      <c r="AA38" s="76"/>
      <c r="AB38" s="76"/>
      <c r="AC38" s="76"/>
    </row>
    <row r="39" spans="1:29">
      <c r="A39" s="35"/>
      <c r="B39" s="20"/>
      <c r="C39" s="16"/>
      <c r="D39" s="16"/>
      <c r="E39" s="16"/>
      <c r="F39" s="20"/>
      <c r="G39" s="214"/>
      <c r="H39" s="26"/>
      <c r="I39" s="8"/>
      <c r="J39" s="51" t="s">
        <v>2069</v>
      </c>
      <c r="K39" s="103"/>
      <c r="L39" s="104"/>
      <c r="M39" s="104"/>
      <c r="N39" s="104"/>
      <c r="O39" s="104"/>
      <c r="P39" s="54"/>
      <c r="Q39" s="20"/>
      <c r="R39" s="76"/>
      <c r="S39" s="76"/>
      <c r="T39" s="76"/>
      <c r="U39" s="76"/>
      <c r="V39" s="76"/>
      <c r="W39" s="76"/>
      <c r="X39" s="76"/>
      <c r="Y39" s="76"/>
      <c r="Z39" s="76"/>
      <c r="AA39" s="76"/>
      <c r="AB39" s="76"/>
      <c r="AC39" s="76"/>
    </row>
    <row r="40" spans="1:29" ht="20.25">
      <c r="A40" s="35"/>
      <c r="B40" s="20"/>
      <c r="C40" s="16"/>
      <c r="D40" s="16"/>
      <c r="E40" s="16"/>
      <c r="F40" s="20"/>
      <c r="G40" s="214"/>
      <c r="H40" s="26"/>
      <c r="I40" s="8"/>
      <c r="J40" s="51" t="s">
        <v>2070</v>
      </c>
      <c r="K40" s="103"/>
      <c r="L40" s="104"/>
      <c r="M40" s="104"/>
      <c r="N40" s="104"/>
      <c r="O40" s="104"/>
      <c r="P40" s="54"/>
      <c r="Q40" s="20"/>
      <c r="R40" s="76"/>
      <c r="S40" s="76"/>
      <c r="T40" s="76"/>
      <c r="U40" s="76"/>
      <c r="V40" s="76"/>
      <c r="W40" s="76"/>
      <c r="X40" s="76"/>
      <c r="Y40" s="76"/>
      <c r="Z40" s="76"/>
      <c r="AA40" s="76"/>
      <c r="AB40" s="76"/>
      <c r="AC40" s="76"/>
    </row>
    <row r="41" spans="1:29" ht="20.25">
      <c r="A41" s="35"/>
      <c r="B41" s="20"/>
      <c r="C41" s="16"/>
      <c r="D41" s="16"/>
      <c r="E41" s="16"/>
      <c r="F41" s="20" t="str">
        <f>'Profil Risiko'!L13</f>
        <v>g</v>
      </c>
      <c r="G41" s="214" t="str">
        <f>'Profil Risiko'!N13</f>
        <v>P7. Gangguan Sistem Transmisi Batam</v>
      </c>
      <c r="H41" s="26"/>
      <c r="I41" s="8"/>
      <c r="J41" s="213" t="s">
        <v>2071</v>
      </c>
      <c r="K41" s="103"/>
      <c r="L41" s="104"/>
      <c r="M41" s="104"/>
      <c r="N41" s="104"/>
      <c r="O41" s="104"/>
      <c r="P41" s="54"/>
      <c r="Q41" s="20"/>
      <c r="R41" s="76"/>
      <c r="S41" s="76"/>
      <c r="T41" s="76"/>
      <c r="U41" s="76"/>
      <c r="V41" s="76"/>
      <c r="W41" s="76"/>
      <c r="X41" s="76"/>
      <c r="Y41" s="76"/>
      <c r="Z41" s="76"/>
      <c r="AA41" s="76"/>
      <c r="AB41" s="76"/>
      <c r="AC41" s="76"/>
    </row>
    <row r="42" spans="1:29" ht="20.25">
      <c r="A42" s="35"/>
      <c r="B42" s="20"/>
      <c r="C42" s="16"/>
      <c r="D42" s="16"/>
      <c r="E42" s="16"/>
      <c r="F42" s="20"/>
      <c r="G42" s="214"/>
      <c r="H42" s="26"/>
      <c r="I42" s="8"/>
      <c r="J42" s="51" t="s">
        <v>2072</v>
      </c>
      <c r="K42" s="103"/>
      <c r="L42" s="104"/>
      <c r="M42" s="104"/>
      <c r="N42" s="104"/>
      <c r="O42" s="104"/>
      <c r="P42" s="54"/>
      <c r="Q42" s="20"/>
      <c r="R42" s="76"/>
      <c r="S42" s="76"/>
      <c r="T42" s="76"/>
      <c r="U42" s="76"/>
      <c r="V42" s="76"/>
      <c r="W42" s="76"/>
      <c r="X42" s="76"/>
      <c r="Y42" s="76"/>
      <c r="Z42" s="76"/>
      <c r="AA42" s="76"/>
      <c r="AB42" s="76"/>
      <c r="AC42" s="76"/>
    </row>
    <row r="43" spans="1:29" ht="20.25">
      <c r="A43" s="35"/>
      <c r="B43" s="20"/>
      <c r="C43" s="16"/>
      <c r="D43" s="16"/>
      <c r="E43" s="16"/>
      <c r="F43" s="20"/>
      <c r="G43" s="214"/>
      <c r="H43" s="26"/>
      <c r="I43" s="8"/>
      <c r="J43" s="51" t="s">
        <v>2073</v>
      </c>
      <c r="K43" s="103"/>
      <c r="L43" s="104"/>
      <c r="M43" s="104"/>
      <c r="N43" s="104"/>
      <c r="O43" s="104"/>
      <c r="P43" s="54"/>
      <c r="Q43" s="20"/>
      <c r="R43" s="76"/>
      <c r="S43" s="76"/>
      <c r="T43" s="76"/>
      <c r="U43" s="76"/>
      <c r="V43" s="76"/>
      <c r="W43" s="76"/>
      <c r="X43" s="76"/>
      <c r="Y43" s="76"/>
      <c r="Z43" s="76"/>
      <c r="AA43" s="76"/>
      <c r="AB43" s="76"/>
      <c r="AC43" s="76"/>
    </row>
    <row r="44" spans="1:29">
      <c r="A44" s="35"/>
      <c r="B44" s="20"/>
      <c r="C44" s="16"/>
      <c r="D44" s="16"/>
      <c r="E44" s="16"/>
      <c r="F44" s="20"/>
      <c r="G44" s="214"/>
      <c r="H44" s="26"/>
      <c r="I44" s="8"/>
      <c r="J44" s="213" t="s">
        <v>2074</v>
      </c>
      <c r="K44" s="103"/>
      <c r="L44" s="104"/>
      <c r="M44" s="104"/>
      <c r="N44" s="104"/>
      <c r="O44" s="104"/>
      <c r="P44" s="54"/>
      <c r="Q44" s="20"/>
      <c r="R44" s="76"/>
      <c r="S44" s="76"/>
      <c r="T44" s="76"/>
      <c r="U44" s="76"/>
      <c r="V44" s="76"/>
      <c r="W44" s="76"/>
      <c r="X44" s="76"/>
      <c r="Y44" s="76"/>
      <c r="Z44" s="76"/>
      <c r="AA44" s="76"/>
      <c r="AB44" s="76"/>
      <c r="AC44" s="76"/>
    </row>
    <row r="45" spans="1:29" ht="30.4">
      <c r="A45" s="35"/>
      <c r="B45" s="20"/>
      <c r="C45" s="16"/>
      <c r="D45" s="16"/>
      <c r="E45" s="16"/>
      <c r="F45" s="20"/>
      <c r="G45" s="214"/>
      <c r="H45" s="26"/>
      <c r="I45" s="8"/>
      <c r="J45" s="51" t="s">
        <v>2075</v>
      </c>
      <c r="K45" s="103"/>
      <c r="L45" s="104"/>
      <c r="M45" s="104"/>
      <c r="N45" s="104"/>
      <c r="O45" s="104"/>
      <c r="P45" s="54"/>
      <c r="Q45" s="20"/>
      <c r="R45" s="76"/>
      <c r="S45" s="76"/>
      <c r="T45" s="76"/>
      <c r="U45" s="76"/>
      <c r="V45" s="76"/>
      <c r="W45" s="76"/>
      <c r="X45" s="76"/>
      <c r="Y45" s="76"/>
      <c r="Z45" s="76"/>
      <c r="AA45" s="76"/>
      <c r="AB45" s="76"/>
      <c r="AC45" s="76"/>
    </row>
    <row r="46" spans="1:29" ht="20.25">
      <c r="A46" s="35"/>
      <c r="B46" s="20"/>
      <c r="C46" s="16"/>
      <c r="D46" s="16"/>
      <c r="E46" s="16"/>
      <c r="F46" s="20"/>
      <c r="G46" s="214"/>
      <c r="H46" s="26"/>
      <c r="I46" s="8"/>
      <c r="J46" s="51" t="s">
        <v>2076</v>
      </c>
      <c r="K46" s="103"/>
      <c r="L46" s="104"/>
      <c r="M46" s="104"/>
      <c r="N46" s="104"/>
      <c r="O46" s="104"/>
      <c r="P46" s="54"/>
      <c r="Q46" s="20"/>
      <c r="R46" s="76"/>
      <c r="S46" s="76"/>
      <c r="T46" s="76"/>
      <c r="U46" s="76"/>
      <c r="V46" s="76"/>
      <c r="W46" s="76"/>
      <c r="X46" s="76"/>
      <c r="Y46" s="76"/>
      <c r="Z46" s="76"/>
      <c r="AA46" s="76"/>
      <c r="AB46" s="76"/>
      <c r="AC46" s="76"/>
    </row>
    <row r="47" spans="1:29" ht="20.25">
      <c r="A47" s="35"/>
      <c r="B47" s="20"/>
      <c r="C47" s="16"/>
      <c r="D47" s="16"/>
      <c r="E47" s="16"/>
      <c r="F47" s="20" t="str">
        <f>'Profil Risiko'!L14</f>
        <v>h</v>
      </c>
      <c r="G47" s="214" t="str">
        <f>'Profil Risiko'!N14</f>
        <v>P8. Defense Scheme tidak berfungsi efektif dan optimal</v>
      </c>
      <c r="H47" s="26"/>
      <c r="I47" s="8"/>
      <c r="J47" s="213" t="s">
        <v>2077</v>
      </c>
      <c r="K47" s="103"/>
      <c r="L47" s="104"/>
      <c r="M47" s="104"/>
      <c r="N47" s="104"/>
      <c r="O47" s="104"/>
      <c r="P47" s="54"/>
      <c r="Q47" s="20"/>
      <c r="R47" s="76"/>
      <c r="S47" s="76"/>
      <c r="T47" s="76"/>
      <c r="U47" s="76"/>
      <c r="V47" s="76"/>
      <c r="W47" s="76"/>
      <c r="X47" s="76"/>
      <c r="Y47" s="76"/>
      <c r="Z47" s="76"/>
      <c r="AA47" s="76"/>
      <c r="AB47" s="76"/>
      <c r="AC47" s="76"/>
    </row>
    <row r="48" spans="1:29" ht="30.4">
      <c r="A48" s="35"/>
      <c r="B48" s="20"/>
      <c r="C48" s="16"/>
      <c r="D48" s="16"/>
      <c r="E48" s="16"/>
      <c r="F48" s="20"/>
      <c r="G48" s="214"/>
      <c r="H48" s="26"/>
      <c r="I48" s="8"/>
      <c r="J48" s="51" t="s">
        <v>2078</v>
      </c>
      <c r="K48" s="103"/>
      <c r="L48" s="104"/>
      <c r="M48" s="104"/>
      <c r="N48" s="104"/>
      <c r="O48" s="104"/>
      <c r="P48" s="54"/>
      <c r="Q48" s="20"/>
      <c r="R48" s="76"/>
      <c r="S48" s="76"/>
      <c r="T48" s="76"/>
      <c r="U48" s="76"/>
      <c r="V48" s="76"/>
      <c r="W48" s="76"/>
      <c r="X48" s="76"/>
      <c r="Y48" s="76"/>
      <c r="Z48" s="76"/>
      <c r="AA48" s="76"/>
      <c r="AB48" s="76"/>
      <c r="AC48" s="76"/>
    </row>
    <row r="49" spans="1:29" ht="20.25">
      <c r="A49" s="35"/>
      <c r="B49" s="20"/>
      <c r="C49" s="16"/>
      <c r="D49" s="16"/>
      <c r="E49" s="16"/>
      <c r="F49" s="20" t="str">
        <f>'Profil Risiko'!L15</f>
        <v>i</v>
      </c>
      <c r="G49" s="214" t="str">
        <f>'Profil Risiko'!N15</f>
        <v>P9. Kompetensi SDM tidak optimal</v>
      </c>
      <c r="H49" s="26"/>
      <c r="I49" s="8"/>
      <c r="J49" s="213" t="s">
        <v>2079</v>
      </c>
      <c r="K49" s="103"/>
      <c r="L49" s="104"/>
      <c r="M49" s="104"/>
      <c r="N49" s="104"/>
      <c r="O49" s="104"/>
      <c r="P49" s="54"/>
      <c r="Q49" s="20"/>
      <c r="R49" s="76"/>
      <c r="S49" s="76"/>
      <c r="T49" s="76"/>
      <c r="U49" s="76"/>
      <c r="V49" s="76"/>
      <c r="W49" s="76"/>
      <c r="X49" s="76"/>
      <c r="Y49" s="76"/>
      <c r="Z49" s="76"/>
      <c r="AA49" s="76"/>
      <c r="AB49" s="76"/>
      <c r="AC49" s="76"/>
    </row>
    <row r="50" spans="1:29" ht="20.25">
      <c r="A50" s="35"/>
      <c r="B50" s="20"/>
      <c r="C50" s="16"/>
      <c r="D50" s="16"/>
      <c r="E50" s="16"/>
      <c r="F50" s="20"/>
      <c r="G50" s="214"/>
      <c r="H50" s="26"/>
      <c r="I50" s="8"/>
      <c r="J50" s="51" t="s">
        <v>2080</v>
      </c>
      <c r="K50" s="103"/>
      <c r="L50" s="104"/>
      <c r="M50" s="104"/>
      <c r="N50" s="104"/>
      <c r="O50" s="104"/>
      <c r="P50" s="54"/>
      <c r="Q50" s="20"/>
      <c r="R50" s="76"/>
      <c r="S50" s="76"/>
      <c r="T50" s="76"/>
      <c r="U50" s="76"/>
      <c r="V50" s="76"/>
      <c r="W50" s="76"/>
      <c r="X50" s="76"/>
      <c r="Y50" s="76"/>
      <c r="Z50" s="76"/>
      <c r="AA50" s="76"/>
      <c r="AB50" s="76"/>
      <c r="AC50" s="76"/>
    </row>
    <row r="51" spans="1:29" ht="40.5">
      <c r="A51" s="35"/>
      <c r="B51" s="20"/>
      <c r="C51" s="16"/>
      <c r="D51" s="16"/>
      <c r="E51" s="16"/>
      <c r="F51" s="20" t="str">
        <f>'Profil Risiko'!L16</f>
        <v>j</v>
      </c>
      <c r="G51" s="214" t="str">
        <f>'Profil Risiko'!N16</f>
        <v>P10. Performa pembangkit IPP tidak optimal (Force Outage, kordinasi sistem proteksi pembangkit IPP tidak sesuai)</v>
      </c>
      <c r="H51" s="26"/>
      <c r="I51" s="8"/>
      <c r="J51" s="213" t="s">
        <v>2081</v>
      </c>
      <c r="K51" s="103"/>
      <c r="L51" s="104"/>
      <c r="M51" s="104"/>
      <c r="N51" s="104"/>
      <c r="O51" s="104"/>
      <c r="P51" s="54"/>
      <c r="Q51" s="20"/>
      <c r="R51" s="76"/>
      <c r="S51" s="76"/>
      <c r="T51" s="76"/>
      <c r="U51" s="76"/>
      <c r="V51" s="76"/>
      <c r="W51" s="76"/>
      <c r="X51" s="76"/>
      <c r="Y51" s="76"/>
      <c r="Z51" s="76"/>
      <c r="AA51" s="76"/>
      <c r="AB51" s="76"/>
      <c r="AC51" s="76"/>
    </row>
    <row r="52" spans="1:29" ht="20.25">
      <c r="A52" s="35"/>
      <c r="B52" s="20"/>
      <c r="C52" s="16"/>
      <c r="D52" s="16"/>
      <c r="E52" s="16"/>
      <c r="F52" s="20"/>
      <c r="G52" s="214"/>
      <c r="H52" s="26"/>
      <c r="I52" s="8"/>
      <c r="J52" s="51" t="s">
        <v>2082</v>
      </c>
      <c r="K52" s="103"/>
      <c r="L52" s="104"/>
      <c r="M52" s="104"/>
      <c r="N52" s="104"/>
      <c r="O52" s="104"/>
      <c r="P52" s="54"/>
      <c r="Q52" s="20"/>
      <c r="R52" s="76"/>
      <c r="S52" s="76"/>
      <c r="T52" s="76"/>
      <c r="U52" s="76"/>
      <c r="V52" s="76"/>
      <c r="W52" s="76"/>
      <c r="X52" s="76"/>
      <c r="Y52" s="76"/>
      <c r="Z52" s="76"/>
      <c r="AA52" s="76"/>
      <c r="AB52" s="76"/>
      <c r="AC52" s="76"/>
    </row>
    <row r="53" spans="1:29" ht="20.25">
      <c r="A53" s="35"/>
      <c r="B53" s="20"/>
      <c r="C53" s="16"/>
      <c r="D53" s="16"/>
      <c r="E53" s="16"/>
      <c r="F53" s="20"/>
      <c r="G53" s="214"/>
      <c r="H53" s="26"/>
      <c r="I53" s="8"/>
      <c r="J53" s="51" t="s">
        <v>2083</v>
      </c>
      <c r="K53" s="103"/>
      <c r="L53" s="104"/>
      <c r="M53" s="104"/>
      <c r="N53" s="104"/>
      <c r="O53" s="104"/>
      <c r="P53" s="54"/>
      <c r="Q53" s="20"/>
      <c r="R53" s="76"/>
      <c r="S53" s="76"/>
      <c r="T53" s="76"/>
      <c r="U53" s="76"/>
      <c r="V53" s="76"/>
      <c r="W53" s="76"/>
      <c r="X53" s="76"/>
      <c r="Y53" s="76"/>
      <c r="Z53" s="76"/>
      <c r="AA53" s="76"/>
      <c r="AB53" s="76"/>
      <c r="AC53" s="76"/>
    </row>
    <row r="54" spans="1:29" ht="20.25">
      <c r="A54" s="35"/>
      <c r="B54" s="20"/>
      <c r="C54" s="16"/>
      <c r="D54" s="16"/>
      <c r="E54" s="16"/>
      <c r="F54" s="20"/>
      <c r="G54" s="214"/>
      <c r="H54" s="26"/>
      <c r="I54" s="8"/>
      <c r="J54" s="51" t="s">
        <v>2084</v>
      </c>
      <c r="K54" s="103"/>
      <c r="L54" s="104"/>
      <c r="M54" s="104"/>
      <c r="N54" s="104"/>
      <c r="O54" s="104"/>
      <c r="P54" s="54"/>
      <c r="Q54" s="20"/>
      <c r="R54" s="76"/>
      <c r="S54" s="76"/>
      <c r="T54" s="76"/>
      <c r="U54" s="76"/>
      <c r="V54" s="76"/>
      <c r="W54" s="76"/>
      <c r="X54" s="76"/>
      <c r="Y54" s="76"/>
      <c r="Z54" s="76"/>
      <c r="AA54" s="76"/>
      <c r="AB54" s="76"/>
      <c r="AC54" s="76"/>
    </row>
    <row r="55" spans="1:29">
      <c r="A55" s="35"/>
      <c r="B55" s="20"/>
      <c r="C55" s="16"/>
      <c r="D55" s="16"/>
      <c r="E55" s="16"/>
      <c r="F55" s="20"/>
      <c r="G55" s="214"/>
      <c r="H55" s="26"/>
      <c r="I55" s="8"/>
      <c r="J55" s="51" t="s">
        <v>2085</v>
      </c>
      <c r="K55" s="103"/>
      <c r="L55" s="104"/>
      <c r="M55" s="104"/>
      <c r="N55" s="104"/>
      <c r="O55" s="104"/>
      <c r="P55" s="54"/>
      <c r="Q55" s="20"/>
      <c r="R55" s="76"/>
      <c r="S55" s="76"/>
      <c r="T55" s="76"/>
      <c r="U55" s="76"/>
      <c r="V55" s="76"/>
      <c r="W55" s="76"/>
      <c r="X55" s="76"/>
      <c r="Y55" s="76"/>
      <c r="Z55" s="76"/>
      <c r="AA55" s="76"/>
      <c r="AB55" s="76"/>
      <c r="AC55" s="76"/>
    </row>
    <row r="56" spans="1:29" ht="20.25">
      <c r="A56" s="35"/>
      <c r="B56" s="20"/>
      <c r="C56" s="16"/>
      <c r="D56" s="16"/>
      <c r="E56" s="16"/>
      <c r="F56" s="20"/>
      <c r="G56" s="214"/>
      <c r="H56" s="26"/>
      <c r="I56" s="8"/>
      <c r="J56" s="51" t="s">
        <v>2086</v>
      </c>
      <c r="K56" s="103"/>
      <c r="L56" s="104"/>
      <c r="M56" s="104"/>
      <c r="N56" s="104"/>
      <c r="O56" s="104"/>
      <c r="P56" s="54"/>
      <c r="Q56" s="20"/>
      <c r="R56" s="76"/>
      <c r="S56" s="76"/>
      <c r="T56" s="76"/>
      <c r="U56" s="76"/>
      <c r="V56" s="76"/>
      <c r="W56" s="76"/>
      <c r="X56" s="76"/>
      <c r="Y56" s="76"/>
      <c r="Z56" s="76"/>
      <c r="AA56" s="76"/>
      <c r="AB56" s="76"/>
      <c r="AC56" s="76"/>
    </row>
    <row r="57" spans="1:29" ht="20.25">
      <c r="A57" s="35"/>
      <c r="B57" s="20"/>
      <c r="C57" s="16"/>
      <c r="D57" s="16"/>
      <c r="E57" s="16"/>
      <c r="F57" s="20" t="str">
        <f>'Profil Risiko'!L17</f>
        <v>k</v>
      </c>
      <c r="G57" s="214" t="str">
        <f>'Profil Risiko'!N17</f>
        <v xml:space="preserve">P11. Kinerja transmisi dan gardu induk di Pulau Bintan </v>
      </c>
      <c r="H57" s="26"/>
      <c r="I57" s="8"/>
      <c r="J57" s="213" t="s">
        <v>2087</v>
      </c>
      <c r="K57" s="103"/>
      <c r="L57" s="104"/>
      <c r="M57" s="104"/>
      <c r="N57" s="104"/>
      <c r="O57" s="104"/>
      <c r="P57" s="54"/>
      <c r="Q57" s="20"/>
      <c r="R57" s="76"/>
      <c r="S57" s="76"/>
      <c r="T57" s="76"/>
      <c r="U57" s="76"/>
      <c r="V57" s="76"/>
      <c r="W57" s="76"/>
      <c r="X57" s="76"/>
      <c r="Y57" s="76"/>
      <c r="Z57" s="76"/>
      <c r="AA57" s="76"/>
      <c r="AB57" s="76"/>
      <c r="AC57" s="76"/>
    </row>
    <row r="58" spans="1:29" ht="20.25">
      <c r="A58" s="35"/>
      <c r="B58" s="20"/>
      <c r="C58" s="16"/>
      <c r="D58" s="16"/>
      <c r="E58" s="16"/>
      <c r="F58" s="20"/>
      <c r="G58" s="214"/>
      <c r="H58" s="26"/>
      <c r="I58" s="8"/>
      <c r="J58" s="51" t="s">
        <v>2088</v>
      </c>
      <c r="K58" s="103"/>
      <c r="L58" s="104"/>
      <c r="M58" s="104"/>
      <c r="N58" s="104"/>
      <c r="O58" s="104"/>
      <c r="P58" s="54"/>
      <c r="Q58" s="20"/>
      <c r="R58" s="76"/>
      <c r="S58" s="76"/>
      <c r="T58" s="76"/>
      <c r="U58" s="76"/>
      <c r="V58" s="76"/>
      <c r="W58" s="76"/>
      <c r="X58" s="76"/>
      <c r="Y58" s="76"/>
      <c r="Z58" s="76"/>
      <c r="AA58" s="76"/>
      <c r="AB58" s="76"/>
      <c r="AC58" s="76"/>
    </row>
    <row r="59" spans="1:29" ht="30.4">
      <c r="A59" s="35"/>
      <c r="B59" s="20"/>
      <c r="C59" s="16"/>
      <c r="D59" s="16"/>
      <c r="E59" s="16"/>
      <c r="F59" s="20" t="str">
        <f>'Profil Risiko'!L18</f>
        <v>l</v>
      </c>
      <c r="G59" s="214" t="str">
        <f>'Profil Risiko'!N18</f>
        <v>P12. Gangguan pasokan gas (penurunan pressure gas secara signifikan dengan tiba-tiba)</v>
      </c>
      <c r="H59" s="26"/>
      <c r="I59" s="8"/>
      <c r="J59" s="213" t="s">
        <v>2089</v>
      </c>
      <c r="K59" s="103"/>
      <c r="L59" s="104"/>
      <c r="M59" s="104"/>
      <c r="N59" s="104"/>
      <c r="O59" s="104"/>
      <c r="P59" s="54"/>
      <c r="Q59" s="20"/>
      <c r="R59" s="76"/>
      <c r="S59" s="76"/>
      <c r="T59" s="76"/>
      <c r="U59" s="76"/>
      <c r="V59" s="76"/>
      <c r="W59" s="76"/>
      <c r="X59" s="76"/>
      <c r="Y59" s="76"/>
      <c r="Z59" s="76"/>
      <c r="AA59" s="76"/>
      <c r="AB59" s="76"/>
      <c r="AC59" s="76"/>
    </row>
    <row r="60" spans="1:29" ht="20.25">
      <c r="A60" s="35"/>
      <c r="B60" s="20"/>
      <c r="C60" s="16"/>
      <c r="D60" s="16"/>
      <c r="E60" s="16"/>
      <c r="F60" s="20"/>
      <c r="G60" s="214"/>
      <c r="H60" s="26"/>
      <c r="I60" s="8"/>
      <c r="J60" s="51" t="s">
        <v>2090</v>
      </c>
      <c r="K60" s="103"/>
      <c r="L60" s="104"/>
      <c r="M60" s="104"/>
      <c r="N60" s="104"/>
      <c r="O60" s="104"/>
      <c r="P60" s="54"/>
      <c r="Q60" s="20"/>
      <c r="R60" s="76"/>
      <c r="S60" s="76"/>
      <c r="T60" s="76"/>
      <c r="U60" s="76"/>
      <c r="V60" s="76"/>
      <c r="W60" s="76"/>
      <c r="X60" s="76"/>
      <c r="Y60" s="76"/>
      <c r="Z60" s="76"/>
      <c r="AA60" s="76"/>
      <c r="AB60" s="76"/>
      <c r="AC60" s="76"/>
    </row>
    <row r="61" spans="1:29">
      <c r="A61" s="35"/>
      <c r="B61" s="20"/>
      <c r="C61" s="16"/>
      <c r="D61" s="16"/>
      <c r="E61" s="16"/>
      <c r="F61" s="20"/>
      <c r="G61" s="214"/>
      <c r="H61" s="26"/>
      <c r="I61" s="8"/>
      <c r="J61" s="213" t="s">
        <v>2091</v>
      </c>
      <c r="K61" s="103"/>
      <c r="L61" s="104"/>
      <c r="M61" s="104"/>
      <c r="N61" s="104"/>
      <c r="O61" s="104"/>
      <c r="P61" s="54"/>
      <c r="Q61" s="20"/>
      <c r="R61" s="76"/>
      <c r="S61" s="76"/>
      <c r="T61" s="76"/>
      <c r="U61" s="76"/>
      <c r="V61" s="76"/>
      <c r="W61" s="76"/>
      <c r="X61" s="76"/>
      <c r="Y61" s="76"/>
      <c r="Z61" s="76"/>
      <c r="AA61" s="76"/>
      <c r="AB61" s="76"/>
      <c r="AC61" s="76"/>
    </row>
    <row r="62" spans="1:29" ht="40.5">
      <c r="A62" s="35"/>
      <c r="B62" s="20"/>
      <c r="C62" s="16"/>
      <c r="D62" s="16"/>
      <c r="E62" s="16"/>
      <c r="F62" s="20"/>
      <c r="G62" s="214"/>
      <c r="H62" s="26"/>
      <c r="I62" s="8"/>
      <c r="J62" s="51" t="s">
        <v>2092</v>
      </c>
      <c r="K62" s="103"/>
      <c r="L62" s="104"/>
      <c r="M62" s="104"/>
      <c r="N62" s="104"/>
      <c r="O62" s="104"/>
      <c r="P62" s="54"/>
      <c r="Q62" s="20"/>
      <c r="R62" s="76"/>
      <c r="S62" s="76"/>
      <c r="T62" s="76"/>
      <c r="U62" s="76"/>
      <c r="V62" s="76"/>
      <c r="W62" s="76"/>
      <c r="X62" s="76"/>
      <c r="Y62" s="76"/>
      <c r="Z62" s="76"/>
      <c r="AA62" s="76"/>
      <c r="AB62" s="76"/>
      <c r="AC62" s="76"/>
    </row>
    <row r="63" spans="1:29" ht="30.4">
      <c r="A63" s="35"/>
      <c r="B63" s="20"/>
      <c r="C63" s="16"/>
      <c r="D63" s="16"/>
      <c r="E63" s="16">
        <f>'Profil Risiko'!I32</f>
        <v>2</v>
      </c>
      <c r="F63" s="20" t="s">
        <v>245</v>
      </c>
      <c r="G63" s="214" t="s">
        <v>2093</v>
      </c>
      <c r="H63" s="26"/>
      <c r="I63" s="8"/>
      <c r="J63" s="51" t="s">
        <v>2094</v>
      </c>
      <c r="K63" s="103"/>
      <c r="L63" s="104"/>
      <c r="M63" s="104"/>
      <c r="N63" s="104"/>
      <c r="O63" s="104"/>
      <c r="P63" s="54"/>
      <c r="Q63" s="20"/>
      <c r="R63" s="76"/>
      <c r="S63" s="76"/>
      <c r="T63" s="76"/>
      <c r="U63" s="76"/>
      <c r="V63" s="76"/>
      <c r="W63" s="76"/>
      <c r="X63" s="76"/>
      <c r="Y63" s="76"/>
      <c r="Z63" s="76"/>
      <c r="AA63" s="76"/>
      <c r="AB63" s="76"/>
      <c r="AC63" s="76"/>
    </row>
    <row r="64" spans="1:29" ht="20.25">
      <c r="A64" s="35"/>
      <c r="B64" s="20"/>
      <c r="C64" s="16"/>
      <c r="D64" s="16"/>
      <c r="E64" s="16"/>
      <c r="F64" s="20"/>
      <c r="G64" s="214"/>
      <c r="H64" s="26"/>
      <c r="I64" s="8"/>
      <c r="J64" s="51" t="s">
        <v>2095</v>
      </c>
      <c r="K64" s="103"/>
      <c r="L64" s="104"/>
      <c r="M64" s="104"/>
      <c r="N64" s="104"/>
      <c r="O64" s="104"/>
      <c r="P64" s="54"/>
      <c r="Q64" s="20"/>
      <c r="R64" s="76"/>
      <c r="S64" s="76"/>
      <c r="T64" s="76"/>
      <c r="U64" s="76"/>
      <c r="V64" s="76"/>
      <c r="W64" s="76"/>
      <c r="X64" s="76"/>
      <c r="Y64" s="76"/>
      <c r="Z64" s="76"/>
      <c r="AA64" s="76"/>
      <c r="AB64" s="76"/>
      <c r="AC64" s="76"/>
    </row>
    <row r="65" spans="1:29" ht="20.25">
      <c r="A65" s="35"/>
      <c r="B65" s="20"/>
      <c r="C65" s="16"/>
      <c r="D65" s="16"/>
      <c r="E65" s="16"/>
      <c r="F65" s="20"/>
      <c r="G65" s="214"/>
      <c r="H65" s="26"/>
      <c r="I65" s="8"/>
      <c r="J65" s="51" t="s">
        <v>2096</v>
      </c>
      <c r="K65" s="103"/>
      <c r="L65" s="104"/>
      <c r="M65" s="104"/>
      <c r="N65" s="104"/>
      <c r="O65" s="104"/>
      <c r="P65" s="54"/>
      <c r="Q65" s="20"/>
      <c r="R65" s="76"/>
      <c r="S65" s="76"/>
      <c r="T65" s="76"/>
      <c r="U65" s="76"/>
      <c r="V65" s="76"/>
      <c r="W65" s="76"/>
      <c r="X65" s="76"/>
      <c r="Y65" s="76"/>
      <c r="Z65" s="76"/>
      <c r="AA65" s="76"/>
      <c r="AB65" s="76"/>
      <c r="AC65" s="76"/>
    </row>
    <row r="66" spans="1:29" ht="20.25">
      <c r="A66" s="35"/>
      <c r="B66" s="20"/>
      <c r="C66" s="16"/>
      <c r="D66" s="16"/>
      <c r="E66" s="16"/>
      <c r="F66" s="20"/>
      <c r="G66" s="214"/>
      <c r="H66" s="26"/>
      <c r="I66" s="8"/>
      <c r="J66" s="51" t="s">
        <v>2097</v>
      </c>
      <c r="K66" s="103"/>
      <c r="L66" s="104"/>
      <c r="M66" s="104"/>
      <c r="N66" s="104"/>
      <c r="O66" s="104"/>
      <c r="P66" s="54"/>
      <c r="Q66" s="20"/>
      <c r="R66" s="76"/>
      <c r="S66" s="76"/>
      <c r="T66" s="76"/>
      <c r="U66" s="76"/>
      <c r="V66" s="76"/>
      <c r="W66" s="76"/>
      <c r="X66" s="76"/>
      <c r="Y66" s="76"/>
      <c r="Z66" s="76"/>
      <c r="AA66" s="76"/>
      <c r="AB66" s="76"/>
      <c r="AC66" s="76"/>
    </row>
    <row r="67" spans="1:29">
      <c r="A67" s="35"/>
      <c r="B67" s="20"/>
      <c r="C67" s="16"/>
      <c r="D67" s="16"/>
      <c r="E67" s="16"/>
      <c r="F67" s="20"/>
      <c r="G67" s="214"/>
      <c r="H67" s="26"/>
      <c r="I67" s="8"/>
      <c r="J67" s="51" t="s">
        <v>2098</v>
      </c>
      <c r="K67" s="103"/>
      <c r="L67" s="104"/>
      <c r="M67" s="104"/>
      <c r="N67" s="104"/>
      <c r="O67" s="104"/>
      <c r="P67" s="54"/>
      <c r="Q67" s="20"/>
      <c r="R67" s="76"/>
      <c r="S67" s="76"/>
      <c r="T67" s="76"/>
      <c r="U67" s="76"/>
      <c r="V67" s="76"/>
      <c r="W67" s="76"/>
      <c r="X67" s="76"/>
      <c r="Y67" s="76"/>
      <c r="Z67" s="76"/>
      <c r="AA67" s="76"/>
      <c r="AB67" s="76"/>
      <c r="AC67" s="76"/>
    </row>
    <row r="68" spans="1:29">
      <c r="A68" s="35"/>
      <c r="B68" s="20"/>
      <c r="C68" s="16"/>
      <c r="D68" s="16"/>
      <c r="E68" s="16"/>
      <c r="F68" s="20"/>
      <c r="G68" s="214"/>
      <c r="H68" s="26"/>
      <c r="I68" s="8"/>
      <c r="J68" s="51"/>
      <c r="K68" s="103"/>
      <c r="L68" s="104"/>
      <c r="M68" s="104"/>
      <c r="N68" s="104"/>
      <c r="O68" s="104"/>
      <c r="P68" s="54"/>
      <c r="Q68" s="20"/>
      <c r="R68" s="76"/>
      <c r="S68" s="76"/>
      <c r="T68" s="76"/>
      <c r="U68" s="76"/>
      <c r="V68" s="76"/>
      <c r="W68" s="76"/>
      <c r="X68" s="76"/>
      <c r="Y68" s="76"/>
      <c r="Z68" s="76"/>
      <c r="AA68" s="76"/>
      <c r="AB68" s="76"/>
      <c r="AC68" s="76"/>
    </row>
    <row r="69" spans="1:29" ht="20.25">
      <c r="A69" s="35"/>
      <c r="B69" s="20"/>
      <c r="C69" s="16"/>
      <c r="D69" s="16"/>
      <c r="E69" s="16"/>
      <c r="F69" s="20" t="s">
        <v>1958</v>
      </c>
      <c r="G69" s="214" t="s">
        <v>2099</v>
      </c>
      <c r="H69" s="26"/>
      <c r="I69" s="8"/>
      <c r="J69" s="51" t="s">
        <v>2100</v>
      </c>
      <c r="K69" s="103"/>
      <c r="L69" s="104"/>
      <c r="M69" s="104"/>
      <c r="N69" s="104"/>
      <c r="O69" s="104"/>
      <c r="P69" s="54"/>
      <c r="Q69" s="20"/>
      <c r="R69" s="76"/>
      <c r="S69" s="76"/>
      <c r="T69" s="76"/>
      <c r="U69" s="76"/>
      <c r="V69" s="76"/>
      <c r="W69" s="76"/>
      <c r="X69" s="76"/>
      <c r="Y69" s="76"/>
      <c r="Z69" s="76"/>
      <c r="AA69" s="76"/>
      <c r="AB69" s="76"/>
      <c r="AC69" s="76"/>
    </row>
    <row r="70" spans="1:29" ht="40.5">
      <c r="A70" s="35"/>
      <c r="B70" s="20"/>
      <c r="C70" s="16"/>
      <c r="D70" s="16"/>
      <c r="E70" s="16"/>
      <c r="F70" s="20"/>
      <c r="G70" s="214"/>
      <c r="H70" s="26"/>
      <c r="I70" s="8"/>
      <c r="J70" s="51" t="s">
        <v>2101</v>
      </c>
      <c r="K70" s="103"/>
      <c r="L70" s="104"/>
      <c r="M70" s="104"/>
      <c r="N70" s="104"/>
      <c r="O70" s="104"/>
      <c r="P70" s="54"/>
      <c r="Q70" s="20"/>
      <c r="R70" s="76"/>
      <c r="S70" s="76"/>
      <c r="T70" s="76"/>
      <c r="U70" s="76"/>
      <c r="V70" s="76"/>
      <c r="W70" s="76"/>
      <c r="X70" s="76"/>
      <c r="Y70" s="76"/>
      <c r="Z70" s="76"/>
      <c r="AA70" s="76"/>
      <c r="AB70" s="76"/>
      <c r="AC70" s="76"/>
    </row>
    <row r="71" spans="1:29">
      <c r="A71" s="35"/>
      <c r="B71" s="20"/>
      <c r="C71" s="16"/>
      <c r="D71" s="16"/>
      <c r="E71" s="16"/>
      <c r="F71" s="20"/>
      <c r="G71" s="2"/>
      <c r="H71" s="26"/>
      <c r="I71" s="8"/>
      <c r="J71" s="51"/>
      <c r="K71" s="103"/>
      <c r="L71" s="104"/>
      <c r="M71" s="104"/>
      <c r="N71" s="104"/>
      <c r="O71" s="104"/>
      <c r="P71" s="54"/>
      <c r="Q71" s="20"/>
      <c r="R71" s="76"/>
      <c r="S71" s="76"/>
      <c r="T71" s="76"/>
      <c r="U71" s="76"/>
      <c r="V71" s="76"/>
      <c r="W71" s="76"/>
      <c r="X71" s="76"/>
      <c r="Y71" s="76"/>
      <c r="Z71" s="76"/>
      <c r="AA71" s="76"/>
      <c r="AB71" s="76"/>
      <c r="AC71" s="76"/>
    </row>
    <row r="72" spans="1:29" ht="20.25">
      <c r="A72" s="35"/>
      <c r="B72" s="20"/>
      <c r="C72" s="16"/>
      <c r="D72" s="16"/>
      <c r="E72" s="16"/>
      <c r="F72" s="20" t="s">
        <v>1963</v>
      </c>
      <c r="G72" s="214" t="s">
        <v>2102</v>
      </c>
      <c r="H72" s="26"/>
      <c r="I72" s="8"/>
      <c r="J72" s="51" t="s">
        <v>2103</v>
      </c>
      <c r="K72" s="103"/>
      <c r="L72" s="104"/>
      <c r="M72" s="104"/>
      <c r="N72" s="104"/>
      <c r="O72" s="104"/>
      <c r="P72" s="54"/>
      <c r="Q72" s="20"/>
      <c r="R72" s="76"/>
      <c r="S72" s="76"/>
      <c r="T72" s="76"/>
      <c r="U72" s="76"/>
      <c r="V72" s="76"/>
      <c r="W72" s="76"/>
      <c r="X72" s="76"/>
      <c r="Y72" s="76"/>
      <c r="Z72" s="76"/>
      <c r="AA72" s="76"/>
      <c r="AB72" s="76"/>
      <c r="AC72" s="76"/>
    </row>
    <row r="73" spans="1:29" ht="30.4">
      <c r="A73" s="35"/>
      <c r="B73" s="20"/>
      <c r="C73" s="16"/>
      <c r="D73" s="16"/>
      <c r="E73" s="16"/>
      <c r="F73" s="20"/>
      <c r="G73" s="214"/>
      <c r="H73" s="26"/>
      <c r="I73" s="8"/>
      <c r="J73" s="51" t="s">
        <v>2104</v>
      </c>
      <c r="K73" s="103"/>
      <c r="L73" s="104"/>
      <c r="M73" s="104"/>
      <c r="N73" s="104"/>
      <c r="O73" s="104"/>
      <c r="P73" s="54"/>
      <c r="Q73" s="20"/>
      <c r="R73" s="76"/>
      <c r="S73" s="76"/>
      <c r="T73" s="76"/>
      <c r="U73" s="76"/>
      <c r="V73" s="76"/>
      <c r="W73" s="76"/>
      <c r="X73" s="76"/>
      <c r="Y73" s="76"/>
      <c r="Z73" s="76"/>
      <c r="AA73" s="76"/>
      <c r="AB73" s="76"/>
      <c r="AC73" s="76"/>
    </row>
    <row r="74" spans="1:29" ht="30.4">
      <c r="A74" s="35"/>
      <c r="B74" s="20"/>
      <c r="C74" s="16"/>
      <c r="D74" s="16"/>
      <c r="E74" s="16"/>
      <c r="F74" s="20" t="s">
        <v>1967</v>
      </c>
      <c r="G74" s="214" t="s">
        <v>2105</v>
      </c>
      <c r="H74" s="26"/>
      <c r="I74" s="8"/>
      <c r="J74" s="51" t="s">
        <v>2106</v>
      </c>
      <c r="K74" s="103"/>
      <c r="L74" s="104"/>
      <c r="M74" s="104"/>
      <c r="N74" s="104"/>
      <c r="O74" s="104"/>
      <c r="P74" s="54"/>
      <c r="Q74" s="20"/>
      <c r="R74" s="76"/>
      <c r="S74" s="76"/>
      <c r="T74" s="76"/>
      <c r="U74" s="76"/>
      <c r="V74" s="76"/>
      <c r="W74" s="76"/>
      <c r="X74" s="76"/>
      <c r="Y74" s="76"/>
      <c r="Z74" s="76"/>
      <c r="AA74" s="76"/>
      <c r="AB74" s="76"/>
      <c r="AC74" s="76"/>
    </row>
    <row r="75" spans="1:29" ht="20.25">
      <c r="A75" s="35"/>
      <c r="B75" s="20"/>
      <c r="C75" s="16"/>
      <c r="D75" s="16"/>
      <c r="E75" s="16"/>
      <c r="F75" s="20"/>
      <c r="G75" s="214"/>
      <c r="H75" s="26"/>
      <c r="I75" s="8"/>
      <c r="J75" s="51" t="s">
        <v>2107</v>
      </c>
      <c r="K75" s="103"/>
      <c r="L75" s="104"/>
      <c r="M75" s="104"/>
      <c r="N75" s="104"/>
      <c r="O75" s="104"/>
      <c r="P75" s="54"/>
      <c r="Q75" s="20"/>
      <c r="R75" s="76"/>
      <c r="S75" s="76"/>
      <c r="T75" s="76"/>
      <c r="U75" s="76"/>
      <c r="V75" s="76"/>
      <c r="W75" s="76"/>
      <c r="X75" s="76"/>
      <c r="Y75" s="76"/>
      <c r="Z75" s="76"/>
      <c r="AA75" s="76"/>
      <c r="AB75" s="76"/>
      <c r="AC75" s="76"/>
    </row>
    <row r="76" spans="1:29" ht="30.4">
      <c r="A76" s="35"/>
      <c r="B76" s="20"/>
      <c r="C76" s="16"/>
      <c r="D76" s="16"/>
      <c r="E76" s="16"/>
      <c r="F76" s="20" t="s">
        <v>1971</v>
      </c>
      <c r="G76" s="214" t="s">
        <v>2108</v>
      </c>
      <c r="H76" s="26"/>
      <c r="I76" s="8"/>
      <c r="J76" s="51" t="s">
        <v>2109</v>
      </c>
      <c r="K76" s="103"/>
      <c r="L76" s="104"/>
      <c r="M76" s="104"/>
      <c r="N76" s="104"/>
      <c r="O76" s="104"/>
      <c r="P76" s="54"/>
      <c r="Q76" s="20"/>
      <c r="R76" s="76"/>
      <c r="S76" s="76"/>
      <c r="T76" s="76"/>
      <c r="U76" s="76"/>
      <c r="V76" s="76"/>
      <c r="W76" s="76"/>
      <c r="X76" s="76"/>
      <c r="Y76" s="76"/>
      <c r="Z76" s="76"/>
      <c r="AA76" s="76"/>
      <c r="AB76" s="76"/>
      <c r="AC76" s="76"/>
    </row>
    <row r="77" spans="1:29" ht="20.25">
      <c r="A77" s="35"/>
      <c r="B77" s="20"/>
      <c r="C77" s="16"/>
      <c r="D77" s="16"/>
      <c r="E77" s="16"/>
      <c r="F77" s="20"/>
      <c r="G77" s="214"/>
      <c r="H77" s="26"/>
      <c r="I77" s="8"/>
      <c r="J77" s="51" t="s">
        <v>2110</v>
      </c>
      <c r="K77" s="195"/>
      <c r="L77" s="104"/>
      <c r="M77" s="104"/>
      <c r="N77" s="104"/>
      <c r="O77" s="104"/>
      <c r="P77" s="54"/>
      <c r="Q77" s="20"/>
      <c r="R77" s="76"/>
      <c r="S77" s="76"/>
      <c r="T77" s="76"/>
      <c r="U77" s="76"/>
      <c r="V77" s="76"/>
      <c r="W77" s="76"/>
      <c r="X77" s="76"/>
      <c r="Y77" s="76"/>
      <c r="Z77" s="76"/>
      <c r="AA77" s="76"/>
      <c r="AB77" s="76"/>
      <c r="AC77" s="76"/>
    </row>
    <row r="78" spans="1:29" ht="39" customHeight="1">
      <c r="A78" s="35"/>
      <c r="B78" s="20"/>
      <c r="C78" s="16"/>
      <c r="D78" s="16"/>
      <c r="E78" s="16"/>
      <c r="F78" s="20" t="s">
        <v>1974</v>
      </c>
      <c r="G78" s="214" t="s">
        <v>2111</v>
      </c>
      <c r="H78" s="26"/>
      <c r="I78" s="8"/>
      <c r="J78" s="51" t="s">
        <v>2112</v>
      </c>
      <c r="K78" s="103"/>
      <c r="L78" s="104"/>
      <c r="M78" s="104"/>
      <c r="N78" s="104"/>
      <c r="O78" s="104"/>
      <c r="P78" s="54"/>
      <c r="Q78" s="20"/>
      <c r="R78" s="76"/>
      <c r="S78" s="76"/>
      <c r="T78" s="76"/>
      <c r="U78" s="76"/>
      <c r="V78" s="76"/>
      <c r="W78" s="76"/>
      <c r="X78" s="76"/>
      <c r="Y78" s="76"/>
      <c r="Z78" s="76"/>
      <c r="AA78" s="76"/>
      <c r="AB78" s="76"/>
      <c r="AC78" s="76"/>
    </row>
    <row r="79" spans="1:29" ht="39" customHeight="1">
      <c r="A79" s="35"/>
      <c r="B79" s="20"/>
      <c r="C79" s="16"/>
      <c r="D79" s="16"/>
      <c r="E79" s="16"/>
      <c r="F79" s="20"/>
      <c r="G79" s="2"/>
      <c r="H79" s="26"/>
      <c r="I79" s="8"/>
      <c r="J79" s="51" t="s">
        <v>2113</v>
      </c>
      <c r="K79" s="103"/>
      <c r="L79" s="104"/>
      <c r="M79" s="104"/>
      <c r="N79" s="104"/>
      <c r="O79" s="104"/>
      <c r="P79" s="54"/>
      <c r="Q79" s="20"/>
      <c r="R79" s="76"/>
      <c r="S79" s="76"/>
      <c r="T79" s="76"/>
      <c r="U79" s="76"/>
      <c r="V79" s="76"/>
      <c r="W79" s="76"/>
      <c r="X79" s="76"/>
      <c r="Y79" s="76"/>
      <c r="Z79" s="76"/>
      <c r="AA79" s="76"/>
      <c r="AB79" s="76"/>
      <c r="AC79" s="76"/>
    </row>
    <row r="80" spans="1:29" ht="39" customHeight="1">
      <c r="A80" s="35"/>
      <c r="B80" s="20"/>
      <c r="C80" s="16"/>
      <c r="D80" s="16"/>
      <c r="E80" s="16"/>
      <c r="F80" s="20" t="s">
        <v>1977</v>
      </c>
      <c r="G80" s="214" t="s">
        <v>2114</v>
      </c>
      <c r="H80" s="26"/>
      <c r="I80" s="8"/>
      <c r="J80" s="213" t="s">
        <v>2115</v>
      </c>
      <c r="K80" s="103"/>
      <c r="L80" s="104"/>
      <c r="M80" s="104"/>
      <c r="N80" s="104"/>
      <c r="O80" s="104"/>
      <c r="P80" s="54"/>
      <c r="Q80" s="20"/>
      <c r="R80" s="76"/>
      <c r="S80" s="76"/>
      <c r="T80" s="76"/>
      <c r="U80" s="76"/>
      <c r="V80" s="76"/>
      <c r="W80" s="76"/>
      <c r="X80" s="76"/>
      <c r="Y80" s="76"/>
      <c r="Z80" s="76"/>
      <c r="AA80" s="76"/>
      <c r="AB80" s="76"/>
      <c r="AC80" s="76"/>
    </row>
    <row r="81" spans="1:29" ht="39" customHeight="1">
      <c r="A81" s="35"/>
      <c r="B81" s="20"/>
      <c r="C81" s="16"/>
      <c r="D81" s="16"/>
      <c r="E81" s="16"/>
      <c r="F81" s="20"/>
      <c r="G81" s="16"/>
      <c r="H81" s="26"/>
      <c r="I81" s="8"/>
      <c r="J81" s="51" t="s">
        <v>2116</v>
      </c>
      <c r="K81" s="103"/>
      <c r="L81" s="104"/>
      <c r="M81" s="104"/>
      <c r="N81" s="104"/>
      <c r="O81" s="104"/>
      <c r="P81" s="54"/>
      <c r="Q81" s="20"/>
      <c r="R81" s="76"/>
      <c r="S81" s="76"/>
      <c r="T81" s="76"/>
      <c r="U81" s="76"/>
      <c r="V81" s="76"/>
      <c r="W81" s="76"/>
      <c r="X81" s="76"/>
      <c r="Y81" s="76"/>
      <c r="Z81" s="76"/>
      <c r="AA81" s="76"/>
      <c r="AB81" s="76"/>
      <c r="AC81" s="76"/>
    </row>
    <row r="82" spans="1:29" ht="18.95" customHeight="1">
      <c r="A82" s="35"/>
      <c r="B82" s="20"/>
      <c r="C82" s="16"/>
      <c r="D82" s="16"/>
      <c r="E82" s="16"/>
      <c r="F82" s="20"/>
      <c r="G82" s="16"/>
      <c r="H82" s="26"/>
      <c r="I82" s="8"/>
      <c r="J82" s="213" t="s">
        <v>2117</v>
      </c>
      <c r="K82" s="103"/>
      <c r="L82" s="104"/>
      <c r="M82" s="104"/>
      <c r="N82" s="104"/>
      <c r="O82" s="104"/>
      <c r="P82" s="54"/>
      <c r="Q82" s="20"/>
      <c r="R82" s="76"/>
      <c r="S82" s="76"/>
      <c r="T82" s="76"/>
      <c r="U82" s="76"/>
      <c r="V82" s="76"/>
      <c r="W82" s="76"/>
      <c r="X82" s="76"/>
      <c r="Y82" s="76"/>
      <c r="Z82" s="76"/>
      <c r="AA82" s="76"/>
      <c r="AB82" s="76"/>
      <c r="AC82" s="76"/>
    </row>
    <row r="83" spans="1:29" ht="40.5">
      <c r="A83" s="35"/>
      <c r="B83" s="20"/>
      <c r="C83" s="16"/>
      <c r="D83" s="16"/>
      <c r="E83" s="16"/>
      <c r="F83" s="20"/>
      <c r="G83" s="16"/>
      <c r="H83" s="26"/>
      <c r="I83" s="8"/>
      <c r="J83" s="51" t="s">
        <v>2118</v>
      </c>
      <c r="K83" s="103"/>
      <c r="L83" s="104"/>
      <c r="M83" s="104"/>
      <c r="N83" s="104"/>
      <c r="O83" s="104"/>
      <c r="P83" s="54"/>
      <c r="Q83" s="20"/>
      <c r="R83" s="76"/>
      <c r="S83" s="76"/>
      <c r="T83" s="76"/>
      <c r="U83" s="76"/>
      <c r="V83" s="76"/>
      <c r="W83" s="76"/>
      <c r="X83" s="76"/>
      <c r="Y83" s="76"/>
      <c r="Z83" s="76"/>
      <c r="AA83" s="76"/>
      <c r="AB83" s="76"/>
      <c r="AC83" s="76"/>
    </row>
    <row r="84" spans="1:29" ht="18.95" customHeight="1">
      <c r="A84" s="35"/>
      <c r="B84" s="20"/>
      <c r="C84" s="16"/>
      <c r="D84" s="16"/>
      <c r="E84" s="16">
        <v>3</v>
      </c>
      <c r="F84" s="20" t="s">
        <v>245</v>
      </c>
      <c r="G84" s="8" t="s">
        <v>2119</v>
      </c>
      <c r="H84" s="26"/>
      <c r="I84" s="8"/>
      <c r="J84" s="213" t="s">
        <v>2120</v>
      </c>
      <c r="K84" s="103"/>
      <c r="L84" s="104"/>
      <c r="M84" s="104"/>
      <c r="N84" s="104"/>
      <c r="O84" s="104"/>
      <c r="P84" s="54"/>
      <c r="Q84" s="20"/>
      <c r="R84" s="76"/>
      <c r="S84" s="76"/>
      <c r="T84" s="76"/>
      <c r="U84" s="76"/>
      <c r="V84" s="76"/>
      <c r="W84" s="76"/>
      <c r="X84" s="76"/>
      <c r="Y84" s="76"/>
      <c r="Z84" s="76"/>
      <c r="AA84" s="76"/>
      <c r="AB84" s="76"/>
      <c r="AC84" s="76"/>
    </row>
    <row r="85" spans="1:29" ht="18.95" customHeight="1">
      <c r="A85" s="35"/>
      <c r="B85" s="20"/>
      <c r="C85" s="16"/>
      <c r="D85" s="16"/>
      <c r="E85" s="16"/>
      <c r="F85" s="20"/>
      <c r="G85" s="2"/>
      <c r="H85" s="26"/>
      <c r="I85" s="8"/>
      <c r="J85" s="51" t="s">
        <v>2121</v>
      </c>
      <c r="K85" s="103"/>
      <c r="L85" s="104"/>
      <c r="M85" s="104"/>
      <c r="N85" s="104"/>
      <c r="O85" s="104"/>
      <c r="P85" s="54"/>
      <c r="Q85" s="20"/>
      <c r="R85" s="76"/>
      <c r="S85" s="76"/>
      <c r="T85" s="76"/>
      <c r="U85" s="76"/>
      <c r="V85" s="76"/>
      <c r="W85" s="76"/>
      <c r="X85" s="76"/>
      <c r="Y85" s="76"/>
      <c r="Z85" s="76"/>
      <c r="AA85" s="76"/>
      <c r="AB85" s="76"/>
      <c r="AC85" s="76"/>
    </row>
    <row r="86" spans="1:29" ht="18.95" customHeight="1">
      <c r="A86" s="35"/>
      <c r="B86" s="20"/>
      <c r="C86" s="16"/>
      <c r="D86" s="16"/>
      <c r="E86" s="16"/>
      <c r="F86" s="20"/>
      <c r="G86" s="2"/>
      <c r="H86" s="26"/>
      <c r="I86" s="8"/>
      <c r="J86" s="51" t="s">
        <v>2122</v>
      </c>
      <c r="K86" s="103"/>
      <c r="L86" s="104"/>
      <c r="M86" s="104"/>
      <c r="N86" s="104"/>
      <c r="O86" s="104"/>
      <c r="P86" s="54"/>
      <c r="Q86" s="20"/>
      <c r="R86" s="76"/>
      <c r="S86" s="76"/>
      <c r="T86" s="76"/>
      <c r="U86" s="76"/>
      <c r="V86" s="76"/>
      <c r="W86" s="76"/>
      <c r="X86" s="76"/>
      <c r="Y86" s="76"/>
      <c r="Z86" s="76"/>
      <c r="AA86" s="76"/>
      <c r="AB86" s="76"/>
      <c r="AC86" s="76"/>
    </row>
    <row r="87" spans="1:29" ht="18.95" customHeight="1">
      <c r="A87" s="35"/>
      <c r="B87" s="20"/>
      <c r="C87" s="16"/>
      <c r="D87" s="16"/>
      <c r="E87" s="16"/>
      <c r="F87" s="20"/>
      <c r="G87" s="16"/>
      <c r="H87" s="26"/>
      <c r="I87" s="8"/>
      <c r="J87" s="51" t="s">
        <v>2123</v>
      </c>
      <c r="K87" s="103"/>
      <c r="L87" s="104"/>
      <c r="M87" s="104"/>
      <c r="N87" s="104"/>
      <c r="O87" s="104"/>
      <c r="P87" s="54"/>
      <c r="Q87" s="20"/>
      <c r="R87" s="76"/>
      <c r="S87" s="76"/>
      <c r="T87" s="76"/>
      <c r="U87" s="76"/>
      <c r="V87" s="76"/>
      <c r="W87" s="76"/>
      <c r="X87" s="76"/>
      <c r="Y87" s="76"/>
      <c r="Z87" s="76"/>
      <c r="AA87" s="76"/>
      <c r="AB87" s="76"/>
      <c r="AC87" s="76"/>
    </row>
    <row r="88" spans="1:29" ht="18.95" customHeight="1">
      <c r="A88" s="35"/>
      <c r="B88" s="20"/>
      <c r="C88" s="16"/>
      <c r="D88" s="16"/>
      <c r="E88" s="16"/>
      <c r="F88" s="20"/>
      <c r="G88" s="16"/>
      <c r="H88" s="26"/>
      <c r="I88" s="8"/>
      <c r="J88" s="51" t="s">
        <v>2124</v>
      </c>
      <c r="K88" s="103"/>
      <c r="L88" s="104"/>
      <c r="M88" s="104"/>
      <c r="N88" s="104"/>
      <c r="O88" s="104"/>
      <c r="P88" s="54"/>
      <c r="Q88" s="20"/>
      <c r="R88" s="76"/>
      <c r="S88" s="76"/>
      <c r="T88" s="76"/>
      <c r="U88" s="76"/>
      <c r="V88" s="76"/>
      <c r="W88" s="76"/>
      <c r="X88" s="76"/>
      <c r="Y88" s="76"/>
      <c r="Z88" s="76"/>
      <c r="AA88" s="76"/>
      <c r="AB88" s="76"/>
      <c r="AC88" s="76"/>
    </row>
    <row r="89" spans="1:29" ht="18.95" customHeight="1">
      <c r="A89" s="35"/>
      <c r="B89" s="20"/>
      <c r="C89" s="16"/>
      <c r="D89" s="16"/>
      <c r="E89" s="16"/>
      <c r="F89" s="20"/>
      <c r="G89" s="16"/>
      <c r="H89" s="26"/>
      <c r="I89" s="8"/>
      <c r="J89" s="51" t="s">
        <v>2125</v>
      </c>
      <c r="K89" s="103"/>
      <c r="L89" s="104"/>
      <c r="M89" s="104"/>
      <c r="N89" s="104"/>
      <c r="O89" s="104"/>
      <c r="P89" s="54"/>
      <c r="Q89" s="20"/>
      <c r="R89" s="76"/>
      <c r="S89" s="76"/>
      <c r="T89" s="76"/>
      <c r="U89" s="76"/>
      <c r="V89" s="76"/>
      <c r="W89" s="76"/>
      <c r="X89" s="76"/>
      <c r="Y89" s="76"/>
      <c r="Z89" s="76"/>
      <c r="AA89" s="76"/>
      <c r="AB89" s="76"/>
      <c r="AC89" s="76"/>
    </row>
    <row r="90" spans="1:29" ht="18.95" customHeight="1">
      <c r="A90" s="35"/>
      <c r="B90" s="20"/>
      <c r="C90" s="16"/>
      <c r="D90" s="16"/>
      <c r="E90" s="16"/>
      <c r="F90" s="20"/>
      <c r="G90" s="16"/>
      <c r="H90" s="26"/>
      <c r="I90" s="8"/>
      <c r="J90" s="51" t="s">
        <v>2126</v>
      </c>
      <c r="K90" s="103"/>
      <c r="L90" s="104"/>
      <c r="M90" s="104"/>
      <c r="N90" s="104"/>
      <c r="O90" s="104"/>
      <c r="P90" s="54"/>
      <c r="Q90" s="20"/>
      <c r="R90" s="76"/>
      <c r="S90" s="76"/>
      <c r="T90" s="76"/>
      <c r="U90" s="76"/>
      <c r="V90" s="76"/>
      <c r="W90" s="76"/>
      <c r="X90" s="76"/>
      <c r="Y90" s="76"/>
      <c r="Z90" s="76"/>
      <c r="AA90" s="76"/>
      <c r="AB90" s="76"/>
      <c r="AC90" s="76"/>
    </row>
    <row r="91" spans="1:29" ht="18.95" customHeight="1">
      <c r="A91" s="35"/>
      <c r="B91" s="20"/>
      <c r="C91" s="16"/>
      <c r="D91" s="16"/>
      <c r="E91" s="16"/>
      <c r="F91" s="20"/>
      <c r="G91" s="16"/>
      <c r="H91" s="26"/>
      <c r="I91" s="8"/>
      <c r="J91" s="51" t="s">
        <v>2127</v>
      </c>
      <c r="K91" s="103"/>
      <c r="L91" s="104"/>
      <c r="M91" s="104"/>
      <c r="N91" s="104"/>
      <c r="O91" s="104"/>
      <c r="P91" s="54"/>
      <c r="Q91" s="20"/>
      <c r="R91" s="76"/>
      <c r="S91" s="76"/>
      <c r="T91" s="76"/>
      <c r="U91" s="76"/>
      <c r="V91" s="76"/>
      <c r="W91" s="76"/>
      <c r="X91" s="76"/>
      <c r="Y91" s="76"/>
      <c r="Z91" s="76"/>
      <c r="AA91" s="76"/>
      <c r="AB91" s="76"/>
      <c r="AC91" s="76"/>
    </row>
    <row r="92" spans="1:29" ht="18.95" customHeight="1">
      <c r="A92" s="35"/>
      <c r="B92" s="20"/>
      <c r="C92" s="16"/>
      <c r="D92" s="16"/>
      <c r="E92" s="16"/>
      <c r="F92" s="20"/>
      <c r="G92" s="16"/>
      <c r="H92" s="26"/>
      <c r="I92" s="8"/>
      <c r="J92" s="51" t="s">
        <v>2128</v>
      </c>
      <c r="K92" s="103"/>
      <c r="L92" s="104"/>
      <c r="M92" s="104"/>
      <c r="N92" s="104"/>
      <c r="O92" s="104"/>
      <c r="P92" s="54"/>
      <c r="Q92" s="20"/>
      <c r="R92" s="76"/>
      <c r="S92" s="76"/>
      <c r="T92" s="76"/>
      <c r="U92" s="76"/>
      <c r="V92" s="76"/>
      <c r="W92" s="76"/>
      <c r="X92" s="76"/>
      <c r="Y92" s="76"/>
      <c r="Z92" s="76"/>
      <c r="AA92" s="76"/>
      <c r="AB92" s="76"/>
      <c r="AC92" s="76"/>
    </row>
    <row r="93" spans="1:29" ht="18.95" customHeight="1">
      <c r="A93" s="35"/>
      <c r="B93" s="20"/>
      <c r="C93" s="16"/>
      <c r="D93" s="16"/>
      <c r="E93" s="16"/>
      <c r="F93" s="20"/>
      <c r="G93" s="16"/>
      <c r="H93" s="26"/>
      <c r="I93" s="8"/>
      <c r="J93" s="51" t="s">
        <v>2129</v>
      </c>
      <c r="K93" s="103"/>
      <c r="L93" s="104"/>
      <c r="M93" s="104"/>
      <c r="N93" s="104"/>
      <c r="O93" s="104"/>
      <c r="P93" s="54"/>
      <c r="Q93" s="20"/>
      <c r="R93" s="76"/>
      <c r="S93" s="76"/>
      <c r="T93" s="76"/>
      <c r="U93" s="76"/>
      <c r="V93" s="76"/>
      <c r="W93" s="76"/>
      <c r="X93" s="76"/>
      <c r="Y93" s="76"/>
      <c r="Z93" s="76"/>
      <c r="AA93" s="76"/>
      <c r="AB93" s="76"/>
      <c r="AC93" s="76"/>
    </row>
    <row r="94" spans="1:29" ht="18.95" customHeight="1">
      <c r="A94" s="35"/>
      <c r="B94" s="20"/>
      <c r="C94" s="16"/>
      <c r="D94" s="16"/>
      <c r="E94" s="16"/>
      <c r="F94" s="20"/>
      <c r="G94" s="16"/>
      <c r="H94" s="26"/>
      <c r="I94" s="8"/>
      <c r="J94" s="51" t="s">
        <v>2130</v>
      </c>
      <c r="K94" s="103"/>
      <c r="L94" s="104"/>
      <c r="M94" s="104"/>
      <c r="N94" s="104"/>
      <c r="O94" s="104"/>
      <c r="P94" s="54"/>
      <c r="Q94" s="20"/>
      <c r="R94" s="76"/>
      <c r="S94" s="76"/>
      <c r="T94" s="76"/>
      <c r="U94" s="76"/>
      <c r="V94" s="76"/>
      <c r="W94" s="76"/>
      <c r="X94" s="76"/>
      <c r="Y94" s="76"/>
      <c r="Z94" s="76"/>
      <c r="AA94" s="76"/>
      <c r="AB94" s="76"/>
      <c r="AC94" s="76"/>
    </row>
    <row r="95" spans="1:29" ht="18.95" customHeight="1">
      <c r="A95" s="35"/>
      <c r="B95" s="20"/>
      <c r="C95" s="16"/>
      <c r="D95" s="16"/>
      <c r="E95" s="16"/>
      <c r="F95" s="20"/>
      <c r="G95" s="16"/>
      <c r="H95" s="26"/>
      <c r="I95" s="8"/>
      <c r="J95" s="51" t="s">
        <v>2131</v>
      </c>
      <c r="K95" s="103"/>
      <c r="L95" s="104"/>
      <c r="M95" s="104"/>
      <c r="N95" s="104"/>
      <c r="O95" s="104"/>
      <c r="P95" s="54"/>
      <c r="Q95" s="20"/>
      <c r="R95" s="76"/>
      <c r="S95" s="76"/>
      <c r="T95" s="76"/>
      <c r="U95" s="76"/>
      <c r="V95" s="76"/>
      <c r="W95" s="76"/>
      <c r="X95" s="76"/>
      <c r="Y95" s="76"/>
      <c r="Z95" s="76"/>
      <c r="AA95" s="76"/>
      <c r="AB95" s="76"/>
      <c r="AC95" s="76"/>
    </row>
    <row r="96" spans="1:29" ht="18.95" customHeight="1">
      <c r="A96" s="35"/>
      <c r="B96" s="20"/>
      <c r="C96" s="16"/>
      <c r="D96" s="16"/>
      <c r="E96" s="16"/>
      <c r="F96" s="20"/>
      <c r="G96" s="16"/>
      <c r="H96" s="26"/>
      <c r="I96" s="8"/>
      <c r="J96" s="51"/>
      <c r="K96" s="103"/>
      <c r="L96" s="104"/>
      <c r="M96" s="104"/>
      <c r="N96" s="104"/>
      <c r="O96" s="104"/>
      <c r="P96" s="54"/>
      <c r="Q96" s="20"/>
      <c r="R96" s="76"/>
      <c r="S96" s="76"/>
      <c r="T96" s="76"/>
      <c r="U96" s="76"/>
      <c r="V96" s="76"/>
      <c r="W96" s="76"/>
      <c r="X96" s="76"/>
      <c r="Y96" s="76"/>
      <c r="Z96" s="76"/>
      <c r="AA96" s="76"/>
      <c r="AB96" s="76"/>
      <c r="AC96" s="76"/>
    </row>
    <row r="97" spans="1:29" ht="18.95" customHeight="1">
      <c r="A97" s="35"/>
      <c r="B97" s="20"/>
      <c r="C97" s="16"/>
      <c r="D97" s="16"/>
      <c r="E97" s="16"/>
      <c r="F97" s="20" t="s">
        <v>1958</v>
      </c>
      <c r="G97" s="8" t="s">
        <v>2132</v>
      </c>
      <c r="H97" s="26"/>
      <c r="I97" s="8"/>
      <c r="J97" s="213" t="s">
        <v>2133</v>
      </c>
      <c r="K97" s="103"/>
      <c r="L97" s="104"/>
      <c r="M97" s="104"/>
      <c r="N97" s="104"/>
      <c r="O97" s="104"/>
      <c r="P97" s="54"/>
      <c r="Q97" s="20"/>
      <c r="R97" s="76"/>
      <c r="S97" s="76"/>
      <c r="T97" s="76"/>
      <c r="U97" s="76"/>
      <c r="V97" s="76"/>
      <c r="W97" s="76"/>
      <c r="X97" s="76"/>
      <c r="Y97" s="76"/>
      <c r="Z97" s="76"/>
      <c r="AA97" s="76"/>
      <c r="AB97" s="76"/>
      <c r="AC97" s="76"/>
    </row>
    <row r="98" spans="1:29" ht="18.95" customHeight="1">
      <c r="A98" s="35"/>
      <c r="B98" s="20"/>
      <c r="C98" s="16"/>
      <c r="D98" s="16"/>
      <c r="E98" s="16"/>
      <c r="F98" s="20"/>
      <c r="G98" s="2"/>
      <c r="H98" s="26"/>
      <c r="I98" s="8"/>
      <c r="J98" s="51" t="s">
        <v>2134</v>
      </c>
      <c r="K98" s="103"/>
      <c r="L98" s="104"/>
      <c r="M98" s="104"/>
      <c r="N98" s="104"/>
      <c r="O98" s="104"/>
      <c r="P98" s="54"/>
      <c r="Q98" s="20"/>
      <c r="R98" s="76"/>
      <c r="S98" s="76"/>
      <c r="T98" s="76"/>
      <c r="U98" s="76"/>
      <c r="V98" s="76"/>
      <c r="W98" s="76"/>
      <c r="X98" s="76"/>
      <c r="Y98" s="76"/>
      <c r="Z98" s="76"/>
      <c r="AA98" s="76"/>
      <c r="AB98" s="76"/>
      <c r="AC98" s="76"/>
    </row>
    <row r="99" spans="1:29" ht="18.95" customHeight="1">
      <c r="A99" s="35"/>
      <c r="B99" s="20"/>
      <c r="C99" s="16"/>
      <c r="D99" s="16"/>
      <c r="E99" s="16"/>
      <c r="F99" s="20"/>
      <c r="G99" s="16"/>
      <c r="H99" s="26"/>
      <c r="I99" s="8"/>
      <c r="J99" s="51" t="s">
        <v>2135</v>
      </c>
      <c r="K99" s="103"/>
      <c r="L99" s="104"/>
      <c r="M99" s="104"/>
      <c r="N99" s="104"/>
      <c r="O99" s="104"/>
      <c r="P99" s="54"/>
      <c r="Q99" s="20"/>
      <c r="R99" s="76"/>
      <c r="S99" s="76"/>
      <c r="T99" s="76"/>
      <c r="U99" s="76"/>
      <c r="V99" s="76"/>
      <c r="W99" s="76"/>
      <c r="X99" s="76"/>
      <c r="Y99" s="76"/>
      <c r="Z99" s="76"/>
      <c r="AA99" s="76"/>
      <c r="AB99" s="76"/>
      <c r="AC99" s="76"/>
    </row>
    <row r="100" spans="1:29" ht="18.95" customHeight="1">
      <c r="A100" s="35"/>
      <c r="B100" s="20"/>
      <c r="C100" s="16"/>
      <c r="D100" s="16"/>
      <c r="E100" s="16"/>
      <c r="F100" s="20"/>
      <c r="G100" s="16"/>
      <c r="H100" s="26"/>
      <c r="I100" s="8"/>
      <c r="J100" s="51" t="s">
        <v>2136</v>
      </c>
      <c r="K100" s="103"/>
      <c r="L100" s="104"/>
      <c r="M100" s="104"/>
      <c r="N100" s="104"/>
      <c r="O100" s="104"/>
      <c r="P100" s="54"/>
      <c r="Q100" s="20"/>
      <c r="R100" s="76"/>
      <c r="S100" s="76"/>
      <c r="T100" s="76"/>
      <c r="U100" s="76"/>
      <c r="V100" s="76"/>
      <c r="W100" s="76"/>
      <c r="X100" s="76"/>
      <c r="Y100" s="76"/>
      <c r="Z100" s="76"/>
      <c r="AA100" s="76"/>
      <c r="AB100" s="76"/>
      <c r="AC100" s="76"/>
    </row>
    <row r="101" spans="1:29" ht="18.95" customHeight="1">
      <c r="A101" s="35"/>
      <c r="B101" s="20"/>
      <c r="C101" s="16"/>
      <c r="D101" s="16"/>
      <c r="E101" s="16"/>
      <c r="F101" s="20"/>
      <c r="G101" s="16"/>
      <c r="H101" s="26"/>
      <c r="I101" s="8"/>
      <c r="J101" s="51" t="s">
        <v>2137</v>
      </c>
      <c r="K101" s="103"/>
      <c r="L101" s="104"/>
      <c r="M101" s="104"/>
      <c r="N101" s="104"/>
      <c r="O101" s="104"/>
      <c r="P101" s="54"/>
      <c r="Q101" s="20"/>
      <c r="R101" s="76"/>
      <c r="S101" s="76"/>
      <c r="T101" s="76"/>
      <c r="U101" s="76"/>
      <c r="V101" s="76"/>
      <c r="W101" s="76"/>
      <c r="X101" s="76"/>
      <c r="Y101" s="76"/>
      <c r="Z101" s="76"/>
      <c r="AA101" s="76"/>
      <c r="AB101" s="76"/>
      <c r="AC101" s="76"/>
    </row>
    <row r="102" spans="1:29" ht="18.95" customHeight="1">
      <c r="A102" s="35"/>
      <c r="B102" s="20"/>
      <c r="C102" s="16"/>
      <c r="D102" s="16"/>
      <c r="E102" s="16"/>
      <c r="F102" s="20"/>
      <c r="G102" s="16"/>
      <c r="H102" s="26"/>
      <c r="I102" s="8"/>
      <c r="J102" s="51" t="s">
        <v>2138</v>
      </c>
      <c r="K102" s="103"/>
      <c r="L102" s="104"/>
      <c r="M102" s="104"/>
      <c r="N102" s="104"/>
      <c r="O102" s="104"/>
      <c r="P102" s="54"/>
      <c r="Q102" s="20"/>
      <c r="R102" s="76"/>
      <c r="S102" s="76"/>
      <c r="T102" s="76"/>
      <c r="U102" s="76"/>
      <c r="V102" s="76"/>
      <c r="W102" s="76"/>
      <c r="X102" s="76"/>
      <c r="Y102" s="76"/>
      <c r="Z102" s="76"/>
      <c r="AA102" s="76"/>
      <c r="AB102" s="76"/>
      <c r="AC102" s="76"/>
    </row>
    <row r="103" spans="1:29" ht="18.95" customHeight="1">
      <c r="A103" s="35"/>
      <c r="B103" s="20"/>
      <c r="C103" s="16"/>
      <c r="D103" s="16"/>
      <c r="E103" s="16"/>
      <c r="F103" s="20"/>
      <c r="G103" s="16"/>
      <c r="H103" s="26"/>
      <c r="I103" s="8"/>
      <c r="J103" s="51"/>
      <c r="K103" s="103"/>
      <c r="L103" s="104"/>
      <c r="M103" s="104"/>
      <c r="N103" s="104"/>
      <c r="O103" s="104"/>
      <c r="P103" s="54"/>
      <c r="Q103" s="20"/>
      <c r="R103" s="76"/>
      <c r="S103" s="76"/>
      <c r="T103" s="76"/>
      <c r="U103" s="76"/>
      <c r="V103" s="76"/>
      <c r="W103" s="76"/>
      <c r="X103" s="76"/>
      <c r="Y103" s="76"/>
      <c r="Z103" s="76"/>
      <c r="AA103" s="76"/>
      <c r="AB103" s="76"/>
      <c r="AC103" s="76"/>
    </row>
    <row r="104" spans="1:29" ht="18.95" customHeight="1">
      <c r="A104" s="35"/>
      <c r="B104" s="20"/>
      <c r="C104" s="16"/>
      <c r="D104" s="16"/>
      <c r="E104" s="16"/>
      <c r="F104" s="20"/>
      <c r="G104" s="16"/>
      <c r="H104" s="26"/>
      <c r="I104" s="8"/>
      <c r="J104" s="213" t="s">
        <v>2139</v>
      </c>
      <c r="K104" s="103"/>
      <c r="L104" s="104"/>
      <c r="M104" s="104"/>
      <c r="N104" s="104"/>
      <c r="O104" s="104"/>
      <c r="P104" s="54"/>
      <c r="Q104" s="20"/>
      <c r="R104" s="76"/>
      <c r="S104" s="76"/>
      <c r="T104" s="76"/>
      <c r="U104" s="76"/>
      <c r="V104" s="76"/>
      <c r="W104" s="76"/>
      <c r="X104" s="76"/>
      <c r="Y104" s="76"/>
      <c r="Z104" s="76"/>
      <c r="AA104" s="76"/>
      <c r="AB104" s="76"/>
      <c r="AC104" s="76"/>
    </row>
    <row r="105" spans="1:29" ht="18.95" customHeight="1">
      <c r="A105" s="35"/>
      <c r="B105" s="20"/>
      <c r="C105" s="16"/>
      <c r="D105" s="16"/>
      <c r="E105" s="16"/>
      <c r="F105" s="20"/>
      <c r="G105" s="16"/>
      <c r="H105" s="26"/>
      <c r="I105" s="8"/>
      <c r="J105" s="51" t="s">
        <v>2140</v>
      </c>
      <c r="K105" s="103"/>
      <c r="L105" s="104"/>
      <c r="M105" s="104"/>
      <c r="N105" s="104"/>
      <c r="O105" s="104"/>
      <c r="P105" s="54"/>
      <c r="Q105" s="20"/>
      <c r="R105" s="76"/>
      <c r="S105" s="76"/>
      <c r="T105" s="76"/>
      <c r="U105" s="76"/>
      <c r="V105" s="76"/>
      <c r="W105" s="76"/>
      <c r="X105" s="76"/>
      <c r="Y105" s="76"/>
      <c r="Z105" s="76"/>
      <c r="AA105" s="76"/>
      <c r="AB105" s="76"/>
      <c r="AC105" s="76"/>
    </row>
    <row r="106" spans="1:29" ht="18.95" customHeight="1">
      <c r="A106" s="35"/>
      <c r="B106" s="20"/>
      <c r="C106" s="16"/>
      <c r="D106" s="16"/>
      <c r="E106" s="16"/>
      <c r="F106" s="20"/>
      <c r="G106" s="16"/>
      <c r="H106" s="26"/>
      <c r="I106" s="8"/>
      <c r="J106" s="51" t="s">
        <v>2141</v>
      </c>
      <c r="K106" s="103"/>
      <c r="L106" s="104"/>
      <c r="M106" s="104"/>
      <c r="N106" s="104"/>
      <c r="O106" s="104"/>
      <c r="P106" s="54"/>
      <c r="Q106" s="20"/>
      <c r="R106" s="76"/>
      <c r="S106" s="76"/>
      <c r="T106" s="76"/>
      <c r="U106" s="76"/>
      <c r="V106" s="76"/>
      <c r="W106" s="76"/>
      <c r="X106" s="76"/>
      <c r="Y106" s="76"/>
      <c r="Z106" s="76"/>
      <c r="AA106" s="76"/>
      <c r="AB106" s="76"/>
      <c r="AC106" s="76"/>
    </row>
    <row r="107" spans="1:29" ht="18.95" customHeight="1">
      <c r="A107" s="35"/>
      <c r="B107" s="20"/>
      <c r="C107" s="16"/>
      <c r="D107" s="16"/>
      <c r="E107" s="16"/>
      <c r="F107" s="20"/>
      <c r="G107" s="16"/>
      <c r="H107" s="26"/>
      <c r="I107" s="8"/>
      <c r="J107" s="51" t="s">
        <v>2142</v>
      </c>
      <c r="K107" s="103"/>
      <c r="L107" s="104"/>
      <c r="M107" s="104"/>
      <c r="N107" s="104"/>
      <c r="O107" s="104"/>
      <c r="P107" s="54"/>
      <c r="Q107" s="20"/>
      <c r="R107" s="76"/>
      <c r="S107" s="76"/>
      <c r="T107" s="76"/>
      <c r="U107" s="76"/>
      <c r="V107" s="76"/>
      <c r="W107" s="76"/>
      <c r="X107" s="76"/>
      <c r="Y107" s="76"/>
      <c r="Z107" s="76"/>
      <c r="AA107" s="76"/>
      <c r="AB107" s="76"/>
      <c r="AC107" s="76"/>
    </row>
    <row r="108" spans="1:29" ht="18.95" customHeight="1">
      <c r="A108" s="35"/>
      <c r="B108" s="20"/>
      <c r="C108" s="16"/>
      <c r="D108" s="16"/>
      <c r="E108" s="16"/>
      <c r="F108" s="20"/>
      <c r="G108" s="16"/>
      <c r="H108" s="26"/>
      <c r="I108" s="8"/>
      <c r="J108" s="51" t="s">
        <v>2143</v>
      </c>
      <c r="K108" s="103"/>
      <c r="L108" s="104"/>
      <c r="M108" s="104"/>
      <c r="N108" s="104"/>
      <c r="O108" s="104"/>
      <c r="P108" s="54"/>
      <c r="Q108" s="20"/>
      <c r="R108" s="76"/>
      <c r="S108" s="76"/>
      <c r="T108" s="76"/>
      <c r="U108" s="76"/>
      <c r="V108" s="76"/>
      <c r="W108" s="76"/>
      <c r="X108" s="76"/>
      <c r="Y108" s="76"/>
      <c r="Z108" s="76"/>
      <c r="AA108" s="76"/>
      <c r="AB108" s="76"/>
      <c r="AC108" s="76"/>
    </row>
    <row r="109" spans="1:29" ht="18.95" customHeight="1">
      <c r="A109" s="35"/>
      <c r="B109" s="20"/>
      <c r="C109" s="16"/>
      <c r="D109" s="16"/>
      <c r="E109" s="16"/>
      <c r="F109" s="20"/>
      <c r="G109" s="16"/>
      <c r="H109" s="26"/>
      <c r="I109" s="8"/>
      <c r="J109" s="51" t="s">
        <v>2144</v>
      </c>
      <c r="K109" s="103"/>
      <c r="L109" s="104"/>
      <c r="M109" s="104"/>
      <c r="N109" s="104"/>
      <c r="O109" s="104"/>
      <c r="P109" s="54"/>
      <c r="Q109" s="20"/>
      <c r="R109" s="76"/>
      <c r="S109" s="76"/>
      <c r="T109" s="76"/>
      <c r="U109" s="76"/>
      <c r="V109" s="76"/>
      <c r="W109" s="76"/>
      <c r="X109" s="76"/>
      <c r="Y109" s="76"/>
      <c r="Z109" s="76"/>
      <c r="AA109" s="76"/>
      <c r="AB109" s="76"/>
      <c r="AC109" s="76"/>
    </row>
    <row r="110" spans="1:29" ht="18.95" customHeight="1">
      <c r="A110" s="35"/>
      <c r="B110" s="20"/>
      <c r="C110" s="16"/>
      <c r="D110" s="16"/>
      <c r="E110" s="16"/>
      <c r="F110" s="20"/>
      <c r="G110" s="16"/>
      <c r="H110" s="26"/>
      <c r="I110" s="8"/>
      <c r="J110" s="51" t="s">
        <v>2145</v>
      </c>
      <c r="K110" s="103"/>
      <c r="L110" s="104"/>
      <c r="M110" s="104"/>
      <c r="N110" s="104"/>
      <c r="O110" s="104"/>
      <c r="P110" s="54"/>
      <c r="Q110" s="20"/>
      <c r="R110" s="76"/>
      <c r="S110" s="76"/>
      <c r="T110" s="76"/>
      <c r="U110" s="76"/>
      <c r="V110" s="76"/>
      <c r="W110" s="76"/>
      <c r="X110" s="76"/>
      <c r="Y110" s="76"/>
      <c r="Z110" s="76"/>
      <c r="AA110" s="76"/>
      <c r="AB110" s="76"/>
      <c r="AC110" s="76"/>
    </row>
    <row r="111" spans="1:29" ht="18.95" customHeight="1">
      <c r="A111" s="35"/>
      <c r="B111" s="20"/>
      <c r="C111" s="16"/>
      <c r="D111" s="16"/>
      <c r="E111" s="16"/>
      <c r="F111" s="20"/>
      <c r="G111" s="16"/>
      <c r="H111" s="26"/>
      <c r="I111" s="8"/>
      <c r="J111" s="51" t="s">
        <v>2146</v>
      </c>
      <c r="K111" s="103"/>
      <c r="L111" s="104"/>
      <c r="M111" s="104"/>
      <c r="N111" s="104"/>
      <c r="O111" s="104"/>
      <c r="P111" s="54"/>
      <c r="Q111" s="20"/>
      <c r="R111" s="76"/>
      <c r="S111" s="76"/>
      <c r="T111" s="76"/>
      <c r="U111" s="76"/>
      <c r="V111" s="76"/>
      <c r="W111" s="76"/>
      <c r="X111" s="76"/>
      <c r="Y111" s="76"/>
      <c r="Z111" s="76"/>
      <c r="AA111" s="76"/>
      <c r="AB111" s="76"/>
      <c r="AC111" s="76"/>
    </row>
    <row r="112" spans="1:29" ht="18.95" customHeight="1">
      <c r="A112" s="35"/>
      <c r="B112" s="20"/>
      <c r="C112" s="16"/>
      <c r="D112" s="16"/>
      <c r="E112" s="16"/>
      <c r="F112" s="20"/>
      <c r="G112" s="16"/>
      <c r="H112" s="26"/>
      <c r="I112" s="8"/>
      <c r="J112" s="51"/>
      <c r="K112" s="103"/>
      <c r="L112" s="104"/>
      <c r="M112" s="104"/>
      <c r="N112" s="104"/>
      <c r="O112" s="104"/>
      <c r="P112" s="54"/>
      <c r="Q112" s="20"/>
      <c r="R112" s="76"/>
      <c r="S112" s="76"/>
      <c r="T112" s="76"/>
      <c r="U112" s="76"/>
      <c r="V112" s="76"/>
      <c r="W112" s="76"/>
      <c r="X112" s="76"/>
      <c r="Y112" s="76"/>
      <c r="Z112" s="76"/>
      <c r="AA112" s="76"/>
      <c r="AB112" s="76"/>
      <c r="AC112" s="76"/>
    </row>
    <row r="113" spans="1:29" ht="18.95" customHeight="1">
      <c r="A113" s="35"/>
      <c r="B113" s="20"/>
      <c r="C113" s="16"/>
      <c r="D113" s="16"/>
      <c r="E113" s="16"/>
      <c r="F113" s="20" t="s">
        <v>1963</v>
      </c>
      <c r="G113" s="8" t="s">
        <v>2147</v>
      </c>
      <c r="H113" s="26"/>
      <c r="I113" s="8"/>
      <c r="J113" s="213" t="s">
        <v>2148</v>
      </c>
      <c r="K113" s="103"/>
      <c r="L113" s="104"/>
      <c r="M113" s="104"/>
      <c r="N113" s="104"/>
      <c r="O113" s="104"/>
      <c r="P113" s="54"/>
      <c r="Q113" s="20"/>
      <c r="R113" s="76"/>
      <c r="S113" s="76"/>
      <c r="T113" s="76"/>
      <c r="U113" s="76"/>
      <c r="V113" s="76"/>
      <c r="W113" s="76"/>
      <c r="X113" s="76"/>
      <c r="Y113" s="76"/>
      <c r="Z113" s="76"/>
      <c r="AA113" s="76"/>
      <c r="AB113" s="76"/>
      <c r="AC113" s="76"/>
    </row>
    <row r="114" spans="1:29" ht="18.95" customHeight="1">
      <c r="A114" s="35"/>
      <c r="B114" s="20"/>
      <c r="C114" s="16"/>
      <c r="D114" s="16"/>
      <c r="E114" s="16"/>
      <c r="F114" s="20"/>
      <c r="G114" s="16"/>
      <c r="H114" s="26"/>
      <c r="I114" s="8"/>
      <c r="J114" s="51" t="s">
        <v>2149</v>
      </c>
      <c r="K114" s="103"/>
      <c r="L114" s="104"/>
      <c r="M114" s="104"/>
      <c r="N114" s="104"/>
      <c r="O114" s="104"/>
      <c r="P114" s="54"/>
      <c r="Q114" s="20"/>
      <c r="R114" s="76"/>
      <c r="S114" s="76"/>
      <c r="T114" s="76"/>
      <c r="U114" s="76"/>
      <c r="V114" s="76"/>
      <c r="W114" s="76"/>
      <c r="X114" s="76"/>
      <c r="Y114" s="76"/>
      <c r="Z114" s="76"/>
      <c r="AA114" s="76"/>
      <c r="AB114" s="76"/>
      <c r="AC114" s="76"/>
    </row>
    <row r="115" spans="1:29" ht="18.95" customHeight="1">
      <c r="A115" s="35"/>
      <c r="B115" s="20"/>
      <c r="C115" s="16"/>
      <c r="D115" s="16"/>
      <c r="E115" s="16"/>
      <c r="F115" s="20"/>
      <c r="G115" s="16"/>
      <c r="H115" s="26"/>
      <c r="I115" s="8"/>
      <c r="J115" s="51" t="s">
        <v>2150</v>
      </c>
      <c r="K115" s="103"/>
      <c r="L115" s="104"/>
      <c r="M115" s="104"/>
      <c r="N115" s="104"/>
      <c r="O115" s="104"/>
      <c r="P115" s="54"/>
      <c r="Q115" s="20"/>
      <c r="R115" s="76"/>
      <c r="S115" s="76"/>
      <c r="T115" s="76"/>
      <c r="U115" s="76"/>
      <c r="V115" s="76"/>
      <c r="W115" s="76"/>
      <c r="X115" s="76"/>
      <c r="Y115" s="76"/>
      <c r="Z115" s="76"/>
      <c r="AA115" s="76"/>
      <c r="AB115" s="76"/>
      <c r="AC115" s="76"/>
    </row>
    <row r="116" spans="1:29" ht="18.95" customHeight="1">
      <c r="A116" s="35"/>
      <c r="B116" s="20"/>
      <c r="C116" s="16"/>
      <c r="D116" s="16"/>
      <c r="E116" s="16"/>
      <c r="F116" s="20"/>
      <c r="G116" s="16"/>
      <c r="H116" s="26"/>
      <c r="I116" s="8"/>
      <c r="J116" s="51" t="s">
        <v>2151</v>
      </c>
      <c r="K116" s="103"/>
      <c r="L116" s="104"/>
      <c r="M116" s="104"/>
      <c r="N116" s="104"/>
      <c r="O116" s="104"/>
      <c r="P116" s="54"/>
      <c r="Q116" s="20"/>
      <c r="R116" s="76"/>
      <c r="S116" s="76"/>
      <c r="T116" s="76"/>
      <c r="U116" s="76"/>
      <c r="V116" s="76"/>
      <c r="W116" s="76"/>
      <c r="X116" s="76"/>
      <c r="Y116" s="76"/>
      <c r="Z116" s="76"/>
      <c r="AA116" s="76"/>
      <c r="AB116" s="76"/>
      <c r="AC116" s="76"/>
    </row>
    <row r="117" spans="1:29" ht="18.95" customHeight="1">
      <c r="A117" s="35"/>
      <c r="B117" s="20"/>
      <c r="C117" s="16"/>
      <c r="D117" s="16"/>
      <c r="E117" s="16"/>
      <c r="F117" s="20"/>
      <c r="G117" s="16"/>
      <c r="H117" s="26"/>
      <c r="I117" s="8"/>
      <c r="J117" s="51" t="s">
        <v>2152</v>
      </c>
      <c r="K117" s="103"/>
      <c r="L117" s="104"/>
      <c r="M117" s="104"/>
      <c r="N117" s="104"/>
      <c r="O117" s="104"/>
      <c r="P117" s="54"/>
      <c r="Q117" s="20"/>
      <c r="R117" s="76"/>
      <c r="S117" s="76"/>
      <c r="T117" s="76"/>
      <c r="U117" s="76"/>
      <c r="V117" s="76"/>
      <c r="W117" s="76"/>
      <c r="X117" s="76"/>
      <c r="Y117" s="76"/>
      <c r="Z117" s="76"/>
      <c r="AA117" s="76"/>
      <c r="AB117" s="76"/>
      <c r="AC117" s="76"/>
    </row>
    <row r="118" spans="1:29" ht="18.95" customHeight="1">
      <c r="A118" s="35"/>
      <c r="B118" s="20"/>
      <c r="C118" s="16"/>
      <c r="D118" s="16"/>
      <c r="E118" s="16"/>
      <c r="F118" s="20"/>
      <c r="G118" s="16"/>
      <c r="H118" s="26"/>
      <c r="I118" s="8"/>
      <c r="J118" s="215" t="s">
        <v>2153</v>
      </c>
      <c r="K118" s="103"/>
      <c r="L118" s="104"/>
      <c r="M118" s="104"/>
      <c r="N118" s="104"/>
      <c r="O118" s="104"/>
      <c r="P118" s="54"/>
      <c r="Q118" s="20"/>
      <c r="R118" s="76"/>
      <c r="S118" s="76"/>
      <c r="T118" s="76"/>
      <c r="U118" s="76"/>
      <c r="V118" s="76"/>
      <c r="W118" s="76"/>
      <c r="X118" s="76"/>
      <c r="Y118" s="76"/>
      <c r="Z118" s="76"/>
      <c r="AA118" s="76"/>
      <c r="AB118" s="76"/>
      <c r="AC118" s="76"/>
    </row>
    <row r="119" spans="1:29" ht="20.25">
      <c r="A119" s="35"/>
      <c r="B119" s="20"/>
      <c r="C119" s="16"/>
      <c r="D119" s="16"/>
      <c r="E119" s="16"/>
      <c r="F119" s="20"/>
      <c r="G119" s="16"/>
      <c r="H119" s="26"/>
      <c r="I119" s="8"/>
      <c r="J119" s="51" t="s">
        <v>2154</v>
      </c>
      <c r="K119" s="103"/>
      <c r="L119" s="104"/>
      <c r="M119" s="104"/>
      <c r="N119" s="104"/>
      <c r="O119" s="104"/>
      <c r="P119" s="54"/>
      <c r="Q119" s="20"/>
      <c r="R119" s="76"/>
      <c r="S119" s="76"/>
      <c r="T119" s="76"/>
      <c r="U119" s="76"/>
      <c r="V119" s="76"/>
      <c r="W119" s="76"/>
      <c r="X119" s="76"/>
      <c r="Y119" s="76"/>
      <c r="Z119" s="76"/>
      <c r="AA119" s="76"/>
      <c r="AB119" s="76"/>
      <c r="AC119" s="76"/>
    </row>
    <row r="120" spans="1:29" ht="18.95" customHeight="1">
      <c r="A120" s="35"/>
      <c r="B120" s="20"/>
      <c r="C120" s="16"/>
      <c r="D120" s="16"/>
      <c r="E120" s="16"/>
      <c r="F120" s="20"/>
      <c r="G120" s="16"/>
      <c r="H120" s="26"/>
      <c r="I120" s="8"/>
      <c r="J120" s="51" t="s">
        <v>2155</v>
      </c>
      <c r="K120" s="103"/>
      <c r="L120" s="104"/>
      <c r="M120" s="104"/>
      <c r="N120" s="104"/>
      <c r="O120" s="104"/>
      <c r="P120" s="54"/>
      <c r="Q120" s="20"/>
      <c r="R120" s="76"/>
      <c r="S120" s="76"/>
      <c r="T120" s="76"/>
      <c r="U120" s="76"/>
      <c r="V120" s="76"/>
      <c r="W120" s="76"/>
      <c r="X120" s="76"/>
      <c r="Y120" s="76"/>
      <c r="Z120" s="76"/>
      <c r="AA120" s="76"/>
      <c r="AB120" s="76"/>
      <c r="AC120" s="76"/>
    </row>
    <row r="121" spans="1:29" ht="18.95" customHeight="1">
      <c r="A121" s="35"/>
      <c r="B121" s="20"/>
      <c r="C121" s="16"/>
      <c r="D121" s="16"/>
      <c r="E121" s="16"/>
      <c r="F121" s="20"/>
      <c r="G121" s="16"/>
      <c r="H121" s="26"/>
      <c r="I121" s="8"/>
      <c r="J121" s="51" t="s">
        <v>2156</v>
      </c>
      <c r="K121" s="103"/>
      <c r="L121" s="104"/>
      <c r="M121" s="104"/>
      <c r="N121" s="104"/>
      <c r="O121" s="104"/>
      <c r="P121" s="54"/>
      <c r="Q121" s="20"/>
      <c r="R121" s="76"/>
      <c r="S121" s="76"/>
      <c r="T121" s="76"/>
      <c r="U121" s="76"/>
      <c r="V121" s="76"/>
      <c r="W121" s="76"/>
      <c r="X121" s="76"/>
      <c r="Y121" s="76"/>
      <c r="Z121" s="76"/>
      <c r="AA121" s="76"/>
      <c r="AB121" s="76"/>
      <c r="AC121" s="76"/>
    </row>
    <row r="122" spans="1:29" ht="18.95" customHeight="1">
      <c r="A122" s="35"/>
      <c r="B122" s="20"/>
      <c r="C122" s="16"/>
      <c r="D122" s="16"/>
      <c r="E122" s="16"/>
      <c r="F122" s="20"/>
      <c r="G122" s="16"/>
      <c r="H122" s="26"/>
      <c r="I122" s="8"/>
      <c r="J122" s="51" t="s">
        <v>2157</v>
      </c>
      <c r="K122" s="103"/>
      <c r="L122" s="104"/>
      <c r="M122" s="104"/>
      <c r="N122" s="104"/>
      <c r="O122" s="104"/>
      <c r="P122" s="54"/>
      <c r="Q122" s="20"/>
      <c r="R122" s="76"/>
      <c r="S122" s="76"/>
      <c r="T122" s="76"/>
      <c r="U122" s="76"/>
      <c r="V122" s="76"/>
      <c r="W122" s="76"/>
      <c r="X122" s="76"/>
      <c r="Y122" s="76"/>
      <c r="Z122" s="76"/>
      <c r="AA122" s="76"/>
      <c r="AB122" s="76"/>
      <c r="AC122" s="76"/>
    </row>
    <row r="123" spans="1:29" ht="18.95" customHeight="1">
      <c r="A123" s="35"/>
      <c r="B123" s="20"/>
      <c r="C123" s="16"/>
      <c r="D123" s="16"/>
      <c r="E123" s="16"/>
      <c r="F123" s="20"/>
      <c r="G123" s="16"/>
      <c r="H123" s="26"/>
      <c r="I123" s="8"/>
      <c r="J123" s="51" t="s">
        <v>2158</v>
      </c>
      <c r="K123" s="103"/>
      <c r="L123" s="104"/>
      <c r="M123" s="104"/>
      <c r="N123" s="104"/>
      <c r="O123" s="104"/>
      <c r="P123" s="54"/>
      <c r="Q123" s="20"/>
      <c r="R123" s="76"/>
      <c r="S123" s="76"/>
      <c r="T123" s="76"/>
      <c r="U123" s="76"/>
      <c r="V123" s="76"/>
      <c r="W123" s="76"/>
      <c r="X123" s="76"/>
      <c r="Y123" s="76"/>
      <c r="Z123" s="76"/>
      <c r="AA123" s="76"/>
      <c r="AB123" s="76"/>
      <c r="AC123" s="76"/>
    </row>
    <row r="124" spans="1:29" ht="18.95" customHeight="1">
      <c r="A124" s="35"/>
      <c r="B124" s="20"/>
      <c r="C124" s="16"/>
      <c r="D124" s="16"/>
      <c r="E124" s="16"/>
      <c r="F124" s="20"/>
      <c r="G124" s="16"/>
      <c r="H124" s="26"/>
      <c r="I124" s="8"/>
      <c r="J124" s="51" t="s">
        <v>2159</v>
      </c>
      <c r="K124" s="103"/>
      <c r="L124" s="104"/>
      <c r="M124" s="104"/>
      <c r="N124" s="104"/>
      <c r="O124" s="104"/>
      <c r="P124" s="54"/>
      <c r="Q124" s="20"/>
      <c r="R124" s="76"/>
      <c r="S124" s="76"/>
      <c r="T124" s="76"/>
      <c r="U124" s="76"/>
      <c r="V124" s="76"/>
      <c r="W124" s="76"/>
      <c r="X124" s="76"/>
      <c r="Y124" s="76"/>
      <c r="Z124" s="76"/>
      <c r="AA124" s="76"/>
      <c r="AB124" s="76"/>
      <c r="AC124" s="76"/>
    </row>
    <row r="125" spans="1:29" ht="18.95" customHeight="1">
      <c r="A125" s="35"/>
      <c r="B125" s="20"/>
      <c r="C125" s="16"/>
      <c r="D125" s="16"/>
      <c r="E125" s="16"/>
      <c r="F125" s="20"/>
      <c r="G125" s="16"/>
      <c r="H125" s="26"/>
      <c r="I125" s="8"/>
      <c r="J125" s="51" t="s">
        <v>2160</v>
      </c>
      <c r="K125" s="103"/>
      <c r="L125" s="104"/>
      <c r="M125" s="104"/>
      <c r="N125" s="104"/>
      <c r="O125" s="104"/>
      <c r="P125" s="54"/>
      <c r="Q125" s="20"/>
      <c r="R125" s="76"/>
      <c r="S125" s="76"/>
      <c r="T125" s="76"/>
      <c r="U125" s="76"/>
      <c r="V125" s="76"/>
      <c r="W125" s="76"/>
      <c r="X125" s="76"/>
      <c r="Y125" s="76"/>
      <c r="Z125" s="76"/>
      <c r="AA125" s="76"/>
      <c r="AB125" s="76"/>
      <c r="AC125" s="76"/>
    </row>
    <row r="126" spans="1:29" ht="18.95" customHeight="1">
      <c r="A126" s="35"/>
      <c r="B126" s="20"/>
      <c r="C126" s="16"/>
      <c r="D126" s="16"/>
      <c r="E126" s="16"/>
      <c r="F126" s="20"/>
      <c r="G126" s="16"/>
      <c r="H126" s="26"/>
      <c r="I126" s="8"/>
      <c r="J126" s="51"/>
      <c r="K126" s="103"/>
      <c r="L126" s="104"/>
      <c r="M126" s="104"/>
      <c r="N126" s="104"/>
      <c r="O126" s="104"/>
      <c r="P126" s="54"/>
      <c r="Q126" s="20"/>
      <c r="R126" s="76"/>
      <c r="S126" s="76"/>
      <c r="T126" s="76"/>
      <c r="U126" s="76"/>
      <c r="V126" s="76"/>
      <c r="W126" s="76"/>
      <c r="X126" s="76"/>
      <c r="Y126" s="76"/>
      <c r="Z126" s="76"/>
      <c r="AA126" s="76"/>
      <c r="AB126" s="76"/>
      <c r="AC126" s="76"/>
    </row>
    <row r="127" spans="1:29" ht="18.95" customHeight="1">
      <c r="A127" s="35"/>
      <c r="B127" s="20"/>
      <c r="C127" s="16"/>
      <c r="D127" s="16"/>
      <c r="E127" s="16">
        <v>4</v>
      </c>
      <c r="F127" s="20" t="s">
        <v>245</v>
      </c>
      <c r="G127" s="16" t="s">
        <v>2161</v>
      </c>
      <c r="H127" s="26"/>
      <c r="I127" s="8"/>
      <c r="J127" s="213" t="s">
        <v>2162</v>
      </c>
      <c r="K127" s="103"/>
      <c r="L127" s="104"/>
      <c r="M127" s="104"/>
      <c r="N127" s="104"/>
      <c r="O127" s="104"/>
      <c r="P127" s="54"/>
      <c r="Q127" s="20"/>
      <c r="R127" s="76"/>
      <c r="S127" s="76"/>
      <c r="T127" s="76"/>
      <c r="U127" s="76"/>
      <c r="V127" s="76"/>
      <c r="W127" s="76"/>
      <c r="X127" s="76"/>
      <c r="Y127" s="76"/>
      <c r="Z127" s="76"/>
      <c r="AA127" s="76"/>
      <c r="AB127" s="76"/>
      <c r="AC127" s="76"/>
    </row>
    <row r="128" spans="1:29" ht="18.95" customHeight="1">
      <c r="A128" s="35"/>
      <c r="B128" s="20"/>
      <c r="C128" s="16"/>
      <c r="D128" s="16"/>
      <c r="E128" s="16"/>
      <c r="F128" s="20"/>
      <c r="G128" s="2"/>
      <c r="H128" s="26"/>
      <c r="I128" s="8"/>
      <c r="J128" s="103" t="s">
        <v>2163</v>
      </c>
      <c r="K128" s="103"/>
      <c r="L128" s="104"/>
      <c r="M128" s="104"/>
      <c r="N128" s="104"/>
      <c r="O128" s="104"/>
      <c r="P128" s="54"/>
      <c r="Q128" s="20"/>
      <c r="R128" s="76"/>
      <c r="S128" s="76"/>
      <c r="T128" s="76"/>
      <c r="U128" s="76"/>
      <c r="V128" s="76"/>
      <c r="W128" s="76"/>
      <c r="X128" s="76"/>
      <c r="Y128" s="76"/>
      <c r="Z128" s="76"/>
      <c r="AA128" s="76"/>
      <c r="AB128" s="76"/>
      <c r="AC128" s="76"/>
    </row>
    <row r="129" spans="1:29" ht="18.95" customHeight="1">
      <c r="A129" s="35"/>
      <c r="B129" s="20"/>
      <c r="C129" s="16"/>
      <c r="D129" s="16"/>
      <c r="E129" s="16"/>
      <c r="F129" s="20" t="s">
        <v>1958</v>
      </c>
      <c r="G129" s="16" t="s">
        <v>2164</v>
      </c>
      <c r="H129" s="26"/>
      <c r="I129" s="8"/>
      <c r="J129" s="216" t="s">
        <v>2165</v>
      </c>
      <c r="K129" s="103"/>
      <c r="L129" s="104"/>
      <c r="M129" s="104"/>
      <c r="N129" s="104"/>
      <c r="O129" s="104"/>
      <c r="P129" s="54"/>
      <c r="Q129" s="20"/>
      <c r="R129" s="76"/>
      <c r="S129" s="76"/>
      <c r="T129" s="76"/>
      <c r="U129" s="76"/>
      <c r="V129" s="76"/>
      <c r="W129" s="76"/>
      <c r="X129" s="76"/>
      <c r="Y129" s="76"/>
      <c r="Z129" s="76"/>
      <c r="AA129" s="76"/>
      <c r="AB129" s="76"/>
      <c r="AC129" s="76"/>
    </row>
    <row r="130" spans="1:29" ht="18.95" customHeight="1">
      <c r="A130" s="35"/>
      <c r="B130" s="20"/>
      <c r="C130" s="16"/>
      <c r="D130" s="16"/>
      <c r="E130" s="16"/>
      <c r="F130" s="20"/>
      <c r="G130" s="2"/>
      <c r="H130" s="26"/>
      <c r="I130" s="8"/>
      <c r="J130" s="103" t="s">
        <v>2166</v>
      </c>
      <c r="K130" s="103"/>
      <c r="L130" s="104"/>
      <c r="M130" s="104"/>
      <c r="N130" s="104"/>
      <c r="O130" s="104"/>
      <c r="P130" s="54"/>
      <c r="Q130" s="20"/>
      <c r="R130" s="76"/>
      <c r="S130" s="76"/>
      <c r="T130" s="76"/>
      <c r="U130" s="76"/>
      <c r="V130" s="76"/>
      <c r="W130" s="76"/>
      <c r="X130" s="76"/>
      <c r="Y130" s="76"/>
      <c r="Z130" s="76"/>
      <c r="AA130" s="76"/>
      <c r="AB130" s="76"/>
      <c r="AC130" s="76"/>
    </row>
    <row r="131" spans="1:29" ht="18.95" customHeight="1">
      <c r="A131" s="35"/>
      <c r="B131" s="20"/>
      <c r="C131" s="16"/>
      <c r="D131" s="16"/>
      <c r="E131" s="16"/>
      <c r="F131" s="20"/>
      <c r="G131" s="2"/>
      <c r="H131" s="26"/>
      <c r="I131" s="8"/>
      <c r="J131" s="103" t="s">
        <v>2167</v>
      </c>
      <c r="K131" s="103"/>
      <c r="L131" s="104"/>
      <c r="M131" s="104"/>
      <c r="N131" s="104"/>
      <c r="O131" s="104"/>
      <c r="P131" s="54"/>
      <c r="Q131" s="20"/>
      <c r="R131" s="76"/>
      <c r="S131" s="76"/>
      <c r="T131" s="76"/>
      <c r="U131" s="76"/>
      <c r="V131" s="76"/>
      <c r="W131" s="76"/>
      <c r="X131" s="76"/>
      <c r="Y131" s="76"/>
      <c r="Z131" s="76"/>
      <c r="AA131" s="76"/>
      <c r="AB131" s="76"/>
      <c r="AC131" s="76"/>
    </row>
    <row r="132" spans="1:29" ht="18.95" customHeight="1">
      <c r="A132" s="35"/>
      <c r="B132" s="20"/>
      <c r="C132" s="16"/>
      <c r="D132" s="16"/>
      <c r="E132" s="16"/>
      <c r="F132" s="20"/>
      <c r="G132" s="16"/>
      <c r="H132" s="26"/>
      <c r="I132" s="8"/>
      <c r="J132" s="103" t="s">
        <v>2168</v>
      </c>
      <c r="K132" s="103"/>
      <c r="L132" s="104"/>
      <c r="M132" s="104"/>
      <c r="N132" s="104"/>
      <c r="O132" s="104"/>
      <c r="P132" s="54"/>
      <c r="Q132" s="20"/>
      <c r="R132" s="76"/>
      <c r="S132" s="76"/>
      <c r="T132" s="76"/>
      <c r="U132" s="76"/>
      <c r="V132" s="76"/>
      <c r="W132" s="76"/>
      <c r="X132" s="76"/>
      <c r="Y132" s="76"/>
      <c r="Z132" s="76"/>
      <c r="AA132" s="76"/>
      <c r="AB132" s="76"/>
      <c r="AC132" s="76"/>
    </row>
    <row r="133" spans="1:29" ht="18.95" customHeight="1">
      <c r="A133" s="35"/>
      <c r="B133" s="20"/>
      <c r="C133" s="16"/>
      <c r="D133" s="16"/>
      <c r="E133" s="16"/>
      <c r="F133" s="20" t="s">
        <v>1963</v>
      </c>
      <c r="G133" s="16" t="s">
        <v>2169</v>
      </c>
      <c r="H133" s="26"/>
      <c r="I133" s="8"/>
      <c r="J133" s="216" t="s">
        <v>2170</v>
      </c>
      <c r="K133" s="103"/>
      <c r="L133" s="104"/>
      <c r="M133" s="104"/>
      <c r="N133" s="104"/>
      <c r="O133" s="104"/>
      <c r="P133" s="54"/>
      <c r="Q133" s="20"/>
      <c r="R133" s="76"/>
      <c r="S133" s="76"/>
      <c r="T133" s="76"/>
      <c r="U133" s="76"/>
      <c r="V133" s="76"/>
      <c r="W133" s="76"/>
      <c r="X133" s="76"/>
      <c r="Y133" s="76"/>
      <c r="Z133" s="76"/>
      <c r="AA133" s="76"/>
      <c r="AB133" s="76"/>
      <c r="AC133" s="76"/>
    </row>
    <row r="134" spans="1:29" ht="18.95" customHeight="1">
      <c r="A134" s="35"/>
      <c r="B134" s="20"/>
      <c r="C134" s="16"/>
      <c r="D134" s="16"/>
      <c r="E134" s="16"/>
      <c r="F134" s="20"/>
      <c r="G134" s="2"/>
      <c r="H134" s="26"/>
      <c r="I134" s="8"/>
      <c r="J134" s="103" t="s">
        <v>2171</v>
      </c>
      <c r="K134" s="103"/>
      <c r="L134" s="104"/>
      <c r="M134" s="104"/>
      <c r="N134" s="104"/>
      <c r="O134" s="104"/>
      <c r="P134" s="54"/>
      <c r="Q134" s="20"/>
      <c r="R134" s="76"/>
      <c r="S134" s="76"/>
      <c r="T134" s="76"/>
      <c r="U134" s="76"/>
      <c r="V134" s="76"/>
      <c r="W134" s="76"/>
      <c r="X134" s="76"/>
      <c r="Y134" s="76"/>
      <c r="Z134" s="76"/>
      <c r="AA134" s="76"/>
      <c r="AB134" s="76"/>
      <c r="AC134" s="76"/>
    </row>
    <row r="135" spans="1:29" ht="18.95" customHeight="1">
      <c r="A135" s="35"/>
      <c r="B135" s="20"/>
      <c r="C135" s="16"/>
      <c r="D135" s="16"/>
      <c r="E135" s="16"/>
      <c r="F135" s="20"/>
      <c r="G135" s="16"/>
      <c r="H135" s="26"/>
      <c r="I135" s="8"/>
      <c r="J135" s="103" t="s">
        <v>2172</v>
      </c>
      <c r="K135" s="103"/>
      <c r="L135" s="104"/>
      <c r="M135" s="104"/>
      <c r="N135" s="104"/>
      <c r="O135" s="104"/>
      <c r="P135" s="54"/>
      <c r="Q135" s="20"/>
      <c r="R135" s="76"/>
      <c r="S135" s="76"/>
      <c r="T135" s="76"/>
      <c r="U135" s="76"/>
      <c r="V135" s="76"/>
      <c r="W135" s="76"/>
      <c r="X135" s="76"/>
      <c r="Y135" s="76"/>
      <c r="Z135" s="76"/>
      <c r="AA135" s="76"/>
      <c r="AB135" s="76"/>
      <c r="AC135" s="76"/>
    </row>
    <row r="136" spans="1:29" ht="18.95" customHeight="1">
      <c r="A136" s="35"/>
      <c r="B136" s="20"/>
      <c r="C136" s="16"/>
      <c r="D136" s="16"/>
      <c r="E136" s="16"/>
      <c r="F136" s="20" t="s">
        <v>1967</v>
      </c>
      <c r="G136" s="16" t="s">
        <v>2173</v>
      </c>
      <c r="H136" s="26"/>
      <c r="I136" s="8"/>
      <c r="J136" s="216" t="s">
        <v>2174</v>
      </c>
      <c r="K136" s="103"/>
      <c r="L136" s="104"/>
      <c r="M136" s="104"/>
      <c r="N136" s="104"/>
      <c r="O136" s="104"/>
      <c r="P136" s="54"/>
      <c r="Q136" s="20"/>
      <c r="R136" s="76"/>
      <c r="S136" s="76"/>
      <c r="T136" s="76"/>
      <c r="U136" s="76"/>
      <c r="V136" s="76"/>
      <c r="W136" s="76"/>
      <c r="X136" s="76"/>
      <c r="Y136" s="76"/>
      <c r="Z136" s="76"/>
      <c r="AA136" s="76"/>
      <c r="AB136" s="76"/>
      <c r="AC136" s="76"/>
    </row>
    <row r="137" spans="1:29" ht="18.95" customHeight="1">
      <c r="A137" s="35"/>
      <c r="B137" s="20"/>
      <c r="C137" s="16"/>
      <c r="D137" s="16"/>
      <c r="E137" s="16"/>
      <c r="F137" s="20"/>
      <c r="G137" s="16"/>
      <c r="H137" s="26"/>
      <c r="I137" s="8"/>
      <c r="J137" s="103" t="s">
        <v>2175</v>
      </c>
      <c r="K137" s="103"/>
      <c r="L137" s="104"/>
      <c r="M137" s="104"/>
      <c r="N137" s="104"/>
      <c r="O137" s="104"/>
      <c r="P137" s="54"/>
      <c r="Q137" s="20"/>
      <c r="R137" s="76"/>
      <c r="S137" s="76"/>
      <c r="T137" s="76"/>
      <c r="U137" s="76"/>
      <c r="V137" s="76"/>
      <c r="W137" s="76"/>
      <c r="X137" s="76"/>
      <c r="Y137" s="76"/>
      <c r="Z137" s="76"/>
      <c r="AA137" s="76"/>
      <c r="AB137" s="76"/>
      <c r="AC137" s="76"/>
    </row>
    <row r="138" spans="1:29" ht="18.95" customHeight="1">
      <c r="A138" s="35"/>
      <c r="B138" s="20"/>
      <c r="C138" s="16"/>
      <c r="D138" s="16"/>
      <c r="E138" s="16"/>
      <c r="F138" s="20"/>
      <c r="G138" s="16"/>
      <c r="H138" s="26"/>
      <c r="I138" s="8"/>
      <c r="J138" s="217" t="s">
        <v>2176</v>
      </c>
      <c r="K138" s="103"/>
      <c r="L138" s="104"/>
      <c r="M138" s="104"/>
      <c r="N138" s="104"/>
      <c r="O138" s="104"/>
      <c r="P138" s="54"/>
      <c r="Q138" s="20"/>
      <c r="R138" s="76"/>
      <c r="S138" s="76"/>
      <c r="T138" s="76"/>
      <c r="U138" s="76"/>
      <c r="V138" s="76"/>
      <c r="W138" s="76"/>
      <c r="X138" s="76"/>
      <c r="Y138" s="76"/>
      <c r="Z138" s="76"/>
      <c r="AA138" s="76"/>
      <c r="AB138" s="76"/>
      <c r="AC138" s="76"/>
    </row>
    <row r="139" spans="1:29" ht="18.95" customHeight="1">
      <c r="A139" s="35"/>
      <c r="B139" s="20"/>
      <c r="C139" s="16"/>
      <c r="D139" s="16"/>
      <c r="E139" s="16"/>
      <c r="F139" s="20"/>
      <c r="G139" s="16"/>
      <c r="H139" s="26"/>
      <c r="I139" s="8"/>
      <c r="J139" s="218" t="s">
        <v>2177</v>
      </c>
      <c r="K139" s="103"/>
      <c r="L139" s="104"/>
      <c r="M139" s="104"/>
      <c r="N139" s="104"/>
      <c r="O139" s="104"/>
      <c r="P139" s="54"/>
      <c r="Q139" s="20"/>
      <c r="R139" s="76"/>
      <c r="S139" s="76"/>
      <c r="T139" s="76"/>
      <c r="U139" s="76"/>
      <c r="V139" s="76"/>
      <c r="W139" s="76"/>
      <c r="X139" s="76"/>
      <c r="Y139" s="76"/>
      <c r="Z139" s="76"/>
      <c r="AA139" s="76"/>
      <c r="AB139" s="76"/>
      <c r="AC139" s="76"/>
    </row>
    <row r="140" spans="1:29" ht="20.25">
      <c r="A140" s="35"/>
      <c r="B140" s="20"/>
      <c r="C140" s="16"/>
      <c r="D140" s="16"/>
      <c r="E140" s="16"/>
      <c r="F140" s="20"/>
      <c r="G140" s="16"/>
      <c r="H140" s="26"/>
      <c r="I140" s="8"/>
      <c r="J140" s="218" t="s">
        <v>2178</v>
      </c>
      <c r="K140" s="103"/>
      <c r="L140" s="104"/>
      <c r="M140" s="104"/>
      <c r="N140" s="104"/>
      <c r="O140" s="104"/>
      <c r="P140" s="54"/>
      <c r="Q140" s="20"/>
      <c r="R140" s="76"/>
      <c r="S140" s="76"/>
      <c r="T140" s="76"/>
      <c r="U140" s="76"/>
      <c r="V140" s="76"/>
      <c r="W140" s="76"/>
      <c r="X140" s="76"/>
      <c r="Y140" s="76"/>
      <c r="Z140" s="76"/>
      <c r="AA140" s="76"/>
      <c r="AB140" s="76"/>
      <c r="AC140" s="76"/>
    </row>
    <row r="141" spans="1:29" ht="18.95" customHeight="1">
      <c r="A141" s="35"/>
      <c r="B141" s="20"/>
      <c r="C141" s="16"/>
      <c r="D141" s="16"/>
      <c r="E141" s="16"/>
      <c r="F141" s="20"/>
      <c r="G141" s="16"/>
      <c r="H141" s="26"/>
      <c r="I141" s="8"/>
      <c r="J141" s="218" t="s">
        <v>2179</v>
      </c>
      <c r="K141" s="103"/>
      <c r="L141" s="104"/>
      <c r="M141" s="104"/>
      <c r="N141" s="104"/>
      <c r="O141" s="104"/>
      <c r="P141" s="54"/>
      <c r="Q141" s="20"/>
      <c r="R141" s="76"/>
      <c r="S141" s="76"/>
      <c r="T141" s="76"/>
      <c r="U141" s="76"/>
      <c r="V141" s="76"/>
      <c r="W141" s="76"/>
      <c r="X141" s="76"/>
      <c r="Y141" s="76"/>
      <c r="Z141" s="76"/>
      <c r="AA141" s="76"/>
      <c r="AB141" s="76"/>
      <c r="AC141" s="76"/>
    </row>
    <row r="142" spans="1:29" ht="18.95" customHeight="1">
      <c r="A142" s="35"/>
      <c r="B142" s="20"/>
      <c r="C142" s="16"/>
      <c r="D142" s="16"/>
      <c r="E142" s="16"/>
      <c r="F142" s="20"/>
      <c r="G142" s="16"/>
      <c r="H142" s="26"/>
      <c r="I142" s="8"/>
      <c r="J142" s="217" t="s">
        <v>2180</v>
      </c>
      <c r="K142" s="103"/>
      <c r="L142" s="104"/>
      <c r="M142" s="104"/>
      <c r="N142" s="104"/>
      <c r="O142" s="104"/>
      <c r="P142" s="54"/>
      <c r="Q142" s="20"/>
      <c r="R142" s="76"/>
      <c r="S142" s="76"/>
      <c r="T142" s="76"/>
      <c r="U142" s="76"/>
      <c r="V142" s="76"/>
      <c r="W142" s="76"/>
      <c r="X142" s="76"/>
      <c r="Y142" s="76"/>
      <c r="Z142" s="76"/>
      <c r="AA142" s="76"/>
      <c r="AB142" s="76"/>
      <c r="AC142" s="76"/>
    </row>
    <row r="143" spans="1:29" ht="18.95" customHeight="1">
      <c r="A143" s="35"/>
      <c r="B143" s="20"/>
      <c r="C143" s="16"/>
      <c r="D143" s="16"/>
      <c r="E143" s="16"/>
      <c r="F143" s="20"/>
      <c r="G143" s="16"/>
      <c r="H143" s="26"/>
      <c r="I143" s="8"/>
      <c r="J143" s="218" t="s">
        <v>2181</v>
      </c>
      <c r="K143" s="103"/>
      <c r="L143" s="104"/>
      <c r="M143" s="104"/>
      <c r="N143" s="104"/>
      <c r="O143" s="104"/>
      <c r="P143" s="54"/>
      <c r="Q143" s="20"/>
      <c r="R143" s="76"/>
      <c r="S143" s="76"/>
      <c r="T143" s="76"/>
      <c r="U143" s="76"/>
      <c r="V143" s="76"/>
      <c r="W143" s="76"/>
      <c r="X143" s="76"/>
      <c r="Y143" s="76"/>
      <c r="Z143" s="76"/>
      <c r="AA143" s="76"/>
      <c r="AB143" s="76"/>
      <c r="AC143" s="76"/>
    </row>
    <row r="144" spans="1:29" ht="18.95" customHeight="1">
      <c r="A144" s="35"/>
      <c r="B144" s="20"/>
      <c r="C144" s="16"/>
      <c r="D144" s="16"/>
      <c r="E144" s="16"/>
      <c r="F144" s="20"/>
      <c r="G144" s="16"/>
      <c r="H144" s="26"/>
      <c r="I144" s="8"/>
      <c r="J144" s="218" t="s">
        <v>2182</v>
      </c>
      <c r="K144" s="103"/>
      <c r="L144" s="104"/>
      <c r="M144" s="104"/>
      <c r="N144" s="104"/>
      <c r="O144" s="104"/>
      <c r="P144" s="54"/>
      <c r="Q144" s="20"/>
      <c r="R144" s="76"/>
      <c r="S144" s="76"/>
      <c r="T144" s="76"/>
      <c r="U144" s="76"/>
      <c r="V144" s="76"/>
      <c r="W144" s="76"/>
      <c r="X144" s="76"/>
      <c r="Y144" s="76"/>
      <c r="Z144" s="76"/>
      <c r="AA144" s="76"/>
      <c r="AB144" s="76"/>
      <c r="AC144" s="76"/>
    </row>
    <row r="145" spans="1:29" ht="18.95" customHeight="1">
      <c r="A145" s="35"/>
      <c r="B145" s="20"/>
      <c r="C145" s="16"/>
      <c r="D145" s="16"/>
      <c r="E145" s="16"/>
      <c r="F145" s="20"/>
      <c r="G145" s="16"/>
      <c r="H145" s="26"/>
      <c r="I145" s="8"/>
      <c r="J145" s="218" t="s">
        <v>2183</v>
      </c>
      <c r="K145" s="103"/>
      <c r="L145" s="104"/>
      <c r="M145" s="104"/>
      <c r="N145" s="104"/>
      <c r="O145" s="104"/>
      <c r="P145" s="54"/>
      <c r="Q145" s="20"/>
      <c r="R145" s="76"/>
      <c r="S145" s="76"/>
      <c r="T145" s="76"/>
      <c r="U145" s="76"/>
      <c r="V145" s="76"/>
      <c r="W145" s="76"/>
      <c r="X145" s="76"/>
      <c r="Y145" s="76"/>
      <c r="Z145" s="76"/>
      <c r="AA145" s="76"/>
      <c r="AB145" s="76"/>
      <c r="AC145" s="76"/>
    </row>
    <row r="146" spans="1:29" ht="18.95" customHeight="1">
      <c r="A146" s="35"/>
      <c r="B146" s="20"/>
      <c r="C146" s="16"/>
      <c r="D146" s="16"/>
      <c r="E146" s="16"/>
      <c r="F146" s="20"/>
      <c r="G146" s="16"/>
      <c r="H146" s="26"/>
      <c r="I146" s="8"/>
      <c r="J146" s="51"/>
      <c r="K146" s="103"/>
      <c r="L146" s="104"/>
      <c r="M146" s="104"/>
      <c r="N146" s="104"/>
      <c r="O146" s="104"/>
      <c r="P146" s="54"/>
      <c r="Q146" s="20"/>
      <c r="R146" s="76"/>
      <c r="S146" s="76"/>
      <c r="T146" s="76"/>
      <c r="U146" s="76"/>
      <c r="V146" s="76"/>
      <c r="W146" s="76"/>
      <c r="X146" s="76"/>
      <c r="Y146" s="76"/>
      <c r="Z146" s="76"/>
      <c r="AA146" s="76"/>
      <c r="AB146" s="76"/>
      <c r="AC146" s="76"/>
    </row>
    <row r="147" spans="1:29" ht="18.95" customHeight="1">
      <c r="A147" s="35"/>
      <c r="B147" s="20"/>
      <c r="C147" s="16"/>
      <c r="D147" s="16"/>
      <c r="E147" s="16">
        <v>5</v>
      </c>
      <c r="F147" s="20"/>
      <c r="G147" s="16" t="s">
        <v>2184</v>
      </c>
      <c r="H147" s="26"/>
      <c r="I147" s="8"/>
      <c r="J147" s="51" t="s">
        <v>2185</v>
      </c>
      <c r="K147" s="103"/>
      <c r="L147" s="104"/>
      <c r="M147" s="104"/>
      <c r="N147" s="104"/>
      <c r="O147" s="104"/>
      <c r="P147" s="54"/>
      <c r="Q147" s="20"/>
      <c r="R147" s="76"/>
      <c r="S147" s="76"/>
      <c r="T147" s="76"/>
      <c r="U147" s="76"/>
      <c r="V147" s="76"/>
      <c r="W147" s="76"/>
      <c r="X147" s="76"/>
      <c r="Y147" s="76"/>
      <c r="Z147" s="76"/>
      <c r="AA147" s="76"/>
      <c r="AB147" s="76"/>
      <c r="AC147" s="76"/>
    </row>
    <row r="148" spans="1:29" ht="18.95" customHeight="1">
      <c r="A148" s="35"/>
      <c r="B148" s="20"/>
      <c r="C148" s="16"/>
      <c r="D148" s="16"/>
      <c r="E148" s="16"/>
      <c r="F148" s="20"/>
      <c r="G148" s="16" t="s">
        <v>2186</v>
      </c>
      <c r="H148" s="26"/>
      <c r="I148" s="8"/>
      <c r="J148" s="51" t="s">
        <v>2187</v>
      </c>
      <c r="K148" s="103"/>
      <c r="L148" s="104"/>
      <c r="M148" s="104"/>
      <c r="N148" s="104"/>
      <c r="O148" s="104"/>
      <c r="P148" s="54"/>
      <c r="Q148" s="20"/>
      <c r="R148" s="76"/>
      <c r="S148" s="76"/>
      <c r="T148" s="76"/>
      <c r="U148" s="76"/>
      <c r="V148" s="76"/>
      <c r="W148" s="76"/>
      <c r="X148" s="76"/>
      <c r="Y148" s="76"/>
      <c r="Z148" s="76"/>
      <c r="AA148" s="76"/>
      <c r="AB148" s="76"/>
      <c r="AC148" s="76"/>
    </row>
    <row r="149" spans="1:29" ht="18.95" customHeight="1">
      <c r="A149" s="35"/>
      <c r="B149" s="20"/>
      <c r="C149" s="16"/>
      <c r="D149" s="16"/>
      <c r="E149" s="16"/>
      <c r="F149" s="20"/>
      <c r="G149" s="16" t="s">
        <v>2188</v>
      </c>
      <c r="H149" s="26"/>
      <c r="I149" s="8"/>
      <c r="J149" s="51" t="s">
        <v>2189</v>
      </c>
      <c r="K149" s="103"/>
      <c r="L149" s="104"/>
      <c r="M149" s="104"/>
      <c r="N149" s="104"/>
      <c r="O149" s="104"/>
      <c r="P149" s="54"/>
      <c r="Q149" s="20"/>
      <c r="R149" s="76"/>
      <c r="S149" s="76"/>
      <c r="T149" s="76"/>
      <c r="U149" s="76"/>
      <c r="V149" s="76"/>
      <c r="W149" s="76"/>
      <c r="X149" s="76"/>
      <c r="Y149" s="76"/>
      <c r="Z149" s="76"/>
      <c r="AA149" s="76"/>
      <c r="AB149" s="76"/>
      <c r="AC149" s="76"/>
    </row>
    <row r="150" spans="1:29" ht="18.95" customHeight="1">
      <c r="A150" s="35"/>
      <c r="B150" s="20"/>
      <c r="C150" s="16"/>
      <c r="D150" s="16"/>
      <c r="E150" s="16"/>
      <c r="F150" s="20"/>
      <c r="G150" s="16"/>
      <c r="H150" s="26"/>
      <c r="I150" s="8"/>
      <c r="J150" s="51" t="s">
        <v>2190</v>
      </c>
      <c r="K150" s="103"/>
      <c r="L150" s="104"/>
      <c r="M150" s="104"/>
      <c r="N150" s="104"/>
      <c r="O150" s="104"/>
      <c r="P150" s="54"/>
      <c r="Q150" s="20"/>
      <c r="R150" s="76"/>
      <c r="S150" s="76"/>
      <c r="T150" s="76"/>
      <c r="U150" s="76"/>
      <c r="V150" s="76"/>
      <c r="W150" s="76"/>
      <c r="X150" s="76"/>
      <c r="Y150" s="76"/>
      <c r="Z150" s="76"/>
      <c r="AA150" s="76"/>
      <c r="AB150" s="76"/>
      <c r="AC150" s="76"/>
    </row>
    <row r="151" spans="1:29" ht="18.95" customHeight="1">
      <c r="A151" s="35"/>
      <c r="B151" s="20"/>
      <c r="C151" s="16"/>
      <c r="D151" s="16"/>
      <c r="E151" s="16"/>
      <c r="F151" s="20"/>
      <c r="G151" s="16"/>
      <c r="H151" s="26"/>
      <c r="I151" s="8"/>
      <c r="J151" s="51" t="s">
        <v>2191</v>
      </c>
      <c r="K151" s="103"/>
      <c r="L151" s="104"/>
      <c r="M151" s="104"/>
      <c r="N151" s="104"/>
      <c r="O151" s="104"/>
      <c r="P151" s="54"/>
      <c r="Q151" s="20"/>
      <c r="R151" s="76"/>
      <c r="S151" s="76"/>
      <c r="T151" s="76"/>
      <c r="U151" s="76"/>
      <c r="V151" s="76"/>
      <c r="W151" s="76"/>
      <c r="X151" s="76"/>
      <c r="Y151" s="76"/>
      <c r="Z151" s="76"/>
      <c r="AA151" s="76"/>
      <c r="AB151" s="76"/>
      <c r="AC151" s="76"/>
    </row>
    <row r="152" spans="1:29" ht="18.95" customHeight="1">
      <c r="A152" s="35"/>
      <c r="B152" s="20"/>
      <c r="C152" s="16"/>
      <c r="D152" s="16"/>
      <c r="E152" s="16"/>
      <c r="F152" s="20"/>
      <c r="G152" s="16"/>
      <c r="H152" s="26"/>
      <c r="I152" s="8"/>
      <c r="J152" s="51" t="s">
        <v>2192</v>
      </c>
      <c r="K152" s="103"/>
      <c r="L152" s="104"/>
      <c r="M152" s="104"/>
      <c r="N152" s="104"/>
      <c r="O152" s="104"/>
      <c r="P152" s="54"/>
      <c r="Q152" s="20"/>
      <c r="R152" s="76"/>
      <c r="S152" s="76"/>
      <c r="T152" s="76"/>
      <c r="U152" s="76"/>
      <c r="V152" s="76"/>
      <c r="W152" s="76"/>
      <c r="X152" s="76"/>
      <c r="Y152" s="76"/>
      <c r="Z152" s="76"/>
      <c r="AA152" s="76"/>
      <c r="AB152" s="76"/>
      <c r="AC152" s="76"/>
    </row>
    <row r="153" spans="1:29" ht="18.95" customHeight="1">
      <c r="A153" s="35"/>
      <c r="B153" s="20"/>
      <c r="C153" s="16"/>
      <c r="D153" s="16"/>
      <c r="E153" s="16"/>
      <c r="F153" s="20"/>
      <c r="G153" s="16"/>
      <c r="H153" s="26"/>
      <c r="I153" s="8"/>
      <c r="J153" s="51" t="s">
        <v>2193</v>
      </c>
      <c r="K153" s="103"/>
      <c r="L153" s="104"/>
      <c r="M153" s="104"/>
      <c r="N153" s="104"/>
      <c r="O153" s="104"/>
      <c r="P153" s="54"/>
      <c r="Q153" s="20"/>
      <c r="R153" s="76"/>
      <c r="S153" s="76"/>
      <c r="T153" s="76"/>
      <c r="U153" s="76"/>
      <c r="V153" s="76"/>
      <c r="W153" s="76"/>
      <c r="X153" s="76"/>
      <c r="Y153" s="76"/>
      <c r="Z153" s="76"/>
      <c r="AA153" s="76"/>
      <c r="AB153" s="76"/>
      <c r="AC153" s="76"/>
    </row>
    <row r="154" spans="1:29" ht="18.95" customHeight="1">
      <c r="A154" s="35"/>
      <c r="B154" s="20"/>
      <c r="C154" s="16"/>
      <c r="D154" s="16"/>
      <c r="E154" s="16"/>
      <c r="F154" s="20"/>
      <c r="G154" s="16"/>
      <c r="H154" s="26"/>
      <c r="I154" s="8"/>
      <c r="J154" s="51" t="s">
        <v>2194</v>
      </c>
      <c r="K154" s="103"/>
      <c r="L154" s="104"/>
      <c r="M154" s="104"/>
      <c r="N154" s="104"/>
      <c r="O154" s="104"/>
      <c r="P154" s="54"/>
      <c r="Q154" s="20"/>
      <c r="R154" s="76"/>
      <c r="S154" s="76"/>
      <c r="T154" s="76"/>
      <c r="U154" s="76"/>
      <c r="V154" s="76"/>
      <c r="W154" s="76"/>
      <c r="X154" s="76"/>
      <c r="Y154" s="76"/>
      <c r="Z154" s="76"/>
      <c r="AA154" s="76"/>
      <c r="AB154" s="76"/>
      <c r="AC154" s="76"/>
    </row>
    <row r="155" spans="1:29" ht="18.95" customHeight="1">
      <c r="A155" s="35"/>
      <c r="B155" s="20"/>
      <c r="C155" s="16"/>
      <c r="D155" s="16"/>
      <c r="E155" s="16"/>
      <c r="F155" s="20"/>
      <c r="G155" s="16"/>
      <c r="H155" s="26"/>
      <c r="I155" s="8"/>
      <c r="J155" s="51" t="s">
        <v>2195</v>
      </c>
      <c r="K155" s="103"/>
      <c r="L155" s="104"/>
      <c r="M155" s="104"/>
      <c r="N155" s="104"/>
      <c r="O155" s="104"/>
      <c r="P155" s="54"/>
      <c r="Q155" s="20"/>
      <c r="R155" s="76"/>
      <c r="S155" s="76"/>
      <c r="T155" s="76"/>
      <c r="U155" s="76"/>
      <c r="V155" s="76"/>
      <c r="W155" s="76"/>
      <c r="X155" s="76"/>
      <c r="Y155" s="76"/>
      <c r="Z155" s="76"/>
      <c r="AA155" s="76"/>
      <c r="AB155" s="76"/>
      <c r="AC155" s="76"/>
    </row>
    <row r="156" spans="1:29" ht="18" customHeight="1">
      <c r="A156" s="35"/>
      <c r="B156" s="20"/>
      <c r="C156" s="16"/>
      <c r="D156" s="16"/>
      <c r="E156" s="16"/>
      <c r="F156" s="20"/>
      <c r="G156" s="16"/>
      <c r="H156" s="26"/>
      <c r="I156" s="8"/>
      <c r="J156" s="51" t="s">
        <v>2196</v>
      </c>
      <c r="K156" s="103"/>
      <c r="L156" s="104"/>
      <c r="M156" s="104"/>
      <c r="N156" s="104"/>
      <c r="O156" s="104"/>
      <c r="P156" s="54"/>
      <c r="Q156" s="20"/>
      <c r="R156" s="76"/>
      <c r="S156" s="76"/>
      <c r="T156" s="76"/>
      <c r="U156" s="76"/>
      <c r="V156" s="76"/>
      <c r="W156" s="76"/>
      <c r="X156" s="76"/>
      <c r="Y156" s="76"/>
      <c r="Z156" s="76"/>
      <c r="AA156" s="76"/>
      <c r="AB156" s="76"/>
      <c r="AC156" s="76"/>
    </row>
    <row r="157" spans="1:29" ht="18" customHeight="1">
      <c r="A157" s="35"/>
      <c r="B157" s="20"/>
      <c r="C157" s="16"/>
      <c r="D157" s="16"/>
      <c r="E157" s="16"/>
      <c r="F157" s="20"/>
      <c r="G157" s="16"/>
      <c r="H157" s="26"/>
      <c r="I157" s="8"/>
      <c r="J157" s="51" t="s">
        <v>2197</v>
      </c>
      <c r="K157" s="103"/>
      <c r="L157" s="104"/>
      <c r="M157" s="104"/>
      <c r="N157" s="104"/>
      <c r="O157" s="104"/>
      <c r="P157" s="54"/>
      <c r="Q157" s="20"/>
      <c r="R157" s="76"/>
      <c r="S157" s="76"/>
      <c r="T157" s="76"/>
      <c r="U157" s="76"/>
      <c r="V157" s="76"/>
      <c r="W157" s="76"/>
      <c r="X157" s="76"/>
      <c r="Y157" s="76"/>
      <c r="Z157" s="76"/>
      <c r="AA157" s="76"/>
      <c r="AB157" s="76"/>
      <c r="AC157" s="76"/>
    </row>
    <row r="158" spans="1:29" ht="18" customHeight="1">
      <c r="A158" s="35"/>
      <c r="B158" s="20"/>
      <c r="C158" s="16"/>
      <c r="D158" s="16"/>
      <c r="E158" s="16"/>
      <c r="F158" s="20"/>
      <c r="G158" s="16"/>
      <c r="H158" s="26"/>
      <c r="I158" s="8"/>
      <c r="J158" s="51" t="s">
        <v>2198</v>
      </c>
      <c r="K158" s="103"/>
      <c r="L158" s="104"/>
      <c r="M158" s="104"/>
      <c r="N158" s="104"/>
      <c r="O158" s="104"/>
      <c r="P158" s="54"/>
      <c r="Q158" s="20"/>
      <c r="R158" s="76"/>
      <c r="S158" s="76"/>
      <c r="T158" s="76"/>
      <c r="U158" s="76"/>
      <c r="V158" s="76"/>
      <c r="W158" s="76"/>
      <c r="X158" s="76"/>
      <c r="Y158" s="76"/>
      <c r="Z158" s="76"/>
      <c r="AA158" s="76"/>
      <c r="AB158" s="76"/>
      <c r="AC158" s="76"/>
    </row>
    <row r="159" spans="1:29" ht="18" customHeight="1">
      <c r="A159" s="35"/>
      <c r="B159" s="20"/>
      <c r="C159" s="16"/>
      <c r="D159" s="16"/>
      <c r="E159" s="16"/>
      <c r="F159" s="20"/>
      <c r="G159" s="16"/>
      <c r="H159" s="26"/>
      <c r="I159" s="8"/>
      <c r="J159" s="51" t="s">
        <v>2199</v>
      </c>
      <c r="K159" s="103"/>
      <c r="L159" s="104"/>
      <c r="M159" s="104"/>
      <c r="N159" s="104"/>
      <c r="O159" s="104"/>
      <c r="P159" s="54"/>
      <c r="Q159" s="20"/>
      <c r="R159" s="76"/>
      <c r="S159" s="76"/>
      <c r="T159" s="76"/>
      <c r="U159" s="76"/>
      <c r="V159" s="76"/>
      <c r="W159" s="76"/>
      <c r="X159" s="76"/>
      <c r="Y159" s="76"/>
      <c r="Z159" s="76"/>
      <c r="AA159" s="76"/>
      <c r="AB159" s="76"/>
      <c r="AC159" s="76"/>
    </row>
    <row r="160" spans="1:29" ht="18" customHeight="1">
      <c r="A160" s="35"/>
      <c r="B160" s="20"/>
      <c r="C160" s="16"/>
      <c r="D160" s="16"/>
      <c r="E160" s="16"/>
      <c r="F160" s="20"/>
      <c r="G160" s="16"/>
      <c r="H160" s="26"/>
      <c r="I160" s="8"/>
      <c r="J160" s="51" t="s">
        <v>2200</v>
      </c>
      <c r="K160" s="103"/>
      <c r="L160" s="104"/>
      <c r="M160" s="104"/>
      <c r="N160" s="104"/>
      <c r="O160" s="104"/>
      <c r="P160" s="54"/>
      <c r="Q160" s="20"/>
      <c r="R160" s="76"/>
      <c r="S160" s="76"/>
      <c r="T160" s="76"/>
      <c r="U160" s="76"/>
      <c r="V160" s="76"/>
      <c r="W160" s="76"/>
      <c r="X160" s="76"/>
      <c r="Y160" s="76"/>
      <c r="Z160" s="76"/>
      <c r="AA160" s="76"/>
      <c r="AB160" s="76"/>
      <c r="AC160" s="76"/>
    </row>
    <row r="161" spans="1:29" ht="18" customHeight="1">
      <c r="A161" s="35"/>
      <c r="B161" s="20"/>
      <c r="C161" s="16"/>
      <c r="D161" s="16"/>
      <c r="E161" s="16"/>
      <c r="F161" s="20"/>
      <c r="G161" s="16"/>
      <c r="H161" s="26"/>
      <c r="I161" s="8"/>
      <c r="J161" s="51" t="s">
        <v>2201</v>
      </c>
      <c r="K161" s="103"/>
      <c r="L161" s="104"/>
      <c r="M161" s="104"/>
      <c r="N161" s="104"/>
      <c r="O161" s="104"/>
      <c r="P161" s="54"/>
      <c r="Q161" s="20"/>
      <c r="R161" s="76"/>
      <c r="S161" s="76"/>
      <c r="T161" s="76"/>
      <c r="U161" s="76"/>
      <c r="V161" s="76"/>
      <c r="W161" s="76"/>
      <c r="X161" s="76"/>
      <c r="Y161" s="76"/>
      <c r="Z161" s="76"/>
      <c r="AA161" s="76"/>
      <c r="AB161" s="76"/>
      <c r="AC161" s="76"/>
    </row>
    <row r="162" spans="1:29" ht="18" customHeight="1">
      <c r="A162" s="35"/>
      <c r="B162" s="20"/>
      <c r="C162" s="16"/>
      <c r="D162" s="16"/>
      <c r="E162" s="16"/>
      <c r="F162" s="20"/>
      <c r="G162" s="16"/>
      <c r="H162" s="26"/>
      <c r="I162" s="8"/>
      <c r="J162" s="51" t="s">
        <v>2202</v>
      </c>
      <c r="K162" s="103"/>
      <c r="L162" s="104"/>
      <c r="M162" s="104"/>
      <c r="N162" s="104"/>
      <c r="O162" s="104"/>
      <c r="P162" s="54"/>
      <c r="Q162" s="20"/>
      <c r="R162" s="76"/>
      <c r="S162" s="76"/>
      <c r="T162" s="76"/>
      <c r="U162" s="76"/>
      <c r="V162" s="76"/>
      <c r="W162" s="76"/>
      <c r="X162" s="76"/>
      <c r="Y162" s="76"/>
      <c r="Z162" s="76"/>
      <c r="AA162" s="76"/>
      <c r="AB162" s="76"/>
      <c r="AC162" s="76"/>
    </row>
    <row r="163" spans="1:29" ht="18" customHeight="1">
      <c r="A163" s="35"/>
      <c r="B163" s="20"/>
      <c r="C163" s="16"/>
      <c r="D163" s="16"/>
      <c r="E163" s="16"/>
      <c r="F163" s="20"/>
      <c r="G163" s="16"/>
      <c r="H163" s="26"/>
      <c r="I163" s="8"/>
      <c r="J163" s="51" t="s">
        <v>2203</v>
      </c>
      <c r="K163" s="103"/>
      <c r="L163" s="104"/>
      <c r="M163" s="104"/>
      <c r="N163" s="104"/>
      <c r="O163" s="104"/>
      <c r="P163" s="54"/>
      <c r="Q163" s="20"/>
      <c r="R163" s="76"/>
      <c r="S163" s="76"/>
      <c r="T163" s="76"/>
      <c r="U163" s="76"/>
      <c r="V163" s="76"/>
      <c r="W163" s="76"/>
      <c r="X163" s="76"/>
      <c r="Y163" s="76"/>
      <c r="Z163" s="76"/>
      <c r="AA163" s="76"/>
      <c r="AB163" s="76"/>
      <c r="AC163" s="76"/>
    </row>
    <row r="164" spans="1:29" ht="18" customHeight="1">
      <c r="A164" s="35"/>
      <c r="B164" s="20"/>
      <c r="C164" s="16"/>
      <c r="D164" s="16"/>
      <c r="E164" s="16"/>
      <c r="F164" s="20"/>
      <c r="G164" s="16"/>
      <c r="H164" s="26"/>
      <c r="I164" s="8"/>
      <c r="J164" s="51" t="s">
        <v>2204</v>
      </c>
      <c r="K164" s="103"/>
      <c r="L164" s="104"/>
      <c r="M164" s="104"/>
      <c r="N164" s="104"/>
      <c r="O164" s="104"/>
      <c r="P164" s="54"/>
      <c r="Q164" s="20"/>
      <c r="R164" s="76"/>
      <c r="S164" s="76"/>
      <c r="T164" s="76"/>
      <c r="U164" s="76"/>
      <c r="V164" s="76"/>
      <c r="W164" s="76"/>
      <c r="X164" s="76"/>
      <c r="Y164" s="76"/>
      <c r="Z164" s="76"/>
      <c r="AA164" s="76"/>
      <c r="AB164" s="76"/>
      <c r="AC164" s="76"/>
    </row>
    <row r="165" spans="1:29" ht="18" customHeight="1">
      <c r="A165" s="35"/>
      <c r="B165" s="20"/>
      <c r="C165" s="16"/>
      <c r="D165" s="16"/>
      <c r="E165" s="16"/>
      <c r="F165" s="20"/>
      <c r="G165" s="16"/>
      <c r="H165" s="26"/>
      <c r="I165" s="8"/>
      <c r="J165" s="51" t="s">
        <v>2205</v>
      </c>
      <c r="K165" s="103"/>
      <c r="L165" s="104"/>
      <c r="M165" s="104"/>
      <c r="N165" s="104"/>
      <c r="O165" s="104"/>
      <c r="P165" s="54"/>
      <c r="Q165" s="20"/>
      <c r="R165" s="76"/>
      <c r="S165" s="76"/>
      <c r="T165" s="76"/>
      <c r="U165" s="76"/>
      <c r="V165" s="76"/>
      <c r="W165" s="76"/>
      <c r="X165" s="76"/>
      <c r="Y165" s="76"/>
      <c r="Z165" s="76"/>
      <c r="AA165" s="76"/>
      <c r="AB165" s="76"/>
      <c r="AC165" s="76"/>
    </row>
    <row r="166" spans="1:29" ht="18" customHeight="1">
      <c r="A166" s="35"/>
      <c r="B166" s="20"/>
      <c r="C166" s="16"/>
      <c r="D166" s="16"/>
      <c r="E166" s="16"/>
      <c r="F166" s="20"/>
      <c r="G166" s="16"/>
      <c r="H166" s="26"/>
      <c r="I166" s="8"/>
      <c r="J166" s="51"/>
      <c r="K166" s="103"/>
      <c r="L166" s="104"/>
      <c r="M166" s="104"/>
      <c r="N166" s="104"/>
      <c r="O166" s="104"/>
      <c r="P166" s="54"/>
      <c r="Q166" s="20"/>
      <c r="R166" s="76"/>
      <c r="S166" s="76"/>
      <c r="T166" s="76"/>
      <c r="U166" s="76"/>
      <c r="V166" s="76"/>
      <c r="W166" s="76"/>
      <c r="X166" s="76"/>
      <c r="Y166" s="76"/>
      <c r="Z166" s="76"/>
      <c r="AA166" s="76"/>
      <c r="AB166" s="76"/>
      <c r="AC166" s="76"/>
    </row>
    <row r="167" spans="1:29" ht="20.25">
      <c r="A167" s="35"/>
      <c r="B167" s="20"/>
      <c r="C167" s="16"/>
      <c r="D167" s="16"/>
      <c r="E167" s="16">
        <v>6</v>
      </c>
      <c r="F167" s="20" t="s">
        <v>245</v>
      </c>
      <c r="G167" s="16" t="s">
        <v>2206</v>
      </c>
      <c r="H167" s="26"/>
      <c r="I167" s="8"/>
      <c r="J167" s="51" t="s">
        <v>2207</v>
      </c>
      <c r="K167" s="103"/>
      <c r="L167" s="104"/>
      <c r="M167" s="104"/>
      <c r="N167" s="104"/>
      <c r="O167" s="104"/>
      <c r="P167" s="54"/>
      <c r="Q167" s="20"/>
      <c r="R167" s="76"/>
      <c r="S167" s="76"/>
      <c r="T167" s="76"/>
      <c r="U167" s="76"/>
      <c r="V167" s="76"/>
      <c r="W167" s="76"/>
      <c r="X167" s="76"/>
      <c r="Y167" s="76"/>
      <c r="Z167" s="76"/>
      <c r="AA167" s="76"/>
      <c r="AB167" s="76"/>
      <c r="AC167" s="76"/>
    </row>
    <row r="168" spans="1:29">
      <c r="A168" s="35"/>
      <c r="B168" s="20"/>
      <c r="C168" s="16"/>
      <c r="D168" s="16"/>
      <c r="E168" s="16"/>
      <c r="F168" s="20"/>
      <c r="G168" s="16"/>
      <c r="H168" s="26"/>
      <c r="I168" s="8"/>
      <c r="J168" s="51" t="s">
        <v>2208</v>
      </c>
      <c r="K168" s="103"/>
      <c r="L168" s="104"/>
      <c r="M168" s="104"/>
      <c r="N168" s="104"/>
      <c r="O168" s="104"/>
      <c r="P168" s="54"/>
      <c r="Q168" s="20"/>
      <c r="R168" s="76"/>
      <c r="S168" s="76"/>
      <c r="T168" s="76"/>
      <c r="U168" s="76"/>
      <c r="V168" s="76"/>
      <c r="W168" s="76"/>
      <c r="X168" s="76"/>
      <c r="Y168" s="76"/>
      <c r="Z168" s="76"/>
      <c r="AA168" s="76"/>
      <c r="AB168" s="76"/>
      <c r="AC168" s="76"/>
    </row>
    <row r="169" spans="1:29" ht="20.25">
      <c r="A169" s="35"/>
      <c r="B169" s="20"/>
      <c r="C169" s="16"/>
      <c r="D169" s="16"/>
      <c r="E169" s="16"/>
      <c r="F169" s="20"/>
      <c r="G169" s="16"/>
      <c r="H169" s="26"/>
      <c r="I169" s="8"/>
      <c r="J169" s="51" t="s">
        <v>2209</v>
      </c>
      <c r="K169" s="103"/>
      <c r="L169" s="104"/>
      <c r="M169" s="104"/>
      <c r="N169" s="104"/>
      <c r="O169" s="104"/>
      <c r="P169" s="54"/>
      <c r="Q169" s="20"/>
      <c r="R169" s="76"/>
      <c r="S169" s="76"/>
      <c r="T169" s="76"/>
      <c r="U169" s="76"/>
      <c r="V169" s="76"/>
      <c r="W169" s="76"/>
      <c r="X169" s="76"/>
      <c r="Y169" s="76"/>
      <c r="Z169" s="76"/>
      <c r="AA169" s="76"/>
      <c r="AB169" s="76"/>
      <c r="AC169" s="76"/>
    </row>
    <row r="170" spans="1:29" ht="20.25">
      <c r="A170" s="35"/>
      <c r="B170" s="20"/>
      <c r="C170" s="16"/>
      <c r="D170" s="16"/>
      <c r="E170" s="16"/>
      <c r="F170" s="20"/>
      <c r="G170" s="16"/>
      <c r="H170" s="26"/>
      <c r="I170" s="8"/>
      <c r="J170" s="51" t="s">
        <v>2210</v>
      </c>
      <c r="K170" s="103"/>
      <c r="L170" s="104"/>
      <c r="M170" s="104"/>
      <c r="N170" s="104"/>
      <c r="O170" s="104"/>
      <c r="P170" s="54"/>
      <c r="Q170" s="20"/>
      <c r="R170" s="76"/>
      <c r="S170" s="76"/>
      <c r="T170" s="76"/>
      <c r="U170" s="76"/>
      <c r="V170" s="76"/>
      <c r="W170" s="76"/>
      <c r="X170" s="76"/>
      <c r="Y170" s="76"/>
      <c r="Z170" s="76"/>
      <c r="AA170" s="76"/>
      <c r="AB170" s="76"/>
      <c r="AC170" s="76"/>
    </row>
    <row r="171" spans="1:29" ht="20.25">
      <c r="A171" s="35"/>
      <c r="B171" s="20"/>
      <c r="C171" s="16"/>
      <c r="D171" s="16"/>
      <c r="E171" s="16"/>
      <c r="F171" s="20"/>
      <c r="G171" s="16"/>
      <c r="H171" s="26"/>
      <c r="I171" s="8"/>
      <c r="J171" s="51" t="s">
        <v>2211</v>
      </c>
      <c r="K171" s="103"/>
      <c r="L171" s="104"/>
      <c r="M171" s="104"/>
      <c r="N171" s="104"/>
      <c r="O171" s="104"/>
      <c r="P171" s="54"/>
      <c r="Q171" s="20"/>
      <c r="R171" s="76"/>
      <c r="S171" s="76"/>
      <c r="T171" s="76"/>
      <c r="U171" s="76"/>
      <c r="V171" s="76"/>
      <c r="W171" s="76"/>
      <c r="X171" s="76"/>
      <c r="Y171" s="76"/>
      <c r="Z171" s="76"/>
      <c r="AA171" s="76"/>
      <c r="AB171" s="76"/>
      <c r="AC171" s="76"/>
    </row>
    <row r="172" spans="1:29" ht="20.25">
      <c r="A172" s="35"/>
      <c r="B172" s="20"/>
      <c r="C172" s="16"/>
      <c r="D172" s="16"/>
      <c r="E172" s="16"/>
      <c r="F172" s="20" t="s">
        <v>1958</v>
      </c>
      <c r="G172" s="16" t="s">
        <v>2212</v>
      </c>
      <c r="H172" s="26"/>
      <c r="I172" s="8"/>
      <c r="J172" s="51" t="s">
        <v>2213</v>
      </c>
      <c r="K172" s="103"/>
      <c r="L172" s="104"/>
      <c r="M172" s="104"/>
      <c r="N172" s="104"/>
      <c r="O172" s="104"/>
      <c r="P172" s="54"/>
      <c r="Q172" s="20"/>
      <c r="R172" s="76"/>
      <c r="S172" s="76"/>
      <c r="T172" s="76"/>
      <c r="U172" s="76"/>
      <c r="V172" s="76"/>
      <c r="W172" s="76"/>
      <c r="X172" s="76"/>
      <c r="Y172" s="76"/>
      <c r="Z172" s="76"/>
      <c r="AA172" s="76"/>
      <c r="AB172" s="76"/>
      <c r="AC172" s="76"/>
    </row>
    <row r="173" spans="1:29" ht="40.5">
      <c r="A173" s="35"/>
      <c r="B173" s="20"/>
      <c r="C173" s="16"/>
      <c r="D173" s="16"/>
      <c r="E173" s="16"/>
      <c r="F173" s="20"/>
      <c r="G173" s="2"/>
      <c r="H173" s="26"/>
      <c r="I173" s="8"/>
      <c r="J173" s="51" t="s">
        <v>2214</v>
      </c>
      <c r="K173" s="103"/>
      <c r="L173" s="104"/>
      <c r="M173" s="104"/>
      <c r="N173" s="104"/>
      <c r="O173" s="104"/>
      <c r="P173" s="54"/>
      <c r="Q173" s="20"/>
      <c r="R173" s="76"/>
      <c r="S173" s="76"/>
      <c r="T173" s="76"/>
      <c r="U173" s="76"/>
      <c r="V173" s="76"/>
      <c r="W173" s="76"/>
      <c r="X173" s="76"/>
      <c r="Y173" s="76"/>
      <c r="Z173" s="76"/>
      <c r="AA173" s="76"/>
      <c r="AB173" s="76"/>
      <c r="AC173" s="76"/>
    </row>
    <row r="174" spans="1:29" ht="30.4">
      <c r="A174" s="35"/>
      <c r="B174" s="20"/>
      <c r="C174" s="16"/>
      <c r="D174" s="16"/>
      <c r="E174" s="16"/>
      <c r="F174" s="20" t="s">
        <v>1963</v>
      </c>
      <c r="G174" s="16" t="s">
        <v>2215</v>
      </c>
      <c r="H174" s="26"/>
      <c r="I174" s="8"/>
      <c r="J174" s="51" t="s">
        <v>2216</v>
      </c>
      <c r="K174" s="103"/>
      <c r="L174" s="104"/>
      <c r="M174" s="104"/>
      <c r="N174" s="104"/>
      <c r="O174" s="104"/>
      <c r="P174" s="54"/>
      <c r="Q174" s="20"/>
      <c r="R174" s="76"/>
      <c r="S174" s="76"/>
      <c r="T174" s="76"/>
      <c r="U174" s="76"/>
      <c r="V174" s="76"/>
      <c r="W174" s="76"/>
      <c r="X174" s="76"/>
      <c r="Y174" s="76"/>
      <c r="Z174" s="76"/>
      <c r="AA174" s="76"/>
      <c r="AB174" s="76"/>
      <c r="AC174" s="76"/>
    </row>
    <row r="175" spans="1:29" ht="30.4">
      <c r="A175" s="35"/>
      <c r="B175" s="20"/>
      <c r="C175" s="16"/>
      <c r="D175" s="16"/>
      <c r="E175" s="16"/>
      <c r="F175" s="20"/>
      <c r="G175" s="2"/>
      <c r="H175" s="26"/>
      <c r="I175" s="8"/>
      <c r="J175" s="51" t="s">
        <v>2217</v>
      </c>
      <c r="K175" s="103"/>
      <c r="L175" s="104"/>
      <c r="M175" s="104"/>
      <c r="N175" s="104"/>
      <c r="O175" s="104"/>
      <c r="P175" s="54"/>
      <c r="Q175" s="20"/>
      <c r="R175" s="76"/>
      <c r="S175" s="76"/>
      <c r="T175" s="76"/>
      <c r="U175" s="76"/>
      <c r="V175" s="76"/>
      <c r="W175" s="76"/>
      <c r="X175" s="76"/>
      <c r="Y175" s="76"/>
      <c r="Z175" s="76"/>
      <c r="AA175" s="76"/>
      <c r="AB175" s="76"/>
      <c r="AC175" s="76"/>
    </row>
    <row r="176" spans="1:29" ht="20.25">
      <c r="A176" s="35"/>
      <c r="B176" s="20"/>
      <c r="C176" s="16"/>
      <c r="D176" s="16"/>
      <c r="E176" s="16"/>
      <c r="F176" s="20"/>
      <c r="G176" s="16"/>
      <c r="H176" s="26"/>
      <c r="I176" s="8"/>
      <c r="J176" s="51" t="s">
        <v>2218</v>
      </c>
      <c r="K176" s="103"/>
      <c r="L176" s="104"/>
      <c r="M176" s="104"/>
      <c r="N176" s="104"/>
      <c r="O176" s="104"/>
      <c r="P176" s="54"/>
      <c r="Q176" s="20"/>
      <c r="R176" s="76"/>
      <c r="S176" s="76"/>
      <c r="T176" s="76"/>
      <c r="U176" s="76"/>
      <c r="V176" s="76"/>
      <c r="W176" s="76"/>
      <c r="X176" s="76"/>
      <c r="Y176" s="76"/>
      <c r="Z176" s="76"/>
      <c r="AA176" s="76"/>
      <c r="AB176" s="76"/>
      <c r="AC176" s="76"/>
    </row>
    <row r="177" spans="1:29" ht="30.4">
      <c r="A177" s="35"/>
      <c r="B177" s="20"/>
      <c r="C177" s="16"/>
      <c r="D177" s="16"/>
      <c r="E177" s="16"/>
      <c r="F177" s="20" t="s">
        <v>1967</v>
      </c>
      <c r="G177" s="16" t="s">
        <v>2219</v>
      </c>
      <c r="H177" s="26"/>
      <c r="I177" s="8"/>
      <c r="J177" s="51" t="s">
        <v>2220</v>
      </c>
      <c r="K177" s="103"/>
      <c r="L177" s="104"/>
      <c r="M177" s="104"/>
      <c r="N177" s="104"/>
      <c r="O177" s="104"/>
      <c r="P177" s="54"/>
      <c r="Q177" s="20"/>
      <c r="R177" s="76"/>
      <c r="S177" s="76"/>
      <c r="T177" s="76"/>
      <c r="U177" s="76"/>
      <c r="V177" s="76"/>
      <c r="W177" s="76"/>
      <c r="X177" s="76"/>
      <c r="Y177" s="76"/>
      <c r="Z177" s="76"/>
      <c r="AA177" s="76"/>
      <c r="AB177" s="76"/>
      <c r="AC177" s="76"/>
    </row>
    <row r="178" spans="1:29" ht="20.25">
      <c r="A178" s="35"/>
      <c r="B178" s="20"/>
      <c r="C178" s="16"/>
      <c r="D178" s="16"/>
      <c r="E178" s="16"/>
      <c r="F178" s="20"/>
      <c r="G178" s="16"/>
      <c r="H178" s="26"/>
      <c r="I178" s="8"/>
      <c r="J178" s="51" t="s">
        <v>2221</v>
      </c>
      <c r="K178" s="103"/>
      <c r="L178" s="104"/>
      <c r="M178" s="104"/>
      <c r="N178" s="104"/>
      <c r="O178" s="104"/>
      <c r="P178" s="54"/>
      <c r="Q178" s="20"/>
      <c r="R178" s="76"/>
      <c r="S178" s="76"/>
      <c r="T178" s="76"/>
      <c r="U178" s="76"/>
      <c r="V178" s="76"/>
      <c r="W178" s="76"/>
      <c r="X178" s="76"/>
      <c r="Y178" s="76"/>
      <c r="Z178" s="76"/>
      <c r="AA178" s="76"/>
      <c r="AB178" s="76"/>
      <c r="AC178" s="76"/>
    </row>
    <row r="179" spans="1:29" ht="20.25">
      <c r="A179" s="35"/>
      <c r="B179" s="20"/>
      <c r="C179" s="16"/>
      <c r="D179" s="16"/>
      <c r="E179" s="16"/>
      <c r="F179" s="20"/>
      <c r="G179" s="16"/>
      <c r="H179" s="26"/>
      <c r="I179" s="8"/>
      <c r="J179" s="51" t="s">
        <v>2222</v>
      </c>
      <c r="K179" s="103"/>
      <c r="L179" s="104"/>
      <c r="M179" s="104"/>
      <c r="N179" s="104"/>
      <c r="O179" s="104"/>
      <c r="P179" s="54"/>
      <c r="Q179" s="20"/>
      <c r="R179" s="76"/>
      <c r="S179" s="76"/>
      <c r="T179" s="76"/>
      <c r="U179" s="76"/>
      <c r="V179" s="76"/>
      <c r="W179" s="76"/>
      <c r="X179" s="76"/>
      <c r="Y179" s="76"/>
      <c r="Z179" s="76"/>
      <c r="AA179" s="76"/>
      <c r="AB179" s="76"/>
      <c r="AC179" s="76"/>
    </row>
    <row r="180" spans="1:29" ht="20.25">
      <c r="A180" s="35"/>
      <c r="B180" s="20"/>
      <c r="C180" s="16"/>
      <c r="D180" s="16"/>
      <c r="E180" s="16"/>
      <c r="F180" s="20" t="s">
        <v>1971</v>
      </c>
      <c r="G180" s="16" t="s">
        <v>2223</v>
      </c>
      <c r="H180" s="26"/>
      <c r="I180" s="8"/>
      <c r="J180" s="51" t="s">
        <v>2224</v>
      </c>
      <c r="K180" s="103"/>
      <c r="L180" s="104"/>
      <c r="M180" s="104"/>
      <c r="N180" s="104"/>
      <c r="O180" s="104"/>
      <c r="P180" s="54"/>
      <c r="Q180" s="20"/>
      <c r="R180" s="76"/>
      <c r="S180" s="76"/>
      <c r="T180" s="76"/>
      <c r="U180" s="76"/>
      <c r="V180" s="76"/>
      <c r="W180" s="76"/>
      <c r="X180" s="76"/>
      <c r="Y180" s="76"/>
      <c r="Z180" s="76"/>
      <c r="AA180" s="76"/>
      <c r="AB180" s="76"/>
      <c r="AC180" s="76"/>
    </row>
    <row r="181" spans="1:29" ht="20.25">
      <c r="A181" s="35"/>
      <c r="B181" s="20"/>
      <c r="C181" s="16"/>
      <c r="D181" s="16"/>
      <c r="E181" s="16"/>
      <c r="F181" s="20"/>
      <c r="G181" s="2"/>
      <c r="H181" s="26"/>
      <c r="I181" s="8"/>
      <c r="J181" s="51" t="s">
        <v>2225</v>
      </c>
      <c r="K181" s="103"/>
      <c r="L181" s="104"/>
      <c r="M181" s="104"/>
      <c r="N181" s="104"/>
      <c r="O181" s="104"/>
      <c r="P181" s="54"/>
      <c r="Q181" s="20"/>
      <c r="R181" s="76"/>
      <c r="S181" s="76"/>
      <c r="T181" s="76"/>
      <c r="U181" s="76"/>
      <c r="V181" s="76"/>
      <c r="W181" s="76"/>
      <c r="X181" s="76"/>
      <c r="Y181" s="76"/>
      <c r="Z181" s="76"/>
      <c r="AA181" s="76"/>
      <c r="AB181" s="76"/>
      <c r="AC181" s="76"/>
    </row>
    <row r="182" spans="1:29">
      <c r="A182" s="35"/>
      <c r="B182" s="20"/>
      <c r="C182" s="16"/>
      <c r="D182" s="16"/>
      <c r="E182" s="16"/>
      <c r="F182" s="20" t="s">
        <v>1974</v>
      </c>
      <c r="G182" s="16" t="s">
        <v>2226</v>
      </c>
      <c r="H182" s="26"/>
      <c r="I182" s="8"/>
      <c r="J182" s="51" t="s">
        <v>2227</v>
      </c>
      <c r="K182" s="103"/>
      <c r="L182" s="104"/>
      <c r="M182" s="104"/>
      <c r="N182" s="104"/>
      <c r="O182" s="104"/>
      <c r="P182" s="54"/>
      <c r="Q182" s="20"/>
      <c r="R182" s="76"/>
      <c r="S182" s="76"/>
      <c r="T182" s="76"/>
      <c r="U182" s="76"/>
      <c r="V182" s="76"/>
      <c r="W182" s="76"/>
      <c r="X182" s="76"/>
      <c r="Y182" s="76"/>
      <c r="Z182" s="76"/>
      <c r="AA182" s="76"/>
      <c r="AB182" s="76"/>
      <c r="AC182" s="76"/>
    </row>
    <row r="183" spans="1:29" ht="30.4">
      <c r="A183" s="35"/>
      <c r="B183" s="20"/>
      <c r="C183" s="16"/>
      <c r="D183" s="16"/>
      <c r="E183" s="16"/>
      <c r="F183" s="20"/>
      <c r="G183" s="2"/>
      <c r="H183" s="26"/>
      <c r="I183" s="8"/>
      <c r="J183" s="51" t="s">
        <v>2228</v>
      </c>
      <c r="K183" s="103"/>
      <c r="L183" s="104"/>
      <c r="M183" s="104"/>
      <c r="N183" s="104"/>
      <c r="O183" s="104"/>
      <c r="P183" s="54"/>
      <c r="Q183" s="20"/>
      <c r="R183" s="76"/>
      <c r="S183" s="76"/>
      <c r="T183" s="76"/>
      <c r="U183" s="76"/>
      <c r="V183" s="76"/>
      <c r="W183" s="76"/>
      <c r="X183" s="76"/>
      <c r="Y183" s="76"/>
      <c r="Z183" s="76"/>
      <c r="AA183" s="76"/>
      <c r="AB183" s="76"/>
      <c r="AC183" s="76"/>
    </row>
    <row r="184" spans="1:29" ht="30.4">
      <c r="A184" s="35"/>
      <c r="B184" s="20"/>
      <c r="C184" s="16"/>
      <c r="D184" s="16"/>
      <c r="E184" s="16"/>
      <c r="F184" s="20" t="s">
        <v>1977</v>
      </c>
      <c r="G184" s="16" t="s">
        <v>2229</v>
      </c>
      <c r="H184" s="26"/>
      <c r="I184" s="8"/>
      <c r="J184" s="51" t="s">
        <v>2230</v>
      </c>
      <c r="K184" s="103"/>
      <c r="L184" s="104"/>
      <c r="M184" s="104"/>
      <c r="N184" s="104"/>
      <c r="O184" s="104"/>
      <c r="P184" s="54"/>
      <c r="Q184" s="20"/>
      <c r="R184" s="76"/>
      <c r="S184" s="76"/>
      <c r="T184" s="76"/>
      <c r="U184" s="76"/>
      <c r="V184" s="76"/>
      <c r="W184" s="76"/>
      <c r="X184" s="76"/>
      <c r="Y184" s="76"/>
      <c r="Z184" s="76"/>
      <c r="AA184" s="76"/>
      <c r="AB184" s="76"/>
      <c r="AC184" s="76"/>
    </row>
    <row r="185" spans="1:29" ht="40.5">
      <c r="A185" s="35"/>
      <c r="B185" s="20"/>
      <c r="C185" s="16"/>
      <c r="D185" s="16"/>
      <c r="E185" s="16"/>
      <c r="F185" s="20"/>
      <c r="G185" s="16"/>
      <c r="H185" s="26"/>
      <c r="I185" s="8"/>
      <c r="J185" s="51" t="s">
        <v>2231</v>
      </c>
      <c r="K185" s="103"/>
      <c r="L185" s="104"/>
      <c r="M185" s="104"/>
      <c r="N185" s="104"/>
      <c r="O185" s="104"/>
      <c r="P185" s="54"/>
      <c r="Q185" s="20"/>
      <c r="R185" s="76"/>
      <c r="S185" s="76"/>
      <c r="T185" s="76"/>
      <c r="U185" s="76"/>
      <c r="V185" s="76"/>
      <c r="W185" s="76"/>
      <c r="X185" s="76"/>
      <c r="Y185" s="76"/>
      <c r="Z185" s="76"/>
      <c r="AA185" s="76"/>
      <c r="AB185" s="76"/>
      <c r="AC185" s="76"/>
    </row>
    <row r="186" spans="1:29" ht="18" customHeight="1">
      <c r="A186" s="35"/>
      <c r="B186" s="20"/>
      <c r="C186" s="16"/>
      <c r="D186" s="16"/>
      <c r="E186" s="16"/>
      <c r="F186" s="20"/>
      <c r="G186" s="16"/>
      <c r="H186" s="26"/>
      <c r="I186" s="8"/>
      <c r="J186" s="51"/>
      <c r="K186" s="103"/>
      <c r="L186" s="104"/>
      <c r="M186" s="104"/>
      <c r="N186" s="104"/>
      <c r="O186" s="104"/>
      <c r="P186" s="54"/>
      <c r="Q186" s="20"/>
      <c r="R186" s="76"/>
      <c r="S186" s="76"/>
      <c r="T186" s="76"/>
      <c r="U186" s="76"/>
      <c r="V186" s="76"/>
      <c r="W186" s="76"/>
      <c r="X186" s="76"/>
      <c r="Y186" s="76"/>
      <c r="Z186" s="76"/>
      <c r="AA186" s="76"/>
      <c r="AB186" s="76"/>
      <c r="AC186" s="76"/>
    </row>
    <row r="187" spans="1:29" ht="18" customHeight="1">
      <c r="A187" s="35"/>
      <c r="B187" s="20"/>
      <c r="C187" s="16"/>
      <c r="D187" s="16"/>
      <c r="E187" s="16">
        <v>7</v>
      </c>
      <c r="F187" s="20" t="s">
        <v>245</v>
      </c>
      <c r="G187" s="16" t="s">
        <v>2232</v>
      </c>
      <c r="H187" s="26"/>
      <c r="I187" s="8"/>
      <c r="J187" s="51" t="s">
        <v>2233</v>
      </c>
      <c r="K187" s="103"/>
      <c r="L187" s="104"/>
      <c r="M187" s="104"/>
      <c r="N187" s="104"/>
      <c r="O187" s="104"/>
      <c r="P187" s="54"/>
      <c r="Q187" s="20"/>
      <c r="R187" s="76"/>
      <c r="S187" s="76"/>
      <c r="T187" s="76"/>
      <c r="U187" s="76"/>
      <c r="V187" s="76"/>
      <c r="W187" s="76"/>
      <c r="X187" s="76"/>
      <c r="Y187" s="76"/>
      <c r="Z187" s="76"/>
      <c r="AA187" s="76"/>
      <c r="AB187" s="76"/>
      <c r="AC187" s="76"/>
    </row>
    <row r="188" spans="1:29" ht="18" customHeight="1">
      <c r="A188" s="35"/>
      <c r="B188" s="20"/>
      <c r="C188" s="16"/>
      <c r="D188" s="16"/>
      <c r="E188" s="16"/>
      <c r="F188" s="20"/>
      <c r="G188" s="2"/>
      <c r="H188" s="26"/>
      <c r="I188" s="8"/>
      <c r="J188" s="51" t="s">
        <v>2234</v>
      </c>
      <c r="K188" s="103"/>
      <c r="L188" s="104"/>
      <c r="M188" s="104"/>
      <c r="N188" s="104"/>
      <c r="O188" s="104"/>
      <c r="P188" s="54"/>
      <c r="Q188" s="20"/>
      <c r="R188" s="76"/>
      <c r="S188" s="76"/>
      <c r="T188" s="76"/>
      <c r="U188" s="76"/>
      <c r="V188" s="76"/>
      <c r="W188" s="76"/>
      <c r="X188" s="76"/>
      <c r="Y188" s="76"/>
      <c r="Z188" s="76"/>
      <c r="AA188" s="76"/>
      <c r="AB188" s="76"/>
      <c r="AC188" s="76"/>
    </row>
    <row r="189" spans="1:29" ht="18" customHeight="1">
      <c r="A189" s="35"/>
      <c r="B189" s="20"/>
      <c r="C189" s="16"/>
      <c r="D189" s="16"/>
      <c r="E189" s="16"/>
      <c r="F189" s="20" t="s">
        <v>1958</v>
      </c>
      <c r="G189" s="16" t="s">
        <v>2235</v>
      </c>
      <c r="H189" s="26"/>
      <c r="I189" s="8"/>
      <c r="J189" s="51" t="s">
        <v>2236</v>
      </c>
      <c r="K189" s="103"/>
      <c r="L189" s="104"/>
      <c r="M189" s="104"/>
      <c r="N189" s="104"/>
      <c r="O189" s="104"/>
      <c r="P189" s="54"/>
      <c r="Q189" s="20"/>
      <c r="R189" s="76"/>
      <c r="S189" s="76"/>
      <c r="T189" s="76"/>
      <c r="U189" s="76"/>
      <c r="V189" s="76"/>
      <c r="W189" s="76"/>
      <c r="X189" s="76"/>
      <c r="Y189" s="76"/>
      <c r="Z189" s="76"/>
      <c r="AA189" s="76"/>
      <c r="AB189" s="76"/>
      <c r="AC189" s="76"/>
    </row>
    <row r="190" spans="1:29" ht="18" customHeight="1">
      <c r="A190" s="35"/>
      <c r="B190" s="20"/>
      <c r="C190" s="16"/>
      <c r="D190" s="16"/>
      <c r="E190" s="16"/>
      <c r="F190" s="20"/>
      <c r="G190" s="16"/>
      <c r="H190" s="26"/>
      <c r="I190" s="8"/>
      <c r="J190" s="51" t="s">
        <v>2237</v>
      </c>
      <c r="K190" s="103"/>
      <c r="L190" s="104"/>
      <c r="M190" s="104"/>
      <c r="N190" s="104"/>
      <c r="O190" s="104"/>
      <c r="P190" s="54"/>
      <c r="Q190" s="20"/>
      <c r="R190" s="76"/>
      <c r="S190" s="76"/>
      <c r="T190" s="76"/>
      <c r="U190" s="76"/>
      <c r="V190" s="76"/>
      <c r="W190" s="76"/>
      <c r="X190" s="76"/>
      <c r="Y190" s="76"/>
      <c r="Z190" s="76"/>
      <c r="AA190" s="76"/>
      <c r="AB190" s="76"/>
      <c r="AC190" s="76"/>
    </row>
    <row r="191" spans="1:29" ht="18" customHeight="1">
      <c r="A191" s="35"/>
      <c r="B191" s="20"/>
      <c r="C191" s="16"/>
      <c r="D191" s="16"/>
      <c r="E191" s="16"/>
      <c r="F191" s="20"/>
      <c r="G191" s="16"/>
      <c r="H191" s="26"/>
      <c r="I191" s="8"/>
      <c r="J191" s="51" t="s">
        <v>2238</v>
      </c>
      <c r="K191" s="103"/>
      <c r="L191" s="104"/>
      <c r="M191" s="104"/>
      <c r="N191" s="104"/>
      <c r="O191" s="104"/>
      <c r="P191" s="54"/>
      <c r="Q191" s="20"/>
      <c r="R191" s="76"/>
      <c r="S191" s="76"/>
      <c r="T191" s="76"/>
      <c r="U191" s="76"/>
      <c r="V191" s="76"/>
      <c r="W191" s="76"/>
      <c r="X191" s="76"/>
      <c r="Y191" s="76"/>
      <c r="Z191" s="76"/>
      <c r="AA191" s="76"/>
      <c r="AB191" s="76"/>
      <c r="AC191" s="76"/>
    </row>
    <row r="192" spans="1:29" ht="18" customHeight="1">
      <c r="A192" s="35"/>
      <c r="B192" s="20"/>
      <c r="C192" s="16"/>
      <c r="D192" s="16"/>
      <c r="E192" s="16"/>
      <c r="F192" s="20"/>
      <c r="G192" s="16"/>
      <c r="H192" s="26"/>
      <c r="I192" s="8"/>
      <c r="J192" s="51" t="s">
        <v>2239</v>
      </c>
      <c r="K192" s="103"/>
      <c r="L192" s="104"/>
      <c r="M192" s="104"/>
      <c r="N192" s="104"/>
      <c r="O192" s="104"/>
      <c r="P192" s="54"/>
      <c r="Q192" s="20"/>
      <c r="R192" s="76"/>
      <c r="S192" s="76"/>
      <c r="T192" s="76"/>
      <c r="U192" s="76"/>
      <c r="V192" s="76"/>
      <c r="W192" s="76"/>
      <c r="X192" s="76"/>
      <c r="Y192" s="76"/>
      <c r="Z192" s="76"/>
      <c r="AA192" s="76"/>
      <c r="AB192" s="76"/>
      <c r="AC192" s="76"/>
    </row>
    <row r="193" spans="1:29" ht="18" customHeight="1">
      <c r="A193" s="35"/>
      <c r="B193" s="20"/>
      <c r="C193" s="16"/>
      <c r="D193" s="16"/>
      <c r="E193" s="16"/>
      <c r="F193" s="20"/>
      <c r="G193" s="16"/>
      <c r="H193" s="26"/>
      <c r="I193" s="8"/>
      <c r="J193" s="51" t="s">
        <v>2240</v>
      </c>
      <c r="K193" s="103"/>
      <c r="L193" s="104"/>
      <c r="M193" s="104"/>
      <c r="N193" s="104"/>
      <c r="O193" s="104"/>
      <c r="P193" s="54"/>
      <c r="Q193" s="20"/>
      <c r="R193" s="76"/>
      <c r="S193" s="76"/>
      <c r="T193" s="76"/>
      <c r="U193" s="76"/>
      <c r="V193" s="76"/>
      <c r="W193" s="76"/>
      <c r="X193" s="76"/>
      <c r="Y193" s="76"/>
      <c r="Z193" s="76"/>
      <c r="AA193" s="76"/>
      <c r="AB193" s="76"/>
      <c r="AC193" s="76"/>
    </row>
    <row r="194" spans="1:29" ht="18" customHeight="1">
      <c r="A194" s="35"/>
      <c r="B194" s="20"/>
      <c r="C194" s="16"/>
      <c r="D194" s="16"/>
      <c r="E194" s="16"/>
      <c r="F194" s="20"/>
      <c r="G194" s="16"/>
      <c r="H194" s="26"/>
      <c r="I194" s="8"/>
      <c r="J194" s="51" t="s">
        <v>2241</v>
      </c>
      <c r="K194" s="103"/>
      <c r="L194" s="104"/>
      <c r="M194" s="104"/>
      <c r="N194" s="104"/>
      <c r="O194" s="104"/>
      <c r="P194" s="54"/>
      <c r="Q194" s="20"/>
      <c r="R194" s="76"/>
      <c r="S194" s="76"/>
      <c r="T194" s="76"/>
      <c r="U194" s="76"/>
      <c r="V194" s="76"/>
      <c r="W194" s="76"/>
      <c r="X194" s="76"/>
      <c r="Y194" s="76"/>
      <c r="Z194" s="76"/>
      <c r="AA194" s="76"/>
      <c r="AB194" s="76"/>
      <c r="AC194" s="76"/>
    </row>
    <row r="195" spans="1:29" ht="18" customHeight="1">
      <c r="A195" s="35"/>
      <c r="B195" s="20"/>
      <c r="C195" s="16"/>
      <c r="D195" s="16"/>
      <c r="E195" s="16"/>
      <c r="F195" s="20" t="s">
        <v>1963</v>
      </c>
      <c r="G195" s="16" t="s">
        <v>2242</v>
      </c>
      <c r="H195" s="26"/>
      <c r="I195" s="8"/>
      <c r="J195" s="51" t="s">
        <v>2243</v>
      </c>
      <c r="K195" s="103"/>
      <c r="L195" s="104"/>
      <c r="M195" s="104"/>
      <c r="N195" s="104"/>
      <c r="O195" s="104"/>
      <c r="P195" s="54"/>
      <c r="Q195" s="20"/>
      <c r="R195" s="76"/>
      <c r="S195" s="76"/>
      <c r="T195" s="76"/>
      <c r="U195" s="76"/>
      <c r="V195" s="76"/>
      <c r="W195" s="76"/>
      <c r="X195" s="76"/>
      <c r="Y195" s="76"/>
      <c r="Z195" s="76"/>
      <c r="AA195" s="76"/>
      <c r="AB195" s="76"/>
      <c r="AC195" s="76"/>
    </row>
    <row r="196" spans="1:29" ht="18" customHeight="1">
      <c r="A196" s="35"/>
      <c r="B196" s="20"/>
      <c r="C196" s="16"/>
      <c r="D196" s="16"/>
      <c r="E196" s="16"/>
      <c r="F196" s="20"/>
      <c r="G196" s="16"/>
      <c r="H196" s="26"/>
      <c r="I196" s="8"/>
      <c r="J196" s="51" t="s">
        <v>2244</v>
      </c>
      <c r="K196" s="103"/>
      <c r="L196" s="104"/>
      <c r="M196" s="104"/>
      <c r="N196" s="104"/>
      <c r="O196" s="104"/>
      <c r="P196" s="54"/>
      <c r="Q196" s="20"/>
      <c r="R196" s="76"/>
      <c r="S196" s="76"/>
      <c r="T196" s="76"/>
      <c r="U196" s="76"/>
      <c r="V196" s="76"/>
      <c r="W196" s="76"/>
      <c r="X196" s="76"/>
      <c r="Y196" s="76"/>
      <c r="Z196" s="76"/>
      <c r="AA196" s="76"/>
      <c r="AB196" s="76"/>
      <c r="AC196" s="76"/>
    </row>
    <row r="197" spans="1:29" ht="18" customHeight="1">
      <c r="A197" s="35"/>
      <c r="B197" s="20"/>
      <c r="C197" s="16"/>
      <c r="D197" s="16"/>
      <c r="E197" s="16"/>
      <c r="F197" s="20" t="s">
        <v>1967</v>
      </c>
      <c r="G197" s="16" t="s">
        <v>2245</v>
      </c>
      <c r="H197" s="26"/>
      <c r="I197" s="8"/>
      <c r="J197" s="51" t="s">
        <v>2246</v>
      </c>
      <c r="K197" s="103"/>
      <c r="L197" s="104"/>
      <c r="M197" s="104"/>
      <c r="N197" s="104"/>
      <c r="O197" s="104"/>
      <c r="P197" s="54"/>
      <c r="Q197" s="20"/>
      <c r="R197" s="76"/>
      <c r="S197" s="76"/>
      <c r="T197" s="76"/>
      <c r="U197" s="76"/>
      <c r="V197" s="76"/>
      <c r="W197" s="76"/>
      <c r="X197" s="76"/>
      <c r="Y197" s="76"/>
      <c r="Z197" s="76"/>
      <c r="AA197" s="76"/>
      <c r="AB197" s="76"/>
      <c r="AC197" s="76"/>
    </row>
    <row r="198" spans="1:29" ht="18" customHeight="1">
      <c r="A198" s="35"/>
      <c r="B198" s="20"/>
      <c r="C198" s="16"/>
      <c r="D198" s="16"/>
      <c r="E198" s="16"/>
      <c r="F198" s="20"/>
      <c r="G198" s="16"/>
      <c r="H198" s="26"/>
      <c r="I198" s="8"/>
      <c r="J198" s="51" t="s">
        <v>2247</v>
      </c>
      <c r="K198" s="103"/>
      <c r="L198" s="104"/>
      <c r="M198" s="104"/>
      <c r="N198" s="104"/>
      <c r="O198" s="104"/>
      <c r="P198" s="54"/>
      <c r="Q198" s="20"/>
      <c r="R198" s="76"/>
      <c r="S198" s="76"/>
      <c r="T198" s="76"/>
      <c r="U198" s="76"/>
      <c r="V198" s="76"/>
      <c r="W198" s="76"/>
      <c r="X198" s="76"/>
      <c r="Y198" s="76"/>
      <c r="Z198" s="76"/>
      <c r="AA198" s="76"/>
      <c r="AB198" s="76"/>
      <c r="AC198" s="76"/>
    </row>
    <row r="199" spans="1:29" ht="18" customHeight="1">
      <c r="A199" s="35"/>
      <c r="B199" s="20"/>
      <c r="C199" s="16"/>
      <c r="D199" s="16"/>
      <c r="E199" s="16"/>
      <c r="F199" s="20"/>
      <c r="G199" s="16"/>
      <c r="H199" s="26"/>
      <c r="I199" s="8"/>
      <c r="J199" s="51" t="s">
        <v>2248</v>
      </c>
      <c r="K199" s="103"/>
      <c r="L199" s="104"/>
      <c r="M199" s="104"/>
      <c r="N199" s="104"/>
      <c r="O199" s="104"/>
      <c r="P199" s="54"/>
      <c r="Q199" s="20"/>
      <c r="R199" s="76"/>
      <c r="S199" s="76"/>
      <c r="T199" s="76"/>
      <c r="U199" s="76"/>
      <c r="V199" s="76"/>
      <c r="W199" s="76"/>
      <c r="X199" s="76"/>
      <c r="Y199" s="76"/>
      <c r="Z199" s="76"/>
      <c r="AA199" s="76"/>
      <c r="AB199" s="76"/>
      <c r="AC199" s="76"/>
    </row>
    <row r="200" spans="1:29" ht="18" customHeight="1">
      <c r="A200" s="35"/>
      <c r="B200" s="20"/>
      <c r="C200" s="16"/>
      <c r="D200" s="16"/>
      <c r="E200" s="16"/>
      <c r="F200" s="20"/>
      <c r="G200" s="16"/>
      <c r="H200" s="26"/>
      <c r="I200" s="8"/>
      <c r="J200" s="51" t="s">
        <v>2249</v>
      </c>
      <c r="K200" s="103"/>
      <c r="L200" s="104"/>
      <c r="M200" s="104"/>
      <c r="N200" s="104"/>
      <c r="O200" s="104"/>
      <c r="P200" s="54"/>
      <c r="Q200" s="20"/>
      <c r="R200" s="76"/>
      <c r="S200" s="76"/>
      <c r="T200" s="76"/>
      <c r="U200" s="76"/>
      <c r="V200" s="76"/>
      <c r="W200" s="76"/>
      <c r="X200" s="76"/>
      <c r="Y200" s="76"/>
      <c r="Z200" s="76"/>
      <c r="AA200" s="76"/>
      <c r="AB200" s="76"/>
      <c r="AC200" s="76"/>
    </row>
    <row r="201" spans="1:29" ht="18" customHeight="1">
      <c r="A201" s="35"/>
      <c r="B201" s="20"/>
      <c r="C201" s="16"/>
      <c r="D201" s="16"/>
      <c r="E201" s="16"/>
      <c r="F201" s="20"/>
      <c r="G201" s="16"/>
      <c r="H201" s="26"/>
      <c r="I201" s="8"/>
      <c r="J201" s="51" t="s">
        <v>2250</v>
      </c>
      <c r="K201" s="103"/>
      <c r="L201" s="104"/>
      <c r="M201" s="104"/>
      <c r="N201" s="104"/>
      <c r="O201" s="104"/>
      <c r="P201" s="54"/>
      <c r="Q201" s="20"/>
      <c r="R201" s="76"/>
      <c r="S201" s="76"/>
      <c r="T201" s="76"/>
      <c r="U201" s="76"/>
      <c r="V201" s="76"/>
      <c r="W201" s="76"/>
      <c r="X201" s="76"/>
      <c r="Y201" s="76"/>
      <c r="Z201" s="76"/>
      <c r="AA201" s="76"/>
      <c r="AB201" s="76"/>
      <c r="AC201" s="76"/>
    </row>
    <row r="202" spans="1:29" ht="18" customHeight="1">
      <c r="A202" s="35"/>
      <c r="B202" s="20"/>
      <c r="C202" s="16"/>
      <c r="D202" s="16"/>
      <c r="E202" s="16"/>
      <c r="F202" s="20"/>
      <c r="G202" s="16"/>
      <c r="H202" s="26"/>
      <c r="I202" s="8"/>
      <c r="J202" s="51" t="s">
        <v>2251</v>
      </c>
      <c r="K202" s="103"/>
      <c r="L202" s="104"/>
      <c r="M202" s="104"/>
      <c r="N202" s="104"/>
      <c r="O202" s="104"/>
      <c r="P202" s="54"/>
      <c r="Q202" s="20"/>
      <c r="R202" s="76"/>
      <c r="S202" s="76"/>
      <c r="T202" s="76"/>
      <c r="U202" s="76"/>
      <c r="V202" s="76"/>
      <c r="W202" s="76"/>
      <c r="X202" s="76"/>
      <c r="Y202" s="76"/>
      <c r="Z202" s="76"/>
      <c r="AA202" s="76"/>
      <c r="AB202" s="76"/>
      <c r="AC202" s="76"/>
    </row>
    <row r="203" spans="1:29" ht="18" customHeight="1">
      <c r="A203" s="35"/>
      <c r="B203" s="20"/>
      <c r="C203" s="16"/>
      <c r="D203" s="16"/>
      <c r="E203" s="16"/>
      <c r="F203" s="20"/>
      <c r="G203" s="16"/>
      <c r="H203" s="26"/>
      <c r="I203" s="8"/>
      <c r="J203" s="51"/>
      <c r="K203" s="103"/>
      <c r="L203" s="104"/>
      <c r="M203" s="104"/>
      <c r="N203" s="104"/>
      <c r="O203" s="104"/>
      <c r="P203" s="54"/>
      <c r="Q203" s="20"/>
      <c r="R203" s="76"/>
      <c r="S203" s="76"/>
      <c r="T203" s="76"/>
      <c r="U203" s="76"/>
      <c r="V203" s="76"/>
      <c r="W203" s="76"/>
      <c r="X203" s="76"/>
      <c r="Y203" s="76"/>
      <c r="Z203" s="76"/>
      <c r="AA203" s="76"/>
      <c r="AB203" s="76"/>
      <c r="AC203" s="76"/>
    </row>
    <row r="204" spans="1:29" ht="18" customHeight="1">
      <c r="A204" s="35"/>
      <c r="B204" s="20"/>
      <c r="C204" s="16"/>
      <c r="D204" s="16"/>
      <c r="E204" s="16">
        <v>8</v>
      </c>
      <c r="F204" s="20" t="s">
        <v>245</v>
      </c>
      <c r="G204" s="16" t="s">
        <v>2252</v>
      </c>
      <c r="H204" s="26"/>
      <c r="I204" s="8"/>
      <c r="J204" s="51" t="s">
        <v>2253</v>
      </c>
      <c r="K204" s="103"/>
      <c r="L204" s="104"/>
      <c r="M204" s="104"/>
      <c r="N204" s="104"/>
      <c r="O204" s="104"/>
      <c r="P204" s="54"/>
      <c r="Q204" s="20"/>
      <c r="R204" s="76"/>
      <c r="S204" s="76"/>
      <c r="T204" s="76"/>
      <c r="U204" s="76"/>
      <c r="V204" s="76"/>
      <c r="W204" s="76"/>
      <c r="X204" s="76"/>
      <c r="Y204" s="76"/>
      <c r="Z204" s="76"/>
      <c r="AA204" s="76"/>
      <c r="AB204" s="76"/>
      <c r="AC204" s="76"/>
    </row>
    <row r="205" spans="1:29" ht="18" customHeight="1">
      <c r="A205" s="35"/>
      <c r="B205" s="20"/>
      <c r="C205" s="16"/>
      <c r="D205" s="16"/>
      <c r="E205" s="16"/>
      <c r="F205" s="20"/>
      <c r="G205" s="2"/>
      <c r="H205" s="26"/>
      <c r="I205" s="8"/>
      <c r="J205" s="51" t="s">
        <v>2254</v>
      </c>
      <c r="K205" s="103"/>
      <c r="L205" s="104"/>
      <c r="M205" s="104"/>
      <c r="N205" s="104"/>
      <c r="O205" s="104"/>
      <c r="P205" s="54"/>
      <c r="Q205" s="20"/>
      <c r="R205" s="76"/>
      <c r="S205" s="76"/>
      <c r="T205" s="76"/>
      <c r="U205" s="76"/>
      <c r="V205" s="76"/>
      <c r="W205" s="76"/>
      <c r="X205" s="76"/>
      <c r="Y205" s="76"/>
      <c r="Z205" s="76"/>
      <c r="AA205" s="76"/>
      <c r="AB205" s="76"/>
      <c r="AC205" s="76"/>
    </row>
    <row r="206" spans="1:29" ht="18" customHeight="1">
      <c r="A206" s="35"/>
      <c r="B206" s="20"/>
      <c r="C206" s="16"/>
      <c r="D206" s="16"/>
      <c r="E206" s="16"/>
      <c r="F206" s="20"/>
      <c r="G206" s="2"/>
      <c r="H206" s="26"/>
      <c r="I206" s="8"/>
      <c r="J206" s="51" t="s">
        <v>2255</v>
      </c>
      <c r="K206" s="103"/>
      <c r="L206" s="104"/>
      <c r="M206" s="104"/>
      <c r="N206" s="104"/>
      <c r="O206" s="104"/>
      <c r="P206" s="54"/>
      <c r="Q206" s="20"/>
      <c r="R206" s="76"/>
      <c r="S206" s="76"/>
      <c r="T206" s="76"/>
      <c r="U206" s="76"/>
      <c r="V206" s="76"/>
      <c r="W206" s="76"/>
      <c r="X206" s="76"/>
      <c r="Y206" s="76"/>
      <c r="Z206" s="76"/>
      <c r="AA206" s="76"/>
      <c r="AB206" s="76"/>
      <c r="AC206" s="76"/>
    </row>
    <row r="207" spans="1:29" ht="18" customHeight="1">
      <c r="A207" s="35"/>
      <c r="B207" s="20"/>
      <c r="C207" s="16"/>
      <c r="D207" s="16"/>
      <c r="E207" s="16"/>
      <c r="F207" s="20" t="s">
        <v>1958</v>
      </c>
      <c r="G207" s="16" t="s">
        <v>2256</v>
      </c>
      <c r="H207" s="26"/>
      <c r="I207" s="8"/>
      <c r="J207" s="51" t="s">
        <v>2257</v>
      </c>
      <c r="K207" s="103"/>
      <c r="L207" s="104"/>
      <c r="M207" s="104"/>
      <c r="N207" s="104"/>
      <c r="O207" s="104"/>
      <c r="P207" s="54"/>
      <c r="Q207" s="20"/>
      <c r="R207" s="76"/>
      <c r="S207" s="76"/>
      <c r="T207" s="76"/>
      <c r="U207" s="76"/>
      <c r="V207" s="76"/>
      <c r="W207" s="76"/>
      <c r="X207" s="76"/>
      <c r="Y207" s="76"/>
      <c r="Z207" s="76"/>
      <c r="AA207" s="76"/>
      <c r="AB207" s="76"/>
      <c r="AC207" s="76"/>
    </row>
    <row r="208" spans="1:29" ht="18" customHeight="1">
      <c r="A208" s="35"/>
      <c r="B208" s="20"/>
      <c r="C208" s="16"/>
      <c r="D208" s="16"/>
      <c r="E208" s="16"/>
      <c r="F208" s="20"/>
      <c r="G208" s="2"/>
      <c r="H208" s="26"/>
      <c r="I208" s="8"/>
      <c r="J208" s="51" t="s">
        <v>2258</v>
      </c>
      <c r="K208" s="103"/>
      <c r="L208" s="104"/>
      <c r="M208" s="104"/>
      <c r="N208" s="104"/>
      <c r="O208" s="104"/>
      <c r="P208" s="54"/>
      <c r="Q208" s="20"/>
      <c r="R208" s="76"/>
      <c r="S208" s="76"/>
      <c r="T208" s="76"/>
      <c r="U208" s="76"/>
      <c r="V208" s="76"/>
      <c r="W208" s="76"/>
      <c r="X208" s="76"/>
      <c r="Y208" s="76"/>
      <c r="Z208" s="76"/>
      <c r="AA208" s="76"/>
      <c r="AB208" s="76"/>
      <c r="AC208" s="76"/>
    </row>
    <row r="209" spans="1:29" ht="18" customHeight="1">
      <c r="A209" s="35"/>
      <c r="B209" s="20"/>
      <c r="C209" s="16"/>
      <c r="D209" s="16"/>
      <c r="E209" s="16"/>
      <c r="F209" s="20"/>
      <c r="G209" s="2"/>
      <c r="H209" s="26"/>
      <c r="I209" s="8"/>
      <c r="J209" s="51" t="s">
        <v>2259</v>
      </c>
      <c r="K209" s="103"/>
      <c r="L209" s="104"/>
      <c r="M209" s="104"/>
      <c r="N209" s="104"/>
      <c r="O209" s="104"/>
      <c r="P209" s="54"/>
      <c r="Q209" s="20"/>
      <c r="R209" s="76"/>
      <c r="S209" s="76"/>
      <c r="T209" s="76"/>
      <c r="U209" s="76"/>
      <c r="V209" s="76"/>
      <c r="W209" s="76"/>
      <c r="X209" s="76"/>
      <c r="Y209" s="76"/>
      <c r="Z209" s="76"/>
      <c r="AA209" s="76"/>
      <c r="AB209" s="76"/>
      <c r="AC209" s="76"/>
    </row>
    <row r="210" spans="1:29" ht="18" customHeight="1">
      <c r="A210" s="35"/>
      <c r="B210" s="20"/>
      <c r="C210" s="16"/>
      <c r="D210" s="16"/>
      <c r="E210" s="16"/>
      <c r="F210" s="20"/>
      <c r="G210" s="2"/>
      <c r="H210" s="26"/>
      <c r="I210" s="8"/>
      <c r="J210" s="51" t="s">
        <v>2260</v>
      </c>
      <c r="K210" s="103"/>
      <c r="L210" s="104"/>
      <c r="M210" s="104"/>
      <c r="N210" s="104"/>
      <c r="O210" s="104"/>
      <c r="P210" s="54"/>
      <c r="Q210" s="20"/>
      <c r="R210" s="76"/>
      <c r="S210" s="76"/>
      <c r="T210" s="76"/>
      <c r="U210" s="76"/>
      <c r="V210" s="76"/>
      <c r="W210" s="76"/>
      <c r="X210" s="76"/>
      <c r="Y210" s="76"/>
      <c r="Z210" s="76"/>
      <c r="AA210" s="76"/>
      <c r="AB210" s="76"/>
      <c r="AC210" s="76"/>
    </row>
    <row r="211" spans="1:29" ht="18" customHeight="1">
      <c r="A211" s="35"/>
      <c r="B211" s="20"/>
      <c r="C211" s="16"/>
      <c r="D211" s="16"/>
      <c r="E211" s="16"/>
      <c r="F211" s="20"/>
      <c r="G211" s="16"/>
      <c r="H211" s="26"/>
      <c r="I211" s="8"/>
      <c r="J211" s="51" t="s">
        <v>2261</v>
      </c>
      <c r="K211" s="103"/>
      <c r="L211" s="104"/>
      <c r="M211" s="104"/>
      <c r="N211" s="104"/>
      <c r="O211" s="104"/>
      <c r="P211" s="54"/>
      <c r="Q211" s="20"/>
      <c r="R211" s="76"/>
      <c r="S211" s="76"/>
      <c r="T211" s="76"/>
      <c r="U211" s="76"/>
      <c r="V211" s="76"/>
      <c r="W211" s="76"/>
      <c r="X211" s="76"/>
      <c r="Y211" s="76"/>
      <c r="Z211" s="76"/>
      <c r="AA211" s="76"/>
      <c r="AB211" s="76"/>
      <c r="AC211" s="76"/>
    </row>
    <row r="212" spans="1:29" ht="18" customHeight="1">
      <c r="A212" s="35"/>
      <c r="B212" s="20"/>
      <c r="C212" s="16"/>
      <c r="D212" s="16"/>
      <c r="E212" s="16"/>
      <c r="F212" s="20"/>
      <c r="G212" s="16"/>
      <c r="H212" s="26"/>
      <c r="I212" s="8"/>
      <c r="J212" s="51" t="s">
        <v>2262</v>
      </c>
      <c r="K212" s="103"/>
      <c r="L212" s="104"/>
      <c r="M212" s="104"/>
      <c r="N212" s="104"/>
      <c r="O212" s="104"/>
      <c r="P212" s="54"/>
      <c r="Q212" s="20"/>
      <c r="R212" s="76"/>
      <c r="S212" s="76"/>
      <c r="T212" s="76"/>
      <c r="U212" s="76"/>
      <c r="V212" s="76"/>
      <c r="W212" s="76"/>
      <c r="X212" s="76"/>
      <c r="Y212" s="76"/>
      <c r="Z212" s="76"/>
      <c r="AA212" s="76"/>
      <c r="AB212" s="76"/>
      <c r="AC212" s="76"/>
    </row>
    <row r="213" spans="1:29" ht="18" customHeight="1">
      <c r="A213" s="35"/>
      <c r="B213" s="20"/>
      <c r="C213" s="16"/>
      <c r="D213" s="16"/>
      <c r="E213" s="16"/>
      <c r="F213" s="20"/>
      <c r="G213" s="2"/>
      <c r="H213" s="26"/>
      <c r="I213" s="8"/>
      <c r="J213" s="51" t="s">
        <v>2263</v>
      </c>
      <c r="K213" s="103"/>
      <c r="L213" s="104"/>
      <c r="M213" s="104"/>
      <c r="N213" s="104"/>
      <c r="O213" s="104"/>
      <c r="P213" s="54"/>
      <c r="Q213" s="20"/>
      <c r="R213" s="76"/>
      <c r="S213" s="76"/>
      <c r="T213" s="76"/>
      <c r="U213" s="76"/>
      <c r="V213" s="76"/>
      <c r="W213" s="76"/>
      <c r="X213" s="76"/>
      <c r="Y213" s="76"/>
      <c r="Z213" s="76"/>
      <c r="AA213" s="76"/>
      <c r="AB213" s="76"/>
      <c r="AC213" s="76"/>
    </row>
    <row r="214" spans="1:29" ht="18" customHeight="1">
      <c r="A214" s="35"/>
      <c r="B214" s="20"/>
      <c r="C214" s="16"/>
      <c r="D214" s="16"/>
      <c r="E214" s="16"/>
      <c r="F214" s="20"/>
      <c r="G214" s="2"/>
      <c r="H214" s="26"/>
      <c r="I214" s="8"/>
      <c r="J214" s="51" t="s">
        <v>2264</v>
      </c>
      <c r="K214" s="103"/>
      <c r="L214" s="104"/>
      <c r="M214" s="104"/>
      <c r="N214" s="104"/>
      <c r="O214" s="104"/>
      <c r="P214" s="54"/>
      <c r="Q214" s="20"/>
      <c r="R214" s="76"/>
      <c r="S214" s="76"/>
      <c r="T214" s="76"/>
      <c r="U214" s="76"/>
      <c r="V214" s="76"/>
      <c r="W214" s="76"/>
      <c r="X214" s="76"/>
      <c r="Y214" s="76"/>
      <c r="Z214" s="76"/>
      <c r="AA214" s="76"/>
      <c r="AB214" s="76"/>
      <c r="AC214" s="76"/>
    </row>
    <row r="215" spans="1:29" ht="18" customHeight="1">
      <c r="A215" s="35"/>
      <c r="B215" s="20"/>
      <c r="C215" s="16"/>
      <c r="D215" s="16"/>
      <c r="E215" s="16"/>
      <c r="F215" s="20"/>
      <c r="G215" s="2"/>
      <c r="H215" s="26"/>
      <c r="I215" s="8"/>
      <c r="J215" s="51" t="s">
        <v>2265</v>
      </c>
      <c r="K215" s="103"/>
      <c r="L215" s="104"/>
      <c r="M215" s="104"/>
      <c r="N215" s="104"/>
      <c r="O215" s="104"/>
      <c r="P215" s="54"/>
      <c r="Q215" s="20"/>
      <c r="R215" s="76"/>
      <c r="S215" s="76"/>
      <c r="T215" s="76"/>
      <c r="U215" s="76"/>
      <c r="V215" s="76"/>
      <c r="W215" s="76"/>
      <c r="X215" s="76"/>
      <c r="Y215" s="76"/>
      <c r="Z215" s="76"/>
      <c r="AA215" s="76"/>
      <c r="AB215" s="76"/>
      <c r="AC215" s="76"/>
    </row>
    <row r="216" spans="1:29" ht="18" customHeight="1">
      <c r="A216" s="35"/>
      <c r="B216" s="20"/>
      <c r="C216" s="16"/>
      <c r="D216" s="16"/>
      <c r="E216" s="16"/>
      <c r="F216" s="20"/>
      <c r="G216" s="16"/>
      <c r="H216" s="26"/>
      <c r="I216" s="8"/>
      <c r="J216" s="51" t="s">
        <v>2266</v>
      </c>
      <c r="K216" s="103"/>
      <c r="L216" s="104"/>
      <c r="M216" s="104"/>
      <c r="N216" s="104"/>
      <c r="O216" s="104"/>
      <c r="P216" s="54"/>
      <c r="Q216" s="20"/>
      <c r="R216" s="76"/>
      <c r="S216" s="76"/>
      <c r="T216" s="76"/>
      <c r="U216" s="76"/>
      <c r="V216" s="76"/>
      <c r="W216" s="76"/>
      <c r="X216" s="76"/>
      <c r="Y216" s="76"/>
      <c r="Z216" s="76"/>
      <c r="AA216" s="76"/>
      <c r="AB216" s="76"/>
      <c r="AC216" s="76"/>
    </row>
    <row r="217" spans="1:29" ht="18" customHeight="1">
      <c r="A217" s="35"/>
      <c r="B217" s="20"/>
      <c r="C217" s="16"/>
      <c r="D217" s="16"/>
      <c r="E217" s="16"/>
      <c r="F217" s="20" t="s">
        <v>1963</v>
      </c>
      <c r="G217" s="16" t="s">
        <v>2267</v>
      </c>
      <c r="H217" s="26"/>
      <c r="I217" s="8"/>
      <c r="J217" s="51" t="s">
        <v>2268</v>
      </c>
      <c r="K217" s="103"/>
      <c r="L217" s="104"/>
      <c r="M217" s="104"/>
      <c r="N217" s="104"/>
      <c r="O217" s="104"/>
      <c r="P217" s="54"/>
      <c r="Q217" s="20"/>
      <c r="R217" s="76"/>
      <c r="S217" s="76"/>
      <c r="T217" s="76"/>
      <c r="U217" s="76"/>
      <c r="V217" s="76"/>
      <c r="W217" s="76"/>
      <c r="X217" s="76"/>
      <c r="Y217" s="76"/>
      <c r="Z217" s="76"/>
      <c r="AA217" s="76"/>
      <c r="AB217" s="76"/>
      <c r="AC217" s="76"/>
    </row>
    <row r="218" spans="1:29" ht="30.4">
      <c r="A218" s="35"/>
      <c r="B218" s="20"/>
      <c r="C218" s="16"/>
      <c r="D218" s="16"/>
      <c r="E218" s="16"/>
      <c r="F218" s="20"/>
      <c r="G218" s="2"/>
      <c r="H218" s="26"/>
      <c r="I218" s="8"/>
      <c r="J218" s="51" t="s">
        <v>2269</v>
      </c>
      <c r="K218" s="103"/>
      <c r="L218" s="104"/>
      <c r="M218" s="104"/>
      <c r="N218" s="104"/>
      <c r="O218" s="104"/>
      <c r="P218" s="54"/>
      <c r="Q218" s="20"/>
      <c r="R218" s="76"/>
      <c r="S218" s="76"/>
      <c r="T218" s="76"/>
      <c r="U218" s="76"/>
      <c r="V218" s="76"/>
      <c r="W218" s="76"/>
      <c r="X218" s="76"/>
      <c r="Y218" s="76"/>
      <c r="Z218" s="76"/>
      <c r="AA218" s="76"/>
      <c r="AB218" s="76"/>
      <c r="AC218" s="76"/>
    </row>
    <row r="219" spans="1:29" ht="18" customHeight="1">
      <c r="A219" s="35"/>
      <c r="B219" s="20"/>
      <c r="C219" s="16"/>
      <c r="D219" s="16"/>
      <c r="E219" s="16"/>
      <c r="F219" s="20"/>
      <c r="G219" s="2"/>
      <c r="H219" s="26"/>
      <c r="I219" s="8"/>
      <c r="J219" s="51" t="s">
        <v>2270</v>
      </c>
      <c r="K219" s="103"/>
      <c r="L219" s="104"/>
      <c r="M219" s="104"/>
      <c r="N219" s="104"/>
      <c r="O219" s="104"/>
      <c r="P219" s="54"/>
      <c r="Q219" s="20"/>
      <c r="R219" s="76"/>
      <c r="S219" s="76"/>
      <c r="T219" s="76"/>
      <c r="U219" s="76"/>
      <c r="V219" s="76"/>
      <c r="W219" s="76"/>
      <c r="X219" s="76"/>
      <c r="Y219" s="76"/>
      <c r="Z219" s="76"/>
      <c r="AA219" s="76"/>
      <c r="AB219" s="76"/>
      <c r="AC219" s="76"/>
    </row>
    <row r="220" spans="1:29" ht="18" customHeight="1">
      <c r="A220" s="35"/>
      <c r="B220" s="20"/>
      <c r="C220" s="16"/>
      <c r="D220" s="16"/>
      <c r="E220" s="16"/>
      <c r="F220" s="20" t="s">
        <v>1967</v>
      </c>
      <c r="G220" s="16" t="s">
        <v>2271</v>
      </c>
      <c r="H220" s="26"/>
      <c r="I220" s="8"/>
      <c r="J220" s="51" t="s">
        <v>2272</v>
      </c>
      <c r="K220" s="103"/>
      <c r="L220" s="104"/>
      <c r="M220" s="104"/>
      <c r="N220" s="104"/>
      <c r="O220" s="104"/>
      <c r="P220" s="54"/>
      <c r="Q220" s="20"/>
      <c r="R220" s="76"/>
      <c r="S220" s="76"/>
      <c r="T220" s="76"/>
      <c r="U220" s="76"/>
      <c r="V220" s="76"/>
      <c r="W220" s="76"/>
      <c r="X220" s="76"/>
      <c r="Y220" s="76"/>
      <c r="Z220" s="76"/>
      <c r="AA220" s="76"/>
      <c r="AB220" s="76"/>
      <c r="AC220" s="76"/>
    </row>
    <row r="221" spans="1:29" ht="30.4">
      <c r="A221" s="35"/>
      <c r="B221" s="20"/>
      <c r="C221" s="16"/>
      <c r="D221" s="16"/>
      <c r="E221" s="16"/>
      <c r="F221" s="20"/>
      <c r="G221" s="2"/>
      <c r="H221" s="26"/>
      <c r="I221" s="8"/>
      <c r="J221" s="51" t="s">
        <v>2273</v>
      </c>
      <c r="K221" s="103"/>
      <c r="L221" s="104"/>
      <c r="M221" s="104"/>
      <c r="N221" s="104"/>
      <c r="O221" s="104"/>
      <c r="P221" s="54"/>
      <c r="Q221" s="20"/>
      <c r="R221" s="76"/>
      <c r="S221" s="76"/>
      <c r="T221" s="76"/>
      <c r="U221" s="76"/>
      <c r="V221" s="76"/>
      <c r="W221" s="76"/>
      <c r="X221" s="76"/>
      <c r="Y221" s="76"/>
      <c r="Z221" s="76"/>
      <c r="AA221" s="76"/>
      <c r="AB221" s="76"/>
      <c r="AC221" s="76"/>
    </row>
    <row r="222" spans="1:29" ht="18" customHeight="1">
      <c r="A222" s="35"/>
      <c r="B222" s="20"/>
      <c r="C222" s="16"/>
      <c r="D222" s="16"/>
      <c r="E222" s="16"/>
      <c r="F222" s="20" t="s">
        <v>1971</v>
      </c>
      <c r="G222" s="16" t="s">
        <v>2274</v>
      </c>
      <c r="H222" s="26"/>
      <c r="I222" s="8"/>
      <c r="J222" s="51" t="s">
        <v>2275</v>
      </c>
      <c r="K222" s="103"/>
      <c r="L222" s="104"/>
      <c r="M222" s="104"/>
      <c r="N222" s="104"/>
      <c r="O222" s="104"/>
      <c r="P222" s="54"/>
      <c r="Q222" s="20"/>
      <c r="R222" s="76"/>
      <c r="S222" s="76"/>
      <c r="T222" s="76"/>
      <c r="U222" s="76"/>
      <c r="V222" s="76"/>
      <c r="W222" s="76"/>
      <c r="X222" s="76"/>
      <c r="Y222" s="76"/>
      <c r="Z222" s="76"/>
      <c r="AA222" s="76"/>
      <c r="AB222" s="76"/>
      <c r="AC222" s="76"/>
    </row>
    <row r="223" spans="1:29" ht="18" customHeight="1">
      <c r="A223" s="35"/>
      <c r="B223" s="20"/>
      <c r="C223" s="16"/>
      <c r="D223" s="16"/>
      <c r="E223" s="16"/>
      <c r="F223" s="20"/>
      <c r="G223" s="2"/>
      <c r="H223" s="26"/>
      <c r="I223" s="8"/>
      <c r="J223" s="51" t="s">
        <v>2276</v>
      </c>
      <c r="K223" s="103"/>
      <c r="L223" s="104"/>
      <c r="M223" s="104"/>
      <c r="N223" s="104"/>
      <c r="O223" s="104"/>
      <c r="P223" s="54"/>
      <c r="Q223" s="20"/>
      <c r="R223" s="76"/>
      <c r="S223" s="76"/>
      <c r="T223" s="76"/>
      <c r="U223" s="76"/>
      <c r="V223" s="76"/>
      <c r="W223" s="76"/>
      <c r="X223" s="76"/>
      <c r="Y223" s="76"/>
      <c r="Z223" s="76"/>
      <c r="AA223" s="76"/>
      <c r="AB223" s="76"/>
      <c r="AC223" s="76"/>
    </row>
    <row r="224" spans="1:29" ht="18" customHeight="1">
      <c r="A224" s="35"/>
      <c r="B224" s="20"/>
      <c r="C224" s="16"/>
      <c r="D224" s="16"/>
      <c r="E224" s="16"/>
      <c r="F224" s="20" t="s">
        <v>1974</v>
      </c>
      <c r="G224" s="16" t="s">
        <v>2277</v>
      </c>
      <c r="H224" s="26"/>
      <c r="I224" s="8"/>
      <c r="J224" s="51" t="s">
        <v>2278</v>
      </c>
      <c r="K224" s="103"/>
      <c r="L224" s="104"/>
      <c r="M224" s="104"/>
      <c r="N224" s="104"/>
      <c r="O224" s="104"/>
      <c r="P224" s="54"/>
      <c r="Q224" s="20"/>
      <c r="R224" s="76"/>
      <c r="S224" s="76"/>
      <c r="T224" s="76"/>
      <c r="U224" s="76"/>
      <c r="V224" s="76"/>
      <c r="W224" s="76"/>
      <c r="X224" s="76"/>
      <c r="Y224" s="76"/>
      <c r="Z224" s="76"/>
      <c r="AA224" s="76"/>
      <c r="AB224" s="76"/>
      <c r="AC224" s="76"/>
    </row>
    <row r="225" spans="1:29" ht="18" customHeight="1">
      <c r="A225" s="35"/>
      <c r="B225" s="20"/>
      <c r="C225" s="16"/>
      <c r="D225" s="16"/>
      <c r="E225" s="16"/>
      <c r="F225" s="20"/>
      <c r="G225" s="16"/>
      <c r="H225" s="26"/>
      <c r="I225" s="8"/>
      <c r="J225" s="51" t="s">
        <v>2279</v>
      </c>
      <c r="K225" s="103"/>
      <c r="L225" s="104"/>
      <c r="M225" s="104"/>
      <c r="N225" s="104"/>
      <c r="O225" s="104"/>
      <c r="P225" s="54"/>
      <c r="Q225" s="20"/>
      <c r="R225" s="76"/>
      <c r="S225" s="76"/>
      <c r="T225" s="76"/>
      <c r="U225" s="76"/>
      <c r="V225" s="76"/>
      <c r="W225" s="76"/>
      <c r="X225" s="76"/>
      <c r="Y225" s="76"/>
      <c r="Z225" s="76"/>
      <c r="AA225" s="76"/>
      <c r="AB225" s="76"/>
      <c r="AC225" s="76"/>
    </row>
    <row r="226" spans="1:29" ht="18" customHeight="1">
      <c r="A226" s="35"/>
      <c r="B226" s="20"/>
      <c r="C226" s="16"/>
      <c r="D226" s="16"/>
      <c r="E226" s="16"/>
      <c r="F226" s="20"/>
      <c r="G226" s="16"/>
      <c r="H226" s="26"/>
      <c r="I226" s="8"/>
      <c r="J226" s="51" t="s">
        <v>2280</v>
      </c>
      <c r="K226" s="103"/>
      <c r="L226" s="104"/>
      <c r="M226" s="104"/>
      <c r="N226" s="104"/>
      <c r="O226" s="104"/>
      <c r="P226" s="54"/>
      <c r="Q226" s="20"/>
      <c r="R226" s="76"/>
      <c r="S226" s="76"/>
      <c r="T226" s="76"/>
      <c r="U226" s="76"/>
      <c r="V226" s="76"/>
      <c r="W226" s="76"/>
      <c r="X226" s="76"/>
      <c r="Y226" s="76"/>
      <c r="Z226" s="76"/>
      <c r="AA226" s="76"/>
      <c r="AB226" s="76"/>
      <c r="AC226" s="76"/>
    </row>
    <row r="227" spans="1:29" ht="18" customHeight="1">
      <c r="A227" s="35"/>
      <c r="B227" s="20"/>
      <c r="C227" s="16"/>
      <c r="D227" s="16"/>
      <c r="E227" s="16"/>
      <c r="F227" s="20"/>
      <c r="G227" s="16"/>
      <c r="H227" s="26"/>
      <c r="I227" s="8"/>
      <c r="J227" s="51" t="s">
        <v>2281</v>
      </c>
      <c r="K227" s="103"/>
      <c r="L227" s="104"/>
      <c r="M227" s="104"/>
      <c r="N227" s="104"/>
      <c r="O227" s="104"/>
      <c r="P227" s="54"/>
      <c r="Q227" s="20"/>
      <c r="R227" s="76"/>
      <c r="S227" s="76"/>
      <c r="T227" s="76"/>
      <c r="U227" s="76"/>
      <c r="V227" s="76"/>
      <c r="W227" s="76"/>
      <c r="X227" s="76"/>
      <c r="Y227" s="76"/>
      <c r="Z227" s="76"/>
      <c r="AA227" s="76"/>
      <c r="AB227" s="76"/>
      <c r="AC227" s="76"/>
    </row>
    <row r="228" spans="1:29" ht="18" customHeight="1">
      <c r="A228" s="35"/>
      <c r="B228" s="20"/>
      <c r="C228" s="16"/>
      <c r="D228" s="16"/>
      <c r="E228" s="16"/>
      <c r="F228" s="20"/>
      <c r="G228" s="16"/>
      <c r="H228" s="26"/>
      <c r="I228" s="8"/>
      <c r="J228" s="51" t="s">
        <v>2282</v>
      </c>
      <c r="K228" s="103"/>
      <c r="L228" s="104"/>
      <c r="M228" s="104"/>
      <c r="N228" s="104"/>
      <c r="O228" s="104"/>
      <c r="P228" s="54"/>
      <c r="Q228" s="20"/>
      <c r="R228" s="76"/>
      <c r="S228" s="76"/>
      <c r="T228" s="76"/>
      <c r="U228" s="76"/>
      <c r="V228" s="76"/>
      <c r="W228" s="76"/>
      <c r="X228" s="76"/>
      <c r="Y228" s="76"/>
      <c r="Z228" s="76"/>
      <c r="AA228" s="76"/>
      <c r="AB228" s="76"/>
      <c r="AC228" s="76"/>
    </row>
    <row r="229" spans="1:29" ht="18" customHeight="1">
      <c r="A229" s="35"/>
      <c r="B229" s="20"/>
      <c r="C229" s="16"/>
      <c r="D229" s="16"/>
      <c r="E229" s="16"/>
      <c r="F229" s="20"/>
      <c r="G229" s="16"/>
      <c r="H229" s="26"/>
      <c r="I229" s="8"/>
      <c r="J229" s="51" t="s">
        <v>2283</v>
      </c>
      <c r="K229" s="103"/>
      <c r="L229" s="104"/>
      <c r="M229" s="104"/>
      <c r="N229" s="104"/>
      <c r="O229" s="104"/>
      <c r="P229" s="54"/>
      <c r="Q229" s="20"/>
      <c r="R229" s="76"/>
      <c r="S229" s="76"/>
      <c r="T229" s="76"/>
      <c r="U229" s="76"/>
      <c r="V229" s="76"/>
      <c r="W229" s="76"/>
      <c r="X229" s="76"/>
      <c r="Y229" s="76"/>
      <c r="Z229" s="76"/>
      <c r="AA229" s="76"/>
      <c r="AB229" s="76"/>
      <c r="AC229" s="76"/>
    </row>
    <row r="230" spans="1:29" ht="18" customHeight="1">
      <c r="A230" s="35"/>
      <c r="B230" s="20"/>
      <c r="C230" s="16"/>
      <c r="D230" s="16"/>
      <c r="E230" s="16"/>
      <c r="F230" s="20"/>
      <c r="G230" s="16"/>
      <c r="H230" s="26"/>
      <c r="I230" s="8"/>
      <c r="J230" s="51" t="s">
        <v>2284</v>
      </c>
      <c r="K230" s="103"/>
      <c r="L230" s="104"/>
      <c r="M230" s="104"/>
      <c r="N230" s="104"/>
      <c r="O230" s="104"/>
      <c r="P230" s="54"/>
      <c r="Q230" s="20"/>
      <c r="R230" s="76"/>
      <c r="S230" s="76"/>
      <c r="T230" s="76"/>
      <c r="U230" s="76"/>
      <c r="V230" s="76"/>
      <c r="W230" s="76"/>
      <c r="X230" s="76"/>
      <c r="Y230" s="76"/>
      <c r="Z230" s="76"/>
      <c r="AA230" s="76"/>
      <c r="AB230" s="76"/>
      <c r="AC230" s="76"/>
    </row>
    <row r="231" spans="1:29" ht="18" customHeight="1">
      <c r="A231" s="35"/>
      <c r="B231" s="20"/>
      <c r="C231" s="16"/>
      <c r="D231" s="16"/>
      <c r="E231" s="16"/>
      <c r="F231" s="20"/>
      <c r="G231" s="16"/>
      <c r="H231" s="26"/>
      <c r="I231" s="8"/>
      <c r="J231" s="51" t="s">
        <v>2285</v>
      </c>
      <c r="K231" s="103"/>
      <c r="L231" s="104"/>
      <c r="M231" s="104"/>
      <c r="N231" s="104"/>
      <c r="O231" s="104"/>
      <c r="P231" s="54"/>
      <c r="Q231" s="20"/>
      <c r="R231" s="76"/>
      <c r="S231" s="76"/>
      <c r="T231" s="76"/>
      <c r="U231" s="76"/>
      <c r="V231" s="76"/>
      <c r="W231" s="76"/>
      <c r="X231" s="76"/>
      <c r="Y231" s="76"/>
      <c r="Z231" s="76"/>
      <c r="AA231" s="76"/>
      <c r="AB231" s="76"/>
      <c r="AC231" s="76"/>
    </row>
    <row r="232" spans="1:29" ht="18" customHeight="1">
      <c r="A232" s="35"/>
      <c r="B232" s="20"/>
      <c r="C232" s="16"/>
      <c r="D232" s="16"/>
      <c r="E232" s="16"/>
      <c r="F232" s="20"/>
      <c r="G232" s="16"/>
      <c r="H232" s="26"/>
      <c r="I232" s="8"/>
      <c r="J232" s="51"/>
      <c r="K232" s="103"/>
      <c r="L232" s="104"/>
      <c r="M232" s="104"/>
      <c r="N232" s="104"/>
      <c r="O232" s="104"/>
      <c r="P232" s="54"/>
      <c r="Q232" s="20"/>
      <c r="R232" s="76"/>
      <c r="S232" s="76"/>
      <c r="T232" s="76"/>
      <c r="U232" s="76"/>
      <c r="V232" s="76"/>
      <c r="W232" s="76"/>
      <c r="X232" s="76"/>
      <c r="Y232" s="76"/>
      <c r="Z232" s="76"/>
      <c r="AA232" s="76"/>
      <c r="AB232" s="76"/>
      <c r="AC232" s="76"/>
    </row>
    <row r="233" spans="1:29" ht="20.25">
      <c r="A233" s="35"/>
      <c r="B233" s="20"/>
      <c r="C233" s="16"/>
      <c r="D233" s="16"/>
      <c r="E233" s="16">
        <v>9</v>
      </c>
      <c r="F233" s="20" t="s">
        <v>245</v>
      </c>
      <c r="G233" s="16" t="s">
        <v>2286</v>
      </c>
      <c r="H233" s="26"/>
      <c r="I233" s="8"/>
      <c r="J233" s="51" t="s">
        <v>2287</v>
      </c>
      <c r="K233" s="103"/>
      <c r="L233" s="104"/>
      <c r="M233" s="104"/>
      <c r="N233" s="104"/>
      <c r="O233" s="104"/>
      <c r="P233" s="54"/>
      <c r="Q233" s="20"/>
      <c r="R233" s="76"/>
      <c r="S233" s="76"/>
      <c r="T233" s="76"/>
      <c r="U233" s="76"/>
      <c r="V233" s="76"/>
      <c r="W233" s="76"/>
      <c r="X233" s="76"/>
      <c r="Y233" s="76"/>
      <c r="Z233" s="76"/>
      <c r="AA233" s="76"/>
      <c r="AB233" s="76"/>
      <c r="AC233" s="76"/>
    </row>
    <row r="234" spans="1:29" ht="20.25">
      <c r="A234" s="35"/>
      <c r="B234" s="20"/>
      <c r="C234" s="16"/>
      <c r="D234" s="16"/>
      <c r="E234" s="16"/>
      <c r="F234" s="20"/>
      <c r="G234" s="16"/>
      <c r="H234" s="26"/>
      <c r="I234" s="8"/>
      <c r="J234" s="51" t="s">
        <v>2288</v>
      </c>
      <c r="K234" s="103"/>
      <c r="L234" s="104"/>
      <c r="M234" s="104"/>
      <c r="N234" s="104"/>
      <c r="O234" s="104"/>
      <c r="P234" s="54"/>
      <c r="Q234" s="20"/>
      <c r="R234" s="76"/>
      <c r="S234" s="76"/>
      <c r="T234" s="76"/>
      <c r="U234" s="76"/>
      <c r="V234" s="76"/>
      <c r="W234" s="76"/>
      <c r="X234" s="76"/>
      <c r="Y234" s="76"/>
      <c r="Z234" s="76"/>
      <c r="AA234" s="76"/>
      <c r="AB234" s="76"/>
      <c r="AC234" s="76"/>
    </row>
    <row r="235" spans="1:29" ht="20.25">
      <c r="A235" s="35"/>
      <c r="B235" s="20"/>
      <c r="C235" s="16"/>
      <c r="D235" s="16"/>
      <c r="E235" s="16"/>
      <c r="F235" s="20"/>
      <c r="G235" s="16"/>
      <c r="H235" s="26"/>
      <c r="I235" s="8"/>
      <c r="J235" s="51" t="s">
        <v>2289</v>
      </c>
      <c r="K235" s="103"/>
      <c r="L235" s="104"/>
      <c r="M235" s="104"/>
      <c r="N235" s="104"/>
      <c r="O235" s="104"/>
      <c r="P235" s="54"/>
      <c r="Q235" s="20"/>
      <c r="R235" s="76"/>
      <c r="S235" s="76"/>
      <c r="T235" s="76"/>
      <c r="U235" s="76"/>
      <c r="V235" s="76"/>
      <c r="W235" s="76"/>
      <c r="X235" s="76"/>
      <c r="Y235" s="76"/>
      <c r="Z235" s="76"/>
      <c r="AA235" s="76"/>
      <c r="AB235" s="76"/>
      <c r="AC235" s="76"/>
    </row>
    <row r="236" spans="1:29">
      <c r="A236" s="35"/>
      <c r="B236" s="20"/>
      <c r="C236" s="16"/>
      <c r="D236" s="16"/>
      <c r="E236" s="16"/>
      <c r="F236" s="20"/>
      <c r="G236" s="16"/>
      <c r="H236" s="26"/>
      <c r="I236" s="8"/>
      <c r="J236" s="51" t="s">
        <v>2290</v>
      </c>
      <c r="K236" s="103"/>
      <c r="L236" s="104"/>
      <c r="M236" s="104"/>
      <c r="N236" s="104"/>
      <c r="O236" s="104"/>
      <c r="P236" s="54"/>
      <c r="Q236" s="20"/>
      <c r="R236" s="76"/>
      <c r="S236" s="76"/>
      <c r="T236" s="76"/>
      <c r="U236" s="76"/>
      <c r="V236" s="76"/>
      <c r="W236" s="76"/>
      <c r="X236" s="76"/>
      <c r="Y236" s="76"/>
      <c r="Z236" s="76"/>
      <c r="AA236" s="76"/>
      <c r="AB236" s="76"/>
      <c r="AC236" s="76"/>
    </row>
    <row r="237" spans="1:29" ht="30.4">
      <c r="A237" s="35"/>
      <c r="B237" s="20"/>
      <c r="C237" s="16"/>
      <c r="D237" s="16"/>
      <c r="E237" s="16"/>
      <c r="F237" s="20" t="s">
        <v>1958</v>
      </c>
      <c r="G237" s="16" t="s">
        <v>2291</v>
      </c>
      <c r="H237" s="26"/>
      <c r="I237" s="8"/>
      <c r="J237" s="51" t="s">
        <v>2292</v>
      </c>
      <c r="K237" s="103"/>
      <c r="L237" s="104"/>
      <c r="M237" s="104"/>
      <c r="N237" s="104"/>
      <c r="O237" s="104"/>
      <c r="P237" s="54"/>
      <c r="Q237" s="20"/>
      <c r="R237" s="76"/>
      <c r="S237" s="76"/>
      <c r="T237" s="76"/>
      <c r="U237" s="76"/>
      <c r="V237" s="76"/>
      <c r="W237" s="76"/>
      <c r="X237" s="76"/>
      <c r="Y237" s="76"/>
      <c r="Z237" s="76"/>
      <c r="AA237" s="76"/>
      <c r="AB237" s="76"/>
      <c r="AC237" s="76"/>
    </row>
    <row r="238" spans="1:29" ht="20.25">
      <c r="A238" s="35"/>
      <c r="B238" s="20"/>
      <c r="C238" s="16"/>
      <c r="D238" s="16"/>
      <c r="E238" s="16"/>
      <c r="F238" s="20"/>
      <c r="G238" s="16"/>
      <c r="H238" s="26"/>
      <c r="I238" s="8"/>
      <c r="J238" s="51" t="s">
        <v>2293</v>
      </c>
      <c r="K238" s="103"/>
      <c r="L238" s="104"/>
      <c r="M238" s="104"/>
      <c r="N238" s="104"/>
      <c r="O238" s="104"/>
      <c r="P238" s="54"/>
      <c r="Q238" s="20"/>
      <c r="R238" s="76"/>
      <c r="S238" s="76"/>
      <c r="T238" s="76"/>
      <c r="U238" s="76"/>
      <c r="V238" s="76"/>
      <c r="W238" s="76"/>
      <c r="X238" s="76"/>
      <c r="Y238" s="76"/>
      <c r="Z238" s="76"/>
      <c r="AA238" s="76"/>
      <c r="AB238" s="76"/>
      <c r="AC238" s="76"/>
    </row>
    <row r="239" spans="1:29" ht="20.25">
      <c r="A239" s="35"/>
      <c r="B239" s="20"/>
      <c r="C239" s="16"/>
      <c r="D239" s="16"/>
      <c r="E239" s="16"/>
      <c r="F239" s="20"/>
      <c r="G239" s="16"/>
      <c r="H239" s="26"/>
      <c r="I239" s="8"/>
      <c r="J239" s="51" t="s">
        <v>2294</v>
      </c>
      <c r="K239" s="103"/>
      <c r="L239" s="104"/>
      <c r="M239" s="104"/>
      <c r="N239" s="104"/>
      <c r="O239" s="104"/>
      <c r="P239" s="54"/>
      <c r="Q239" s="20"/>
      <c r="R239" s="76"/>
      <c r="S239" s="76"/>
      <c r="T239" s="76"/>
      <c r="U239" s="76"/>
      <c r="V239" s="76"/>
      <c r="W239" s="76"/>
      <c r="X239" s="76"/>
      <c r="Y239" s="76"/>
      <c r="Z239" s="76"/>
      <c r="AA239" s="76"/>
      <c r="AB239" s="76"/>
      <c r="AC239" s="76"/>
    </row>
    <row r="240" spans="1:29" ht="20.25">
      <c r="A240" s="35"/>
      <c r="B240" s="20"/>
      <c r="C240" s="16"/>
      <c r="D240" s="16"/>
      <c r="E240" s="16"/>
      <c r="F240" s="20"/>
      <c r="G240" s="16"/>
      <c r="H240" s="26"/>
      <c r="I240" s="8"/>
      <c r="J240" s="51" t="s">
        <v>2295</v>
      </c>
      <c r="K240" s="103"/>
      <c r="L240" s="104"/>
      <c r="M240" s="104"/>
      <c r="N240" s="104"/>
      <c r="O240" s="104"/>
      <c r="P240" s="54"/>
      <c r="Q240" s="20"/>
      <c r="R240" s="76"/>
      <c r="S240" s="76"/>
      <c r="T240" s="76"/>
      <c r="U240" s="76"/>
      <c r="V240" s="76"/>
      <c r="W240" s="76"/>
      <c r="X240" s="76"/>
      <c r="Y240" s="76"/>
      <c r="Z240" s="76"/>
      <c r="AA240" s="76"/>
      <c r="AB240" s="76"/>
      <c r="AC240" s="76"/>
    </row>
    <row r="241" spans="1:29" ht="30.4">
      <c r="A241" s="35"/>
      <c r="B241" s="20"/>
      <c r="C241" s="16"/>
      <c r="D241" s="16"/>
      <c r="E241" s="16"/>
      <c r="F241" s="20"/>
      <c r="G241" s="16"/>
      <c r="H241" s="26"/>
      <c r="I241" s="8"/>
      <c r="J241" s="51" t="s">
        <v>2296</v>
      </c>
      <c r="K241" s="103"/>
      <c r="L241" s="104"/>
      <c r="M241" s="104"/>
      <c r="N241" s="104"/>
      <c r="O241" s="104"/>
      <c r="P241" s="54"/>
      <c r="Q241" s="20"/>
      <c r="R241" s="76"/>
      <c r="S241" s="76"/>
      <c r="T241" s="76"/>
      <c r="U241" s="76"/>
      <c r="V241" s="76"/>
      <c r="W241" s="76"/>
      <c r="X241" s="76"/>
      <c r="Y241" s="76"/>
      <c r="Z241" s="76"/>
      <c r="AA241" s="76"/>
      <c r="AB241" s="76"/>
      <c r="AC241" s="76"/>
    </row>
    <row r="242" spans="1:29" ht="20.25">
      <c r="A242" s="35"/>
      <c r="B242" s="20"/>
      <c r="C242" s="16"/>
      <c r="D242" s="16"/>
      <c r="E242" s="16"/>
      <c r="F242" s="20"/>
      <c r="G242" s="16"/>
      <c r="H242" s="26"/>
      <c r="I242" s="8"/>
      <c r="J242" s="51" t="s">
        <v>2297</v>
      </c>
      <c r="K242" s="103"/>
      <c r="L242" s="104"/>
      <c r="M242" s="104"/>
      <c r="N242" s="104"/>
      <c r="O242" s="104"/>
      <c r="P242" s="54"/>
      <c r="Q242" s="20"/>
      <c r="R242" s="76"/>
      <c r="S242" s="76"/>
      <c r="T242" s="76"/>
      <c r="U242" s="76"/>
      <c r="V242" s="76"/>
      <c r="W242" s="76"/>
      <c r="X242" s="76"/>
      <c r="Y242" s="76"/>
      <c r="Z242" s="76"/>
      <c r="AA242" s="76"/>
      <c r="AB242" s="76"/>
      <c r="AC242" s="76"/>
    </row>
    <row r="243" spans="1:29" ht="50.65">
      <c r="A243" s="35"/>
      <c r="B243" s="20"/>
      <c r="C243" s="16"/>
      <c r="D243" s="16"/>
      <c r="E243" s="16"/>
      <c r="F243" s="20"/>
      <c r="G243" s="16"/>
      <c r="H243" s="26"/>
      <c r="I243" s="8"/>
      <c r="J243" s="51" t="s">
        <v>2298</v>
      </c>
      <c r="K243" s="103"/>
      <c r="L243" s="104"/>
      <c r="M243" s="104"/>
      <c r="N243" s="104"/>
      <c r="O243" s="104"/>
      <c r="P243" s="54"/>
      <c r="Q243" s="20"/>
      <c r="R243" s="76"/>
      <c r="S243" s="76"/>
      <c r="T243" s="76"/>
      <c r="U243" s="76"/>
      <c r="V243" s="76"/>
      <c r="W243" s="76"/>
      <c r="X243" s="76"/>
      <c r="Y243" s="76"/>
      <c r="Z243" s="76"/>
      <c r="AA243" s="76"/>
      <c r="AB243" s="76"/>
      <c r="AC243" s="76"/>
    </row>
    <row r="244" spans="1:29" ht="50.65">
      <c r="A244" s="35"/>
      <c r="B244" s="20"/>
      <c r="C244" s="16"/>
      <c r="D244" s="16"/>
      <c r="E244" s="16"/>
      <c r="F244" s="20"/>
      <c r="G244" s="16"/>
      <c r="H244" s="26"/>
      <c r="I244" s="8"/>
      <c r="J244" s="51" t="s">
        <v>2299</v>
      </c>
      <c r="K244" s="103"/>
      <c r="L244" s="104"/>
      <c r="M244" s="104"/>
      <c r="N244" s="104"/>
      <c r="O244" s="104"/>
      <c r="P244" s="54"/>
      <c r="Q244" s="20"/>
      <c r="R244" s="76"/>
      <c r="S244" s="76"/>
      <c r="T244" s="76"/>
      <c r="U244" s="76"/>
      <c r="V244" s="76"/>
      <c r="W244" s="76"/>
      <c r="X244" s="76"/>
      <c r="Y244" s="76"/>
      <c r="Z244" s="76"/>
      <c r="AA244" s="76"/>
      <c r="AB244" s="76"/>
      <c r="AC244" s="76"/>
    </row>
    <row r="245" spans="1:29" ht="40.5">
      <c r="A245" s="35"/>
      <c r="B245" s="20"/>
      <c r="C245" s="16"/>
      <c r="D245" s="16"/>
      <c r="E245" s="16"/>
      <c r="F245" s="20"/>
      <c r="G245" s="16"/>
      <c r="H245" s="26"/>
      <c r="I245" s="8"/>
      <c r="J245" s="51" t="s">
        <v>2300</v>
      </c>
      <c r="K245" s="103"/>
      <c r="L245" s="104"/>
      <c r="M245" s="104"/>
      <c r="N245" s="104"/>
      <c r="O245" s="104"/>
      <c r="P245" s="54"/>
      <c r="Q245" s="20"/>
      <c r="R245" s="76"/>
      <c r="S245" s="76"/>
      <c r="T245" s="76"/>
      <c r="U245" s="76"/>
      <c r="V245" s="76"/>
      <c r="W245" s="76"/>
      <c r="X245" s="76"/>
      <c r="Y245" s="76"/>
      <c r="Z245" s="76"/>
      <c r="AA245" s="76"/>
      <c r="AB245" s="76"/>
      <c r="AC245" s="76"/>
    </row>
    <row r="246" spans="1:29" ht="40.5">
      <c r="A246" s="35"/>
      <c r="B246" s="20"/>
      <c r="C246" s="16"/>
      <c r="D246" s="16"/>
      <c r="E246" s="16"/>
      <c r="F246" s="20" t="s">
        <v>1963</v>
      </c>
      <c r="G246" s="16" t="s">
        <v>2301</v>
      </c>
      <c r="H246" s="26"/>
      <c r="I246" s="8"/>
      <c r="J246" s="51" t="s">
        <v>2302</v>
      </c>
      <c r="K246" s="103"/>
      <c r="L246" s="104"/>
      <c r="M246" s="104"/>
      <c r="N246" s="104"/>
      <c r="O246" s="104"/>
      <c r="P246" s="54"/>
      <c r="Q246" s="20"/>
      <c r="R246" s="76"/>
      <c r="S246" s="76"/>
      <c r="T246" s="76"/>
      <c r="U246" s="76"/>
      <c r="V246" s="76"/>
      <c r="W246" s="76"/>
      <c r="X246" s="76"/>
      <c r="Y246" s="76"/>
      <c r="Z246" s="76"/>
      <c r="AA246" s="76"/>
      <c r="AB246" s="76"/>
      <c r="AC246" s="76"/>
    </row>
    <row r="247" spans="1:29">
      <c r="A247" s="35"/>
      <c r="B247" s="20"/>
      <c r="C247" s="16"/>
      <c r="D247" s="16"/>
      <c r="E247" s="16"/>
      <c r="F247" s="20"/>
      <c r="G247" s="16"/>
      <c r="H247" s="26"/>
      <c r="I247" s="8"/>
      <c r="J247" s="51" t="s">
        <v>2303</v>
      </c>
      <c r="K247" s="103"/>
      <c r="L247" s="104"/>
      <c r="M247" s="104"/>
      <c r="N247" s="104"/>
      <c r="O247" s="104"/>
      <c r="P247" s="54"/>
      <c r="Q247" s="20"/>
      <c r="R247" s="76"/>
      <c r="S247" s="76"/>
      <c r="T247" s="76"/>
      <c r="U247" s="76"/>
      <c r="V247" s="76"/>
      <c r="W247" s="76"/>
      <c r="X247" s="76"/>
      <c r="Y247" s="76"/>
      <c r="Z247" s="76"/>
      <c r="AA247" s="76"/>
      <c r="AB247" s="76"/>
      <c r="AC247" s="76"/>
    </row>
    <row r="248" spans="1:29" ht="20.25">
      <c r="A248" s="35"/>
      <c r="B248" s="20"/>
      <c r="C248" s="16"/>
      <c r="D248" s="16"/>
      <c r="E248" s="16"/>
      <c r="F248" s="20"/>
      <c r="G248" s="16"/>
      <c r="H248" s="26"/>
      <c r="I248" s="8"/>
      <c r="J248" s="51" t="s">
        <v>2304</v>
      </c>
      <c r="K248" s="103"/>
      <c r="L248" s="104"/>
      <c r="M248" s="104"/>
      <c r="N248" s="104"/>
      <c r="O248" s="104"/>
      <c r="P248" s="54"/>
      <c r="Q248" s="20"/>
      <c r="R248" s="76"/>
      <c r="S248" s="76"/>
      <c r="T248" s="76"/>
      <c r="U248" s="76"/>
      <c r="V248" s="76"/>
      <c r="W248" s="76"/>
      <c r="X248" s="76"/>
      <c r="Y248" s="76"/>
      <c r="Z248" s="76"/>
      <c r="AA248" s="76"/>
      <c r="AB248" s="76"/>
      <c r="AC248" s="76"/>
    </row>
    <row r="249" spans="1:29" ht="20.25">
      <c r="A249" s="35"/>
      <c r="B249" s="20"/>
      <c r="C249" s="16"/>
      <c r="D249" s="16"/>
      <c r="E249" s="16"/>
      <c r="F249" s="20"/>
      <c r="G249" s="16"/>
      <c r="H249" s="26"/>
      <c r="I249" s="8"/>
      <c r="J249" s="51" t="s">
        <v>2305</v>
      </c>
      <c r="K249" s="103"/>
      <c r="L249" s="104"/>
      <c r="M249" s="104"/>
      <c r="N249" s="104"/>
      <c r="O249" s="104"/>
      <c r="P249" s="54"/>
      <c r="Q249" s="20"/>
      <c r="R249" s="76"/>
      <c r="S249" s="76"/>
      <c r="T249" s="76"/>
      <c r="U249" s="76"/>
      <c r="V249" s="76"/>
      <c r="W249" s="76"/>
      <c r="X249" s="76"/>
      <c r="Y249" s="76"/>
      <c r="Z249" s="76"/>
      <c r="AA249" s="76"/>
      <c r="AB249" s="76"/>
      <c r="AC249" s="76"/>
    </row>
    <row r="250" spans="1:29" ht="20.25">
      <c r="A250" s="35"/>
      <c r="B250" s="20"/>
      <c r="C250" s="16"/>
      <c r="D250" s="16"/>
      <c r="E250" s="16"/>
      <c r="F250" s="20"/>
      <c r="G250" s="16"/>
      <c r="H250" s="26"/>
      <c r="I250" s="8"/>
      <c r="J250" s="51" t="s">
        <v>2306</v>
      </c>
      <c r="K250" s="103"/>
      <c r="L250" s="104"/>
      <c r="M250" s="104"/>
      <c r="N250" s="104"/>
      <c r="O250" s="104"/>
      <c r="P250" s="54"/>
      <c r="Q250" s="20"/>
      <c r="R250" s="76"/>
      <c r="S250" s="76"/>
      <c r="T250" s="76"/>
      <c r="U250" s="76"/>
      <c r="V250" s="76"/>
      <c r="W250" s="76"/>
      <c r="X250" s="76"/>
      <c r="Y250" s="76"/>
      <c r="Z250" s="76"/>
      <c r="AA250" s="76"/>
      <c r="AB250" s="76"/>
      <c r="AC250" s="76"/>
    </row>
    <row r="251" spans="1:29">
      <c r="A251" s="35"/>
      <c r="B251" s="20"/>
      <c r="C251" s="16"/>
      <c r="D251" s="16"/>
      <c r="E251" s="16"/>
      <c r="F251" s="20"/>
      <c r="G251" s="16"/>
      <c r="H251" s="26"/>
      <c r="I251" s="8"/>
      <c r="J251" s="51" t="s">
        <v>2307</v>
      </c>
      <c r="K251" s="103"/>
      <c r="L251" s="104"/>
      <c r="M251" s="104"/>
      <c r="N251" s="104"/>
      <c r="O251" s="104"/>
      <c r="P251" s="54"/>
      <c r="Q251" s="20"/>
      <c r="R251" s="76"/>
      <c r="S251" s="76"/>
      <c r="T251" s="76"/>
      <c r="U251" s="76"/>
      <c r="V251" s="76"/>
      <c r="W251" s="76"/>
      <c r="X251" s="76"/>
      <c r="Y251" s="76"/>
      <c r="Z251" s="76"/>
      <c r="AA251" s="76"/>
      <c r="AB251" s="76"/>
      <c r="AC251" s="76"/>
    </row>
    <row r="252" spans="1:29" ht="20.25">
      <c r="A252" s="35"/>
      <c r="B252" s="20"/>
      <c r="C252" s="16"/>
      <c r="D252" s="16"/>
      <c r="E252" s="16"/>
      <c r="F252" s="20" t="s">
        <v>1967</v>
      </c>
      <c r="G252" s="16" t="s">
        <v>2308</v>
      </c>
      <c r="H252" s="26"/>
      <c r="I252" s="8"/>
      <c r="J252" s="51" t="s">
        <v>2309</v>
      </c>
      <c r="K252" s="103"/>
      <c r="L252" s="104"/>
      <c r="M252" s="104"/>
      <c r="N252" s="104"/>
      <c r="O252" s="104"/>
      <c r="P252" s="54"/>
      <c r="Q252" s="20"/>
      <c r="R252" s="76"/>
      <c r="S252" s="76"/>
      <c r="T252" s="76"/>
      <c r="U252" s="76"/>
      <c r="V252" s="76"/>
      <c r="W252" s="76"/>
      <c r="X252" s="76"/>
      <c r="Y252" s="76"/>
      <c r="Z252" s="76"/>
      <c r="AA252" s="76"/>
      <c r="AB252" s="76"/>
      <c r="AC252" s="76"/>
    </row>
    <row r="253" spans="1:29" ht="20.25">
      <c r="A253" s="35"/>
      <c r="B253" s="20"/>
      <c r="C253" s="16"/>
      <c r="D253" s="16"/>
      <c r="E253" s="16"/>
      <c r="F253" s="20"/>
      <c r="G253" s="16"/>
      <c r="H253" s="26"/>
      <c r="I253" s="8"/>
      <c r="J253" s="51" t="s">
        <v>2310</v>
      </c>
      <c r="K253" s="103"/>
      <c r="L253" s="104"/>
      <c r="M253" s="104"/>
      <c r="N253" s="104"/>
      <c r="O253" s="104"/>
      <c r="P253" s="54"/>
      <c r="Q253" s="20"/>
      <c r="R253" s="76"/>
      <c r="S253" s="76"/>
      <c r="T253" s="76"/>
      <c r="U253" s="76"/>
      <c r="V253" s="76"/>
      <c r="W253" s="76"/>
      <c r="X253" s="76"/>
      <c r="Y253" s="76"/>
      <c r="Z253" s="76"/>
      <c r="AA253" s="76"/>
      <c r="AB253" s="76"/>
      <c r="AC253" s="76"/>
    </row>
    <row r="254" spans="1:29" ht="20.25">
      <c r="A254" s="35"/>
      <c r="B254" s="20"/>
      <c r="C254" s="16"/>
      <c r="D254" s="16"/>
      <c r="E254" s="16"/>
      <c r="F254" s="20"/>
      <c r="G254" s="16"/>
      <c r="H254" s="26"/>
      <c r="I254" s="8"/>
      <c r="J254" s="51" t="s">
        <v>2311</v>
      </c>
      <c r="K254" s="103"/>
      <c r="L254" s="104"/>
      <c r="M254" s="104"/>
      <c r="N254" s="104"/>
      <c r="O254" s="104"/>
      <c r="P254" s="54"/>
      <c r="Q254" s="20"/>
      <c r="R254" s="76"/>
      <c r="S254" s="76"/>
      <c r="T254" s="76"/>
      <c r="U254" s="76"/>
      <c r="V254" s="76"/>
      <c r="W254" s="76"/>
      <c r="X254" s="76"/>
      <c r="Y254" s="76"/>
      <c r="Z254" s="76"/>
      <c r="AA254" s="76"/>
      <c r="AB254" s="76"/>
      <c r="AC254" s="76"/>
    </row>
    <row r="255" spans="1:29" ht="20.25">
      <c r="A255" s="35"/>
      <c r="B255" s="20"/>
      <c r="C255" s="16"/>
      <c r="D255" s="16"/>
      <c r="E255" s="16"/>
      <c r="F255" s="20"/>
      <c r="G255" s="16"/>
      <c r="H255" s="26"/>
      <c r="I255" s="8"/>
      <c r="J255" s="51" t="s">
        <v>2312</v>
      </c>
      <c r="K255" s="103"/>
      <c r="L255" s="104"/>
      <c r="M255" s="104"/>
      <c r="N255" s="104"/>
      <c r="O255" s="104"/>
      <c r="P255" s="54"/>
      <c r="Q255" s="20"/>
      <c r="R255" s="76"/>
      <c r="S255" s="76"/>
      <c r="T255" s="76"/>
      <c r="U255" s="76"/>
      <c r="V255" s="76"/>
      <c r="W255" s="76"/>
      <c r="X255" s="76"/>
      <c r="Y255" s="76"/>
      <c r="Z255" s="76"/>
      <c r="AA255" s="76"/>
      <c r="AB255" s="76"/>
      <c r="AC255" s="76"/>
    </row>
    <row r="256" spans="1:29" ht="20.25">
      <c r="A256" s="35"/>
      <c r="B256" s="20"/>
      <c r="C256" s="16"/>
      <c r="D256" s="16"/>
      <c r="E256" s="16"/>
      <c r="F256" s="20"/>
      <c r="G256" s="16"/>
      <c r="H256" s="26"/>
      <c r="I256" s="8"/>
      <c r="J256" s="51" t="s">
        <v>2313</v>
      </c>
      <c r="K256" s="103"/>
      <c r="L256" s="104"/>
      <c r="M256" s="104"/>
      <c r="N256" s="104"/>
      <c r="O256" s="104"/>
      <c r="P256" s="54"/>
      <c r="Q256" s="20"/>
      <c r="R256" s="76"/>
      <c r="S256" s="76"/>
      <c r="T256" s="76"/>
      <c r="U256" s="76"/>
      <c r="V256" s="76"/>
      <c r="W256" s="76"/>
      <c r="X256" s="76"/>
      <c r="Y256" s="76"/>
      <c r="Z256" s="76"/>
      <c r="AA256" s="76"/>
      <c r="AB256" s="76"/>
      <c r="AC256" s="76"/>
    </row>
    <row r="257" spans="1:29" ht="30.4">
      <c r="A257" s="35"/>
      <c r="B257" s="20"/>
      <c r="C257" s="16"/>
      <c r="D257" s="16"/>
      <c r="E257" s="16"/>
      <c r="F257" s="20"/>
      <c r="G257" s="16"/>
      <c r="H257" s="26"/>
      <c r="I257" s="8"/>
      <c r="J257" s="51" t="s">
        <v>2314</v>
      </c>
      <c r="K257" s="103"/>
      <c r="L257" s="104"/>
      <c r="M257" s="104"/>
      <c r="N257" s="104"/>
      <c r="O257" s="104"/>
      <c r="P257" s="54"/>
      <c r="Q257" s="20"/>
      <c r="R257" s="76"/>
      <c r="S257" s="76"/>
      <c r="T257" s="76"/>
      <c r="U257" s="76"/>
      <c r="V257" s="76"/>
      <c r="W257" s="76"/>
      <c r="X257" s="76"/>
      <c r="Y257" s="76"/>
      <c r="Z257" s="76"/>
      <c r="AA257" s="76"/>
      <c r="AB257" s="76"/>
      <c r="AC257" s="76"/>
    </row>
    <row r="258" spans="1:29">
      <c r="A258" s="35"/>
      <c r="B258" s="20"/>
      <c r="C258" s="16"/>
      <c r="D258" s="16"/>
      <c r="E258" s="16"/>
      <c r="F258" s="20" t="s">
        <v>1971</v>
      </c>
      <c r="G258" s="16" t="s">
        <v>2315</v>
      </c>
      <c r="H258" s="26"/>
      <c r="I258" s="8"/>
      <c r="J258" s="51" t="s">
        <v>2316</v>
      </c>
      <c r="K258" s="103"/>
      <c r="L258" s="104"/>
      <c r="M258" s="104"/>
      <c r="N258" s="104"/>
      <c r="O258" s="104"/>
      <c r="P258" s="54"/>
      <c r="Q258" s="20"/>
      <c r="R258" s="76"/>
      <c r="S258" s="76"/>
      <c r="T258" s="76"/>
      <c r="U258" s="76"/>
      <c r="V258" s="76"/>
      <c r="W258" s="76"/>
      <c r="X258" s="76"/>
      <c r="Y258" s="76"/>
      <c r="Z258" s="76"/>
      <c r="AA258" s="76"/>
      <c r="AB258" s="76"/>
      <c r="AC258" s="76"/>
    </row>
    <row r="259" spans="1:29" ht="30.4">
      <c r="A259" s="35"/>
      <c r="B259" s="20"/>
      <c r="C259" s="16"/>
      <c r="D259" s="16"/>
      <c r="E259" s="16"/>
      <c r="F259" s="20"/>
      <c r="G259" s="16"/>
      <c r="H259" s="26"/>
      <c r="I259" s="8"/>
      <c r="J259" s="51" t="s">
        <v>2317</v>
      </c>
      <c r="K259" s="103"/>
      <c r="L259" s="104"/>
      <c r="M259" s="104"/>
      <c r="N259" s="104"/>
      <c r="O259" s="104"/>
      <c r="P259" s="54"/>
      <c r="Q259" s="20"/>
      <c r="R259" s="76"/>
      <c r="S259" s="76"/>
      <c r="T259" s="76"/>
      <c r="U259" s="76"/>
      <c r="V259" s="76"/>
      <c r="W259" s="76"/>
      <c r="X259" s="76"/>
      <c r="Y259" s="76"/>
      <c r="Z259" s="76"/>
      <c r="AA259" s="76"/>
      <c r="AB259" s="76"/>
      <c r="AC259" s="76"/>
    </row>
    <row r="260" spans="1:29" ht="30.4">
      <c r="A260" s="35"/>
      <c r="B260" s="20"/>
      <c r="C260" s="16"/>
      <c r="D260" s="16"/>
      <c r="E260" s="16"/>
      <c r="F260" s="20" t="s">
        <v>1974</v>
      </c>
      <c r="G260" s="16" t="s">
        <v>2318</v>
      </c>
      <c r="H260" s="26"/>
      <c r="I260" s="8"/>
      <c r="J260" s="51" t="s">
        <v>2319</v>
      </c>
      <c r="K260" s="103"/>
      <c r="L260" s="104"/>
      <c r="M260" s="104"/>
      <c r="N260" s="104"/>
      <c r="O260" s="104"/>
      <c r="P260" s="54"/>
      <c r="Q260" s="20"/>
      <c r="R260" s="76"/>
      <c r="S260" s="76"/>
      <c r="T260" s="76"/>
      <c r="U260" s="76"/>
      <c r="V260" s="76"/>
      <c r="W260" s="76"/>
      <c r="X260" s="76"/>
      <c r="Y260" s="76"/>
      <c r="Z260" s="76"/>
      <c r="AA260" s="76"/>
      <c r="AB260" s="76"/>
      <c r="AC260" s="76"/>
    </row>
    <row r="261" spans="1:29" ht="30.4">
      <c r="A261" s="35"/>
      <c r="B261" s="20"/>
      <c r="C261" s="16"/>
      <c r="D261" s="16"/>
      <c r="E261" s="16"/>
      <c r="F261" s="20"/>
      <c r="G261" s="2"/>
      <c r="H261" s="26"/>
      <c r="I261" s="8"/>
      <c r="J261" s="51" t="s">
        <v>2320</v>
      </c>
      <c r="K261" s="103"/>
      <c r="L261" s="104"/>
      <c r="M261" s="104"/>
      <c r="N261" s="104"/>
      <c r="O261" s="104"/>
      <c r="P261" s="54"/>
      <c r="Q261" s="20"/>
      <c r="R261" s="76"/>
      <c r="S261" s="76"/>
      <c r="T261" s="76"/>
      <c r="U261" s="76"/>
      <c r="V261" s="76"/>
      <c r="W261" s="76"/>
      <c r="X261" s="76"/>
      <c r="Y261" s="76"/>
      <c r="Z261" s="76"/>
      <c r="AA261" s="76"/>
      <c r="AB261" s="76"/>
      <c r="AC261" s="76"/>
    </row>
    <row r="262" spans="1:29" ht="30.4">
      <c r="A262" s="35"/>
      <c r="B262" s="20"/>
      <c r="C262" s="16"/>
      <c r="D262" s="16"/>
      <c r="E262" s="16"/>
      <c r="F262" s="20" t="s">
        <v>1977</v>
      </c>
      <c r="G262" s="16" t="s">
        <v>2321</v>
      </c>
      <c r="H262" s="26"/>
      <c r="I262" s="8"/>
      <c r="J262" s="51" t="s">
        <v>2322</v>
      </c>
      <c r="K262" s="103"/>
      <c r="L262" s="104"/>
      <c r="M262" s="104"/>
      <c r="N262" s="104"/>
      <c r="O262" s="104"/>
      <c r="P262" s="54"/>
      <c r="Q262" s="20"/>
      <c r="R262" s="76"/>
      <c r="S262" s="76"/>
      <c r="T262" s="76"/>
      <c r="U262" s="76"/>
      <c r="V262" s="76"/>
      <c r="W262" s="76"/>
      <c r="X262" s="76"/>
      <c r="Y262" s="76"/>
      <c r="Z262" s="76"/>
      <c r="AA262" s="76"/>
      <c r="AB262" s="76"/>
      <c r="AC262" s="76"/>
    </row>
    <row r="263" spans="1:29" ht="20.25">
      <c r="A263" s="35"/>
      <c r="B263" s="20"/>
      <c r="C263" s="16"/>
      <c r="D263" s="16"/>
      <c r="E263" s="16"/>
      <c r="F263" s="20"/>
      <c r="G263" s="16"/>
      <c r="H263" s="26"/>
      <c r="I263" s="8"/>
      <c r="J263" s="51" t="s">
        <v>2323</v>
      </c>
      <c r="K263" s="103"/>
      <c r="L263" s="104"/>
      <c r="M263" s="104"/>
      <c r="N263" s="104"/>
      <c r="O263" s="104"/>
      <c r="P263" s="54"/>
      <c r="Q263" s="20"/>
      <c r="R263" s="76"/>
      <c r="S263" s="76"/>
      <c r="T263" s="76"/>
      <c r="U263" s="76"/>
      <c r="V263" s="76"/>
      <c r="W263" s="76"/>
      <c r="X263" s="76"/>
      <c r="Y263" s="76"/>
      <c r="Z263" s="76"/>
      <c r="AA263" s="76"/>
      <c r="AB263" s="76"/>
      <c r="AC263" s="76"/>
    </row>
    <row r="264" spans="1:29" ht="18" customHeight="1">
      <c r="A264" s="35"/>
      <c r="B264" s="20"/>
      <c r="C264" s="16"/>
      <c r="D264" s="16"/>
      <c r="E264" s="16"/>
      <c r="F264" s="20"/>
      <c r="G264" s="16"/>
      <c r="H264" s="26"/>
      <c r="I264" s="8"/>
      <c r="J264" s="51" t="s">
        <v>2324</v>
      </c>
      <c r="K264" s="103"/>
      <c r="L264" s="104"/>
      <c r="M264" s="104"/>
      <c r="N264" s="104"/>
      <c r="O264" s="104"/>
      <c r="P264" s="54"/>
      <c r="Q264" s="20"/>
      <c r="R264" s="76"/>
      <c r="S264" s="76"/>
      <c r="T264" s="76"/>
      <c r="U264" s="76"/>
      <c r="V264" s="76"/>
      <c r="W264" s="76"/>
      <c r="X264" s="76"/>
      <c r="Y264" s="76"/>
      <c r="Z264" s="76"/>
      <c r="AA264" s="76"/>
      <c r="AB264" s="76"/>
      <c r="AC264" s="76"/>
    </row>
    <row r="265" spans="1:29" ht="18" customHeight="1">
      <c r="A265" s="35"/>
      <c r="B265" s="20"/>
      <c r="C265" s="16"/>
      <c r="D265" s="16"/>
      <c r="E265" s="16"/>
      <c r="F265" s="20"/>
      <c r="G265" s="16"/>
      <c r="H265" s="26"/>
      <c r="I265" s="8"/>
      <c r="J265" s="51"/>
      <c r="K265" s="103"/>
      <c r="L265" s="104"/>
      <c r="M265" s="104"/>
      <c r="N265" s="104"/>
      <c r="O265" s="104"/>
      <c r="P265" s="54"/>
      <c r="Q265" s="20"/>
      <c r="R265" s="76"/>
      <c r="S265" s="76"/>
      <c r="T265" s="76"/>
      <c r="U265" s="76"/>
      <c r="V265" s="76"/>
      <c r="W265" s="76"/>
      <c r="X265" s="76"/>
      <c r="Y265" s="76"/>
      <c r="Z265" s="76"/>
      <c r="AA265" s="76"/>
      <c r="AB265" s="76"/>
      <c r="AC265" s="76"/>
    </row>
    <row r="266" spans="1:29" ht="20.25">
      <c r="A266" s="35"/>
      <c r="B266" s="20"/>
      <c r="C266" s="16"/>
      <c r="D266" s="16"/>
      <c r="E266" s="16">
        <v>10</v>
      </c>
      <c r="F266" s="20" t="s">
        <v>245</v>
      </c>
      <c r="G266" s="16" t="s">
        <v>2325</v>
      </c>
      <c r="H266" s="26"/>
      <c r="I266" s="8"/>
      <c r="J266" s="51" t="s">
        <v>2326</v>
      </c>
      <c r="K266" s="103"/>
      <c r="L266" s="104"/>
      <c r="M266" s="104"/>
      <c r="N266" s="104"/>
      <c r="O266" s="104"/>
      <c r="P266" s="54"/>
      <c r="Q266" s="20"/>
      <c r="R266" s="76"/>
      <c r="S266" s="76"/>
      <c r="T266" s="76"/>
      <c r="U266" s="76"/>
      <c r="V266" s="76"/>
      <c r="W266" s="76"/>
      <c r="X266" s="76"/>
      <c r="Y266" s="76"/>
      <c r="Z266" s="76"/>
      <c r="AA266" s="76"/>
      <c r="AB266" s="76"/>
      <c r="AC266" s="76"/>
    </row>
    <row r="267" spans="1:29" ht="20.25">
      <c r="A267" s="35"/>
      <c r="B267" s="20"/>
      <c r="C267" s="16"/>
      <c r="D267" s="16"/>
      <c r="E267" s="16"/>
      <c r="F267" s="20"/>
      <c r="G267" s="16"/>
      <c r="H267" s="26"/>
      <c r="I267" s="8"/>
      <c r="J267" s="51" t="s">
        <v>2327</v>
      </c>
      <c r="K267" s="103"/>
      <c r="L267" s="104"/>
      <c r="M267" s="104"/>
      <c r="N267" s="104"/>
      <c r="O267" s="104"/>
      <c r="P267" s="54"/>
      <c r="Q267" s="20"/>
      <c r="R267" s="76"/>
      <c r="S267" s="76"/>
      <c r="T267" s="76"/>
      <c r="U267" s="76"/>
      <c r="V267" s="76"/>
      <c r="W267" s="76"/>
      <c r="X267" s="76"/>
      <c r="Y267" s="76"/>
      <c r="Z267" s="76"/>
      <c r="AA267" s="76"/>
      <c r="AB267" s="76"/>
      <c r="AC267" s="76"/>
    </row>
    <row r="268" spans="1:29" ht="30.4">
      <c r="A268" s="35"/>
      <c r="B268" s="20"/>
      <c r="C268" s="16"/>
      <c r="D268" s="16"/>
      <c r="E268" s="16"/>
      <c r="F268" s="20"/>
      <c r="G268" s="16"/>
      <c r="H268" s="26"/>
      <c r="I268" s="8"/>
      <c r="J268" s="51" t="s">
        <v>2328</v>
      </c>
      <c r="K268" s="103"/>
      <c r="L268" s="104"/>
      <c r="M268" s="104"/>
      <c r="N268" s="104"/>
      <c r="O268" s="104"/>
      <c r="P268" s="54"/>
      <c r="Q268" s="20"/>
      <c r="R268" s="76"/>
      <c r="S268" s="76"/>
      <c r="T268" s="76"/>
      <c r="U268" s="76"/>
      <c r="V268" s="76"/>
      <c r="W268" s="76"/>
      <c r="X268" s="76"/>
      <c r="Y268" s="76"/>
      <c r="Z268" s="76"/>
      <c r="AA268" s="76"/>
      <c r="AB268" s="76"/>
      <c r="AC268" s="76"/>
    </row>
    <row r="269" spans="1:29" ht="20.25">
      <c r="A269" s="35"/>
      <c r="B269" s="20"/>
      <c r="C269" s="16"/>
      <c r="D269" s="16"/>
      <c r="E269" s="16"/>
      <c r="F269" s="20" t="s">
        <v>1958</v>
      </c>
      <c r="G269" s="16" t="s">
        <v>2329</v>
      </c>
      <c r="H269" s="26"/>
      <c r="I269" s="8"/>
      <c r="J269" s="51" t="s">
        <v>2330</v>
      </c>
      <c r="K269" s="103"/>
      <c r="L269" s="104"/>
      <c r="M269" s="104"/>
      <c r="N269" s="104"/>
      <c r="O269" s="104"/>
      <c r="P269" s="54"/>
      <c r="Q269" s="20"/>
      <c r="R269" s="76"/>
      <c r="S269" s="76"/>
      <c r="T269" s="76"/>
      <c r="U269" s="76"/>
      <c r="V269" s="76"/>
      <c r="W269" s="76"/>
      <c r="X269" s="76"/>
      <c r="Y269" s="76"/>
      <c r="Z269" s="76"/>
      <c r="AA269" s="76"/>
      <c r="AB269" s="76"/>
      <c r="AC269" s="76"/>
    </row>
    <row r="270" spans="1:29" ht="20.25">
      <c r="A270" s="35"/>
      <c r="B270" s="20"/>
      <c r="C270" s="16"/>
      <c r="D270" s="16"/>
      <c r="E270" s="16"/>
      <c r="F270" s="20"/>
      <c r="G270" s="16"/>
      <c r="H270" s="26"/>
      <c r="I270" s="8"/>
      <c r="J270" s="51" t="s">
        <v>2331</v>
      </c>
      <c r="K270" s="103"/>
      <c r="L270" s="104"/>
      <c r="M270" s="104"/>
      <c r="N270" s="104"/>
      <c r="O270" s="104"/>
      <c r="P270" s="54"/>
      <c r="Q270" s="20"/>
      <c r="R270" s="76"/>
      <c r="S270" s="76"/>
      <c r="T270" s="76"/>
      <c r="U270" s="76"/>
      <c r="V270" s="76"/>
      <c r="W270" s="76"/>
      <c r="X270" s="76"/>
      <c r="Y270" s="76"/>
      <c r="Z270" s="76"/>
      <c r="AA270" s="76"/>
      <c r="AB270" s="76"/>
      <c r="AC270" s="76"/>
    </row>
    <row r="271" spans="1:29" ht="20.25">
      <c r="A271" s="35"/>
      <c r="B271" s="20"/>
      <c r="C271" s="16"/>
      <c r="D271" s="16"/>
      <c r="E271" s="16"/>
      <c r="F271" s="20"/>
      <c r="G271" s="16"/>
      <c r="H271" s="26"/>
      <c r="I271" s="8"/>
      <c r="J271" s="51" t="s">
        <v>2332</v>
      </c>
      <c r="K271" s="103"/>
      <c r="L271" s="104"/>
      <c r="M271" s="104"/>
      <c r="N271" s="104"/>
      <c r="O271" s="104"/>
      <c r="P271" s="54"/>
      <c r="Q271" s="20"/>
      <c r="R271" s="76"/>
      <c r="S271" s="76"/>
      <c r="T271" s="76"/>
      <c r="U271" s="76"/>
      <c r="V271" s="76"/>
      <c r="W271" s="76"/>
      <c r="X271" s="76"/>
      <c r="Y271" s="76"/>
      <c r="Z271" s="76"/>
      <c r="AA271" s="76"/>
      <c r="AB271" s="76"/>
      <c r="AC271" s="76"/>
    </row>
    <row r="272" spans="1:29" ht="20.25">
      <c r="A272" s="35"/>
      <c r="B272" s="20"/>
      <c r="C272" s="16"/>
      <c r="D272" s="16"/>
      <c r="E272" s="16"/>
      <c r="F272" s="20"/>
      <c r="G272" s="16"/>
      <c r="H272" s="26"/>
      <c r="I272" s="8"/>
      <c r="J272" s="51" t="s">
        <v>2333</v>
      </c>
      <c r="K272" s="103"/>
      <c r="L272" s="104"/>
      <c r="M272" s="104"/>
      <c r="N272" s="104"/>
      <c r="O272" s="104"/>
      <c r="P272" s="54"/>
      <c r="Q272" s="20"/>
      <c r="R272" s="76"/>
      <c r="S272" s="76"/>
      <c r="T272" s="76"/>
      <c r="U272" s="76"/>
      <c r="V272" s="76"/>
      <c r="W272" s="76"/>
      <c r="X272" s="76"/>
      <c r="Y272" s="76"/>
      <c r="Z272" s="76"/>
      <c r="AA272" s="76"/>
      <c r="AB272" s="76"/>
      <c r="AC272" s="76"/>
    </row>
    <row r="273" spans="1:29" ht="20.25">
      <c r="A273" s="35"/>
      <c r="B273" s="20"/>
      <c r="C273" s="16"/>
      <c r="D273" s="16"/>
      <c r="E273" s="16"/>
      <c r="F273" s="20"/>
      <c r="G273" s="16"/>
      <c r="H273" s="26"/>
      <c r="I273" s="8"/>
      <c r="J273" s="51" t="s">
        <v>2334</v>
      </c>
      <c r="K273" s="103"/>
      <c r="L273" s="104"/>
      <c r="M273" s="104"/>
      <c r="N273" s="104"/>
      <c r="O273" s="104"/>
      <c r="P273" s="54"/>
      <c r="Q273" s="20"/>
      <c r="R273" s="76"/>
      <c r="S273" s="76"/>
      <c r="T273" s="76"/>
      <c r="U273" s="76"/>
      <c r="V273" s="76"/>
      <c r="W273" s="76"/>
      <c r="X273" s="76"/>
      <c r="Y273" s="76"/>
      <c r="Z273" s="76"/>
      <c r="AA273" s="76"/>
      <c r="AB273" s="76"/>
      <c r="AC273" s="76"/>
    </row>
    <row r="274" spans="1:29" ht="30.4">
      <c r="A274" s="35"/>
      <c r="B274" s="20"/>
      <c r="C274" s="16"/>
      <c r="D274" s="16"/>
      <c r="E274" s="16"/>
      <c r="F274" s="20"/>
      <c r="G274" s="16"/>
      <c r="H274" s="26"/>
      <c r="I274" s="8"/>
      <c r="J274" s="51" t="s">
        <v>2335</v>
      </c>
      <c r="K274" s="103"/>
      <c r="L274" s="104"/>
      <c r="M274" s="104"/>
      <c r="N274" s="104"/>
      <c r="O274" s="104"/>
      <c r="P274" s="54"/>
      <c r="Q274" s="20"/>
      <c r="R274" s="76"/>
      <c r="S274" s="76"/>
      <c r="T274" s="76"/>
      <c r="U274" s="76"/>
      <c r="V274" s="76"/>
      <c r="W274" s="76"/>
      <c r="X274" s="76"/>
      <c r="Y274" s="76"/>
      <c r="Z274" s="76"/>
      <c r="AA274" s="76"/>
      <c r="AB274" s="76"/>
      <c r="AC274" s="76"/>
    </row>
    <row r="275" spans="1:29" ht="30.4">
      <c r="A275" s="35"/>
      <c r="B275" s="20"/>
      <c r="C275" s="16"/>
      <c r="D275" s="16"/>
      <c r="E275" s="16"/>
      <c r="F275" s="20"/>
      <c r="G275" s="16"/>
      <c r="H275" s="26"/>
      <c r="I275" s="8"/>
      <c r="J275" s="51" t="s">
        <v>2336</v>
      </c>
      <c r="K275" s="103"/>
      <c r="L275" s="104"/>
      <c r="M275" s="104"/>
      <c r="N275" s="104"/>
      <c r="O275" s="104"/>
      <c r="P275" s="54"/>
      <c r="Q275" s="20"/>
      <c r="R275" s="76"/>
      <c r="S275" s="76"/>
      <c r="T275" s="76"/>
      <c r="U275" s="76"/>
      <c r="V275" s="76"/>
      <c r="W275" s="76"/>
      <c r="X275" s="76"/>
      <c r="Y275" s="76"/>
      <c r="Z275" s="76"/>
      <c r="AA275" s="76"/>
      <c r="AB275" s="76"/>
      <c r="AC275" s="76"/>
    </row>
    <row r="276" spans="1:29" ht="20.25">
      <c r="A276" s="35"/>
      <c r="B276" s="20"/>
      <c r="C276" s="16"/>
      <c r="D276" s="16"/>
      <c r="E276" s="16"/>
      <c r="F276" s="20"/>
      <c r="G276" s="16"/>
      <c r="H276" s="26"/>
      <c r="I276" s="8"/>
      <c r="J276" s="51" t="s">
        <v>2337</v>
      </c>
      <c r="K276" s="103"/>
      <c r="L276" s="104"/>
      <c r="M276" s="104"/>
      <c r="N276" s="104"/>
      <c r="O276" s="104"/>
      <c r="P276" s="54"/>
      <c r="Q276" s="20"/>
      <c r="R276" s="76"/>
      <c r="S276" s="76"/>
      <c r="T276" s="76"/>
      <c r="U276" s="76"/>
      <c r="V276" s="76"/>
      <c r="W276" s="76"/>
      <c r="X276" s="76"/>
      <c r="Y276" s="76"/>
      <c r="Z276" s="76"/>
      <c r="AA276" s="76"/>
      <c r="AB276" s="76"/>
      <c r="AC276" s="76"/>
    </row>
    <row r="277" spans="1:29" ht="30.4">
      <c r="A277" s="35"/>
      <c r="B277" s="20"/>
      <c r="C277" s="16"/>
      <c r="D277" s="16"/>
      <c r="E277" s="16"/>
      <c r="F277" s="20"/>
      <c r="G277" s="16"/>
      <c r="H277" s="26"/>
      <c r="I277" s="8"/>
      <c r="J277" s="51" t="s">
        <v>2338</v>
      </c>
      <c r="K277" s="103"/>
      <c r="L277" s="104"/>
      <c r="M277" s="104"/>
      <c r="N277" s="104"/>
      <c r="O277" s="104"/>
      <c r="P277" s="54"/>
      <c r="Q277" s="20"/>
      <c r="R277" s="76"/>
      <c r="S277" s="76"/>
      <c r="T277" s="76"/>
      <c r="U277" s="76"/>
      <c r="V277" s="76"/>
      <c r="W277" s="76"/>
      <c r="X277" s="76"/>
      <c r="Y277" s="76"/>
      <c r="Z277" s="76"/>
      <c r="AA277" s="76"/>
      <c r="AB277" s="76"/>
      <c r="AC277" s="76"/>
    </row>
    <row r="278" spans="1:29" ht="30.4">
      <c r="A278" s="35"/>
      <c r="B278" s="20"/>
      <c r="C278" s="16"/>
      <c r="D278" s="16"/>
      <c r="E278" s="16"/>
      <c r="F278" s="20"/>
      <c r="G278" s="16"/>
      <c r="H278" s="26"/>
      <c r="I278" s="8"/>
      <c r="J278" s="51" t="s">
        <v>2339</v>
      </c>
      <c r="K278" s="103"/>
      <c r="L278" s="104"/>
      <c r="M278" s="104"/>
      <c r="N278" s="104"/>
      <c r="O278" s="104"/>
      <c r="P278" s="54"/>
      <c r="Q278" s="20"/>
      <c r="R278" s="76"/>
      <c r="S278" s="76"/>
      <c r="T278" s="76"/>
      <c r="U278" s="76"/>
      <c r="V278" s="76"/>
      <c r="W278" s="76"/>
      <c r="X278" s="76"/>
      <c r="Y278" s="76"/>
      <c r="Z278" s="76"/>
      <c r="AA278" s="76"/>
      <c r="AB278" s="76"/>
      <c r="AC278" s="76"/>
    </row>
    <row r="279" spans="1:29" ht="20.25">
      <c r="A279" s="35"/>
      <c r="B279" s="20"/>
      <c r="C279" s="16"/>
      <c r="D279" s="16"/>
      <c r="E279" s="16"/>
      <c r="F279" s="20"/>
      <c r="G279" s="16"/>
      <c r="H279" s="26"/>
      <c r="I279" s="8"/>
      <c r="J279" s="51" t="s">
        <v>2340</v>
      </c>
      <c r="K279" s="103"/>
      <c r="L279" s="104"/>
      <c r="M279" s="104"/>
      <c r="N279" s="104"/>
      <c r="O279" s="104"/>
      <c r="P279" s="54"/>
      <c r="Q279" s="20"/>
      <c r="R279" s="76"/>
      <c r="S279" s="76"/>
      <c r="T279" s="76"/>
      <c r="U279" s="76"/>
      <c r="V279" s="76"/>
      <c r="W279" s="76"/>
      <c r="X279" s="76"/>
      <c r="Y279" s="76"/>
      <c r="Z279" s="76"/>
      <c r="AA279" s="76"/>
      <c r="AB279" s="76"/>
      <c r="AC279" s="76"/>
    </row>
    <row r="280" spans="1:29" ht="30.4">
      <c r="A280" s="35"/>
      <c r="B280" s="20"/>
      <c r="C280" s="16"/>
      <c r="D280" s="16"/>
      <c r="E280" s="16"/>
      <c r="F280" s="20"/>
      <c r="G280" s="16"/>
      <c r="H280" s="26"/>
      <c r="I280" s="8"/>
      <c r="J280" s="51" t="s">
        <v>2341</v>
      </c>
      <c r="K280" s="103"/>
      <c r="L280" s="104"/>
      <c r="M280" s="104"/>
      <c r="N280" s="104"/>
      <c r="O280" s="104"/>
      <c r="P280" s="54"/>
      <c r="Q280" s="20"/>
      <c r="R280" s="76"/>
      <c r="S280" s="76"/>
      <c r="T280" s="76"/>
      <c r="U280" s="76"/>
      <c r="V280" s="76"/>
      <c r="W280" s="76"/>
      <c r="X280" s="76"/>
      <c r="Y280" s="76"/>
      <c r="Z280" s="76"/>
      <c r="AA280" s="76"/>
      <c r="AB280" s="76"/>
      <c r="AC280" s="76"/>
    </row>
    <row r="281" spans="1:29" ht="30.4">
      <c r="A281" s="35"/>
      <c r="B281" s="20"/>
      <c r="C281" s="16"/>
      <c r="D281" s="16"/>
      <c r="E281" s="16"/>
      <c r="F281" s="20" t="s">
        <v>1963</v>
      </c>
      <c r="G281" s="16" t="s">
        <v>2342</v>
      </c>
      <c r="H281" s="26"/>
      <c r="I281" s="8"/>
      <c r="J281" s="51" t="s">
        <v>2343</v>
      </c>
      <c r="K281" s="103"/>
      <c r="L281" s="104"/>
      <c r="M281" s="104"/>
      <c r="N281" s="104"/>
      <c r="O281" s="104"/>
      <c r="P281" s="54"/>
      <c r="Q281" s="20"/>
      <c r="R281" s="76"/>
      <c r="S281" s="76"/>
      <c r="T281" s="76"/>
      <c r="U281" s="76"/>
      <c r="V281" s="76"/>
      <c r="W281" s="76"/>
      <c r="X281" s="76"/>
      <c r="Y281" s="76"/>
      <c r="Z281" s="76"/>
      <c r="AA281" s="76"/>
      <c r="AB281" s="76"/>
      <c r="AC281" s="76"/>
    </row>
    <row r="282" spans="1:29" ht="20.25">
      <c r="A282" s="35"/>
      <c r="B282" s="20"/>
      <c r="C282" s="16"/>
      <c r="D282" s="16"/>
      <c r="E282" s="16"/>
      <c r="F282" s="20"/>
      <c r="G282" s="16"/>
      <c r="H282" s="26"/>
      <c r="I282" s="8"/>
      <c r="J282" s="51" t="s">
        <v>2344</v>
      </c>
      <c r="K282" s="103"/>
      <c r="L282" s="104"/>
      <c r="M282" s="104"/>
      <c r="N282" s="104"/>
      <c r="O282" s="104"/>
      <c r="P282" s="54"/>
      <c r="Q282" s="20"/>
      <c r="R282" s="76"/>
      <c r="S282" s="76"/>
      <c r="T282" s="76"/>
      <c r="U282" s="76"/>
      <c r="V282" s="76"/>
      <c r="W282" s="76"/>
      <c r="X282" s="76"/>
      <c r="Y282" s="76"/>
      <c r="Z282" s="76"/>
      <c r="AA282" s="76"/>
      <c r="AB282" s="76"/>
      <c r="AC282" s="76"/>
    </row>
    <row r="283" spans="1:29" ht="20.25">
      <c r="A283" s="35"/>
      <c r="B283" s="20"/>
      <c r="C283" s="16"/>
      <c r="D283" s="16"/>
      <c r="E283" s="16"/>
      <c r="F283" s="20"/>
      <c r="G283" s="16"/>
      <c r="H283" s="26"/>
      <c r="I283" s="8"/>
      <c r="J283" s="51" t="s">
        <v>2345</v>
      </c>
      <c r="K283" s="103"/>
      <c r="L283" s="104"/>
      <c r="M283" s="104"/>
      <c r="N283" s="104"/>
      <c r="O283" s="104"/>
      <c r="P283" s="54"/>
      <c r="Q283" s="20"/>
      <c r="R283" s="76"/>
      <c r="S283" s="76"/>
      <c r="T283" s="76"/>
      <c r="U283" s="76"/>
      <c r="V283" s="76"/>
      <c r="W283" s="76"/>
      <c r="X283" s="76"/>
      <c r="Y283" s="76"/>
      <c r="Z283" s="76"/>
      <c r="AA283" s="76"/>
      <c r="AB283" s="76"/>
      <c r="AC283" s="76"/>
    </row>
    <row r="284" spans="1:29" ht="30.4">
      <c r="A284" s="35"/>
      <c r="B284" s="20"/>
      <c r="C284" s="16"/>
      <c r="D284" s="16"/>
      <c r="E284" s="16"/>
      <c r="F284" s="20" t="s">
        <v>1967</v>
      </c>
      <c r="G284" s="16" t="s">
        <v>2346</v>
      </c>
      <c r="H284" s="26"/>
      <c r="I284" s="8"/>
      <c r="J284" s="51" t="s">
        <v>2347</v>
      </c>
      <c r="K284" s="103"/>
      <c r="L284" s="104"/>
      <c r="M284" s="104"/>
      <c r="N284" s="104"/>
      <c r="O284" s="104"/>
      <c r="P284" s="54"/>
      <c r="Q284" s="20"/>
      <c r="R284" s="76"/>
      <c r="S284" s="76"/>
      <c r="T284" s="76"/>
      <c r="U284" s="76"/>
      <c r="V284" s="76"/>
      <c r="W284" s="76"/>
      <c r="X284" s="76"/>
      <c r="Y284" s="76"/>
      <c r="Z284" s="76"/>
      <c r="AA284" s="76"/>
      <c r="AB284" s="76"/>
      <c r="AC284" s="76"/>
    </row>
    <row r="285" spans="1:29" ht="20.25">
      <c r="A285" s="35"/>
      <c r="B285" s="20"/>
      <c r="C285" s="16"/>
      <c r="D285" s="16"/>
      <c r="E285" s="16"/>
      <c r="F285" s="20"/>
      <c r="G285" s="2"/>
      <c r="H285" s="26"/>
      <c r="I285" s="8"/>
      <c r="J285" s="51" t="s">
        <v>2348</v>
      </c>
      <c r="K285" s="103"/>
      <c r="L285" s="104"/>
      <c r="M285" s="104"/>
      <c r="N285" s="104"/>
      <c r="O285" s="104"/>
      <c r="P285" s="54"/>
      <c r="Q285" s="20"/>
      <c r="R285" s="76"/>
      <c r="S285" s="76"/>
      <c r="T285" s="76"/>
      <c r="U285" s="76"/>
      <c r="V285" s="76"/>
      <c r="W285" s="76"/>
      <c r="X285" s="76"/>
      <c r="Y285" s="76"/>
      <c r="Z285" s="76"/>
      <c r="AA285" s="76"/>
      <c r="AB285" s="76"/>
      <c r="AC285" s="76"/>
    </row>
    <row r="286" spans="1:29" ht="30.4">
      <c r="A286" s="35"/>
      <c r="B286" s="20"/>
      <c r="C286" s="16"/>
      <c r="D286" s="16"/>
      <c r="E286" s="16"/>
      <c r="F286" s="20" t="s">
        <v>1971</v>
      </c>
      <c r="G286" s="16" t="s">
        <v>2349</v>
      </c>
      <c r="H286" s="26"/>
      <c r="I286" s="8"/>
      <c r="J286" s="51" t="s">
        <v>2350</v>
      </c>
      <c r="K286" s="103"/>
      <c r="L286" s="104"/>
      <c r="M286" s="104"/>
      <c r="N286" s="104"/>
      <c r="O286" s="104"/>
      <c r="P286" s="54"/>
      <c r="Q286" s="20"/>
      <c r="R286" s="76"/>
      <c r="S286" s="76"/>
      <c r="T286" s="76"/>
      <c r="U286" s="76"/>
      <c r="V286" s="76"/>
      <c r="W286" s="76"/>
      <c r="X286" s="76"/>
      <c r="Y286" s="76"/>
      <c r="Z286" s="76"/>
      <c r="AA286" s="76"/>
      <c r="AB286" s="76"/>
      <c r="AC286" s="76"/>
    </row>
    <row r="287" spans="1:29" ht="30.4">
      <c r="A287" s="35"/>
      <c r="B287" s="20"/>
      <c r="C287" s="16"/>
      <c r="D287" s="16"/>
      <c r="E287" s="16"/>
      <c r="F287" s="20"/>
      <c r="G287" s="16"/>
      <c r="H287" s="26"/>
      <c r="I287" s="8"/>
      <c r="J287" s="51" t="s">
        <v>2351</v>
      </c>
      <c r="K287" s="103"/>
      <c r="L287" s="104"/>
      <c r="M287" s="104"/>
      <c r="N287" s="104"/>
      <c r="O287" s="104"/>
      <c r="P287" s="54"/>
      <c r="Q287" s="20"/>
      <c r="R287" s="76"/>
      <c r="S287" s="76"/>
      <c r="T287" s="76"/>
      <c r="U287" s="76"/>
      <c r="V287" s="76"/>
      <c r="W287" s="76"/>
      <c r="X287" s="76"/>
      <c r="Y287" s="76"/>
      <c r="Z287" s="76"/>
      <c r="AA287" s="76"/>
      <c r="AB287" s="76"/>
      <c r="AC287" s="76"/>
    </row>
    <row r="288" spans="1:29" ht="30.4">
      <c r="A288" s="35"/>
      <c r="B288" s="20"/>
      <c r="C288" s="16"/>
      <c r="D288" s="16"/>
      <c r="E288" s="16"/>
      <c r="F288" s="20"/>
      <c r="G288" s="16"/>
      <c r="H288" s="26"/>
      <c r="I288" s="8"/>
      <c r="J288" s="51" t="s">
        <v>2352</v>
      </c>
      <c r="K288" s="103"/>
      <c r="L288" s="104"/>
      <c r="M288" s="104"/>
      <c r="N288" s="104"/>
      <c r="O288" s="104"/>
      <c r="P288" s="54"/>
      <c r="Q288" s="20"/>
      <c r="R288" s="76"/>
      <c r="S288" s="76"/>
      <c r="T288" s="76"/>
      <c r="U288" s="76"/>
      <c r="V288" s="76"/>
      <c r="W288" s="76"/>
      <c r="X288" s="76"/>
      <c r="Y288" s="76"/>
      <c r="Z288" s="76"/>
      <c r="AA288" s="76"/>
      <c r="AB288" s="76"/>
      <c r="AC288" s="76"/>
    </row>
    <row r="289" spans="1:29">
      <c r="A289" s="35"/>
      <c r="B289" s="20"/>
      <c r="C289" s="16"/>
      <c r="D289" s="16"/>
      <c r="E289" s="16"/>
      <c r="F289" s="20"/>
      <c r="G289" s="16"/>
      <c r="H289" s="26"/>
      <c r="I289" s="8"/>
      <c r="J289" s="51"/>
      <c r="K289" s="103"/>
      <c r="L289" s="104"/>
      <c r="M289" s="104"/>
      <c r="N289" s="104"/>
      <c r="O289" s="104"/>
      <c r="P289" s="54"/>
      <c r="Q289" s="20"/>
      <c r="R289" s="76"/>
      <c r="S289" s="76"/>
      <c r="T289" s="76"/>
      <c r="U289" s="76"/>
      <c r="V289" s="76"/>
      <c r="W289" s="76"/>
      <c r="X289" s="76"/>
      <c r="Y289" s="76"/>
      <c r="Z289" s="76"/>
      <c r="AA289" s="76"/>
      <c r="AB289" s="76"/>
      <c r="AC289" s="76"/>
    </row>
    <row r="290" spans="1:29" ht="20.25">
      <c r="A290" s="35"/>
      <c r="B290" s="20"/>
      <c r="C290" s="16"/>
      <c r="D290" s="16"/>
      <c r="E290" s="16"/>
      <c r="F290" s="20"/>
      <c r="G290" s="16" t="s">
        <v>2353</v>
      </c>
      <c r="H290" s="26"/>
      <c r="I290" s="8"/>
      <c r="J290" s="51" t="s">
        <v>2354</v>
      </c>
      <c r="K290" s="103"/>
      <c r="L290" s="104"/>
      <c r="M290" s="104"/>
      <c r="N290" s="104"/>
      <c r="O290" s="104"/>
      <c r="P290" s="54"/>
      <c r="Q290" s="20"/>
      <c r="R290" s="76"/>
      <c r="S290" s="76"/>
      <c r="T290" s="76"/>
      <c r="U290" s="76"/>
      <c r="V290" s="76"/>
      <c r="W290" s="76"/>
      <c r="X290" s="76"/>
      <c r="Y290" s="76"/>
      <c r="Z290" s="76"/>
      <c r="AA290" s="76"/>
      <c r="AB290" s="76"/>
      <c r="AC290" s="76"/>
    </row>
    <row r="291" spans="1:29" ht="20.25">
      <c r="A291" s="35"/>
      <c r="B291" s="20"/>
      <c r="C291" s="16"/>
      <c r="D291" s="16"/>
      <c r="E291" s="16"/>
      <c r="F291" s="20"/>
      <c r="G291" s="2"/>
      <c r="H291" s="26"/>
      <c r="I291" s="8"/>
      <c r="J291" s="51" t="s">
        <v>2355</v>
      </c>
      <c r="K291" s="103"/>
      <c r="L291" s="104"/>
      <c r="M291" s="104"/>
      <c r="N291" s="104"/>
      <c r="O291" s="104"/>
      <c r="P291" s="54"/>
      <c r="Q291" s="20"/>
      <c r="R291" s="76"/>
      <c r="S291" s="76"/>
      <c r="T291" s="76"/>
      <c r="U291" s="76"/>
      <c r="V291" s="76"/>
      <c r="W291" s="76"/>
      <c r="X291" s="76"/>
      <c r="Y291" s="76"/>
      <c r="Z291" s="76"/>
      <c r="AA291" s="76"/>
      <c r="AB291" s="76"/>
      <c r="AC291" s="76"/>
    </row>
    <row r="292" spans="1:29" ht="30.4">
      <c r="A292" s="35"/>
      <c r="B292" s="20"/>
      <c r="C292" s="16"/>
      <c r="D292" s="16"/>
      <c r="E292" s="16"/>
      <c r="F292" s="20"/>
      <c r="G292" s="16" t="s">
        <v>2356</v>
      </c>
      <c r="H292" s="26"/>
      <c r="I292" s="8"/>
      <c r="J292" s="51" t="s">
        <v>2357</v>
      </c>
      <c r="K292" s="103"/>
      <c r="L292" s="104"/>
      <c r="M292" s="104"/>
      <c r="N292" s="104"/>
      <c r="O292" s="104"/>
      <c r="P292" s="54"/>
      <c r="Q292" s="20"/>
      <c r="R292" s="76"/>
      <c r="S292" s="76"/>
      <c r="T292" s="76"/>
      <c r="U292" s="76"/>
      <c r="V292" s="76"/>
      <c r="W292" s="76"/>
      <c r="X292" s="76"/>
      <c r="Y292" s="76"/>
      <c r="Z292" s="76"/>
      <c r="AA292" s="76"/>
      <c r="AB292" s="76"/>
      <c r="AC292" s="76"/>
    </row>
    <row r="293" spans="1:29" ht="30.4">
      <c r="A293" s="35"/>
      <c r="B293" s="20"/>
      <c r="C293" s="16"/>
      <c r="D293" s="16"/>
      <c r="E293" s="16"/>
      <c r="F293" s="20"/>
      <c r="G293" s="2"/>
      <c r="H293" s="26"/>
      <c r="I293" s="8"/>
      <c r="J293" s="51" t="s">
        <v>2358</v>
      </c>
      <c r="K293" s="103"/>
      <c r="L293" s="104"/>
      <c r="M293" s="104"/>
      <c r="N293" s="104"/>
      <c r="O293" s="104"/>
      <c r="P293" s="54"/>
      <c r="Q293" s="20"/>
      <c r="R293" s="76"/>
      <c r="S293" s="76"/>
      <c r="T293" s="76"/>
      <c r="U293" s="76"/>
      <c r="V293" s="76"/>
      <c r="W293" s="76"/>
      <c r="X293" s="76"/>
      <c r="Y293" s="76"/>
      <c r="Z293" s="76"/>
      <c r="AA293" s="76"/>
      <c r="AB293" s="76"/>
      <c r="AC293" s="76"/>
    </row>
    <row r="294" spans="1:29" ht="40.5">
      <c r="A294" s="35"/>
      <c r="B294" s="20"/>
      <c r="C294" s="16"/>
      <c r="D294" s="16"/>
      <c r="E294" s="16"/>
      <c r="F294" s="20"/>
      <c r="G294" s="16" t="s">
        <v>2359</v>
      </c>
      <c r="H294" s="26"/>
      <c r="I294" s="8"/>
      <c r="J294" s="51" t="s">
        <v>2360</v>
      </c>
      <c r="K294" s="103"/>
      <c r="L294" s="104"/>
      <c r="M294" s="104"/>
      <c r="N294" s="104"/>
      <c r="O294" s="104"/>
      <c r="P294" s="54"/>
      <c r="Q294" s="20"/>
      <c r="R294" s="76"/>
      <c r="S294" s="76"/>
      <c r="T294" s="76"/>
      <c r="U294" s="76"/>
      <c r="V294" s="76"/>
      <c r="W294" s="76"/>
      <c r="X294" s="76"/>
      <c r="Y294" s="76"/>
      <c r="Z294" s="76"/>
      <c r="AA294" s="76"/>
      <c r="AB294" s="76"/>
      <c r="AC294" s="76"/>
    </row>
    <row r="295" spans="1:29" ht="40.5">
      <c r="A295" s="35"/>
      <c r="B295" s="20"/>
      <c r="C295" s="16"/>
      <c r="D295" s="16"/>
      <c r="E295" s="16"/>
      <c r="F295" s="20"/>
      <c r="G295" s="2"/>
      <c r="H295" s="26"/>
      <c r="I295" s="8"/>
      <c r="J295" s="51" t="s">
        <v>2361</v>
      </c>
      <c r="K295" s="103"/>
      <c r="L295" s="104"/>
      <c r="M295" s="104"/>
      <c r="N295" s="104"/>
      <c r="O295" s="104"/>
      <c r="P295" s="54"/>
      <c r="Q295" s="20"/>
      <c r="R295" s="76"/>
      <c r="S295" s="76"/>
      <c r="T295" s="76"/>
      <c r="U295" s="76"/>
      <c r="V295" s="76"/>
      <c r="W295" s="76"/>
      <c r="X295" s="76"/>
      <c r="Y295" s="76"/>
      <c r="Z295" s="76"/>
      <c r="AA295" s="76"/>
      <c r="AB295" s="76"/>
      <c r="AC295" s="76"/>
    </row>
    <row r="296" spans="1:29" ht="30.4">
      <c r="A296" s="35"/>
      <c r="B296" s="20"/>
      <c r="C296" s="16"/>
      <c r="D296" s="16"/>
      <c r="E296" s="16"/>
      <c r="F296" s="20"/>
      <c r="G296" s="2"/>
      <c r="H296" s="26"/>
      <c r="I296" s="8"/>
      <c r="J296" s="51" t="s">
        <v>2362</v>
      </c>
      <c r="K296" s="103"/>
      <c r="L296" s="104"/>
      <c r="M296" s="104"/>
      <c r="N296" s="104"/>
      <c r="O296" s="104"/>
      <c r="P296" s="54"/>
      <c r="Q296" s="20"/>
      <c r="R296" s="76"/>
      <c r="S296" s="76"/>
      <c r="T296" s="76"/>
      <c r="U296" s="76"/>
      <c r="V296" s="76"/>
      <c r="W296" s="76"/>
      <c r="X296" s="76"/>
      <c r="Y296" s="76"/>
      <c r="Z296" s="76"/>
      <c r="AA296" s="76"/>
      <c r="AB296" s="76"/>
      <c r="AC296" s="76"/>
    </row>
    <row r="297" spans="1:29" ht="40.5">
      <c r="A297" s="35"/>
      <c r="B297" s="20"/>
      <c r="C297" s="16"/>
      <c r="D297" s="16"/>
      <c r="E297" s="16"/>
      <c r="F297" s="20"/>
      <c r="G297" s="2"/>
      <c r="H297" s="26"/>
      <c r="I297" s="8"/>
      <c r="J297" s="51" t="s">
        <v>2363</v>
      </c>
      <c r="K297" s="103"/>
      <c r="L297" s="104"/>
      <c r="M297" s="104"/>
      <c r="N297" s="104"/>
      <c r="O297" s="104"/>
      <c r="P297" s="54"/>
      <c r="Q297" s="20"/>
      <c r="R297" s="76"/>
      <c r="S297" s="76"/>
      <c r="T297" s="76"/>
      <c r="U297" s="76"/>
      <c r="V297" s="76"/>
      <c r="W297" s="76"/>
      <c r="X297" s="76"/>
      <c r="Y297" s="76"/>
      <c r="Z297" s="76"/>
      <c r="AA297" s="76"/>
      <c r="AB297" s="76"/>
      <c r="AC297" s="76"/>
    </row>
    <row r="298" spans="1:29" ht="40.5">
      <c r="A298" s="35"/>
      <c r="B298" s="20"/>
      <c r="C298" s="16"/>
      <c r="D298" s="16"/>
      <c r="E298" s="16"/>
      <c r="F298" s="20"/>
      <c r="G298" s="16" t="s">
        <v>2364</v>
      </c>
      <c r="H298" s="26"/>
      <c r="I298" s="8"/>
      <c r="J298" s="51" t="s">
        <v>2365</v>
      </c>
      <c r="K298" s="103"/>
      <c r="L298" s="104"/>
      <c r="M298" s="104"/>
      <c r="N298" s="104"/>
      <c r="O298" s="104"/>
      <c r="P298" s="54"/>
      <c r="Q298" s="20"/>
      <c r="R298" s="76"/>
      <c r="S298" s="76"/>
      <c r="T298" s="76"/>
      <c r="U298" s="76"/>
      <c r="V298" s="76"/>
      <c r="W298" s="76"/>
      <c r="X298" s="76"/>
      <c r="Y298" s="76"/>
      <c r="Z298" s="76"/>
      <c r="AA298" s="76"/>
      <c r="AB298" s="76"/>
      <c r="AC298" s="76"/>
    </row>
    <row r="299" spans="1:29" ht="20.25">
      <c r="A299" s="35"/>
      <c r="B299" s="20"/>
      <c r="C299" s="16"/>
      <c r="D299" s="16"/>
      <c r="E299" s="16"/>
      <c r="F299" s="20"/>
      <c r="G299" s="2"/>
      <c r="H299" s="26"/>
      <c r="I299" s="8"/>
      <c r="J299" s="51" t="s">
        <v>2366</v>
      </c>
      <c r="K299" s="103"/>
      <c r="L299" s="104"/>
      <c r="M299" s="104"/>
      <c r="N299" s="104"/>
      <c r="O299" s="104"/>
      <c r="P299" s="54"/>
      <c r="Q299" s="20"/>
      <c r="R299" s="76"/>
      <c r="S299" s="76"/>
      <c r="T299" s="76"/>
      <c r="U299" s="76"/>
      <c r="V299" s="76"/>
      <c r="W299" s="76"/>
      <c r="X299" s="76"/>
      <c r="Y299" s="76"/>
      <c r="Z299" s="76"/>
      <c r="AA299" s="76"/>
      <c r="AB299" s="76"/>
      <c r="AC299" s="76"/>
    </row>
    <row r="300" spans="1:29" ht="30.4">
      <c r="A300" s="35"/>
      <c r="B300" s="20"/>
      <c r="C300" s="16"/>
      <c r="D300" s="16"/>
      <c r="E300" s="16"/>
      <c r="F300" s="20"/>
      <c r="G300" s="2"/>
      <c r="H300" s="26"/>
      <c r="I300" s="8"/>
      <c r="J300" s="51" t="s">
        <v>2367</v>
      </c>
      <c r="K300" s="103"/>
      <c r="L300" s="104"/>
      <c r="M300" s="104"/>
      <c r="N300" s="104"/>
      <c r="O300" s="104"/>
      <c r="P300" s="54"/>
      <c r="Q300" s="20"/>
      <c r="R300" s="76"/>
      <c r="S300" s="76"/>
      <c r="T300" s="76"/>
      <c r="U300" s="76"/>
      <c r="V300" s="76"/>
      <c r="W300" s="76"/>
      <c r="X300" s="76"/>
      <c r="Y300" s="76"/>
      <c r="Z300" s="76"/>
      <c r="AA300" s="76"/>
      <c r="AB300" s="76"/>
      <c r="AC300" s="76"/>
    </row>
    <row r="301" spans="1:29" ht="30.4">
      <c r="A301" s="35"/>
      <c r="B301" s="20"/>
      <c r="C301" s="16"/>
      <c r="D301" s="16"/>
      <c r="E301" s="16"/>
      <c r="F301" s="20"/>
      <c r="G301" s="2"/>
      <c r="H301" s="26"/>
      <c r="I301" s="8"/>
      <c r="J301" s="51" t="s">
        <v>2368</v>
      </c>
      <c r="K301" s="103"/>
      <c r="L301" s="104"/>
      <c r="M301" s="104"/>
      <c r="N301" s="104"/>
      <c r="O301" s="104"/>
      <c r="P301" s="54"/>
      <c r="Q301" s="20"/>
      <c r="R301" s="76"/>
      <c r="S301" s="76"/>
      <c r="T301" s="76"/>
      <c r="U301" s="76"/>
      <c r="V301" s="76"/>
      <c r="W301" s="76"/>
      <c r="X301" s="76"/>
      <c r="Y301" s="76"/>
      <c r="Z301" s="76"/>
      <c r="AA301" s="76"/>
      <c r="AB301" s="76"/>
      <c r="AC301" s="76"/>
    </row>
    <row r="302" spans="1:29" ht="40.5">
      <c r="A302" s="35"/>
      <c r="B302" s="20"/>
      <c r="C302" s="16"/>
      <c r="D302" s="16"/>
      <c r="E302" s="16"/>
      <c r="F302" s="20"/>
      <c r="G302" s="2"/>
      <c r="H302" s="26"/>
      <c r="I302" s="8"/>
      <c r="J302" s="51" t="s">
        <v>2369</v>
      </c>
      <c r="K302" s="103"/>
      <c r="L302" s="104"/>
      <c r="M302" s="104"/>
      <c r="N302" s="104"/>
      <c r="O302" s="104"/>
      <c r="P302" s="54"/>
      <c r="Q302" s="20"/>
      <c r="R302" s="76"/>
      <c r="S302" s="76"/>
      <c r="T302" s="76"/>
      <c r="U302" s="76"/>
      <c r="V302" s="76"/>
      <c r="W302" s="76"/>
      <c r="X302" s="76"/>
      <c r="Y302" s="76"/>
      <c r="Z302" s="76"/>
      <c r="AA302" s="76"/>
      <c r="AB302" s="76"/>
      <c r="AC302" s="76"/>
    </row>
    <row r="303" spans="1:29" ht="30.4">
      <c r="A303" s="35"/>
      <c r="B303" s="20"/>
      <c r="C303" s="16"/>
      <c r="D303" s="16"/>
      <c r="E303" s="16"/>
      <c r="F303" s="20"/>
      <c r="G303" s="2"/>
      <c r="H303" s="26"/>
      <c r="I303" s="8"/>
      <c r="J303" s="51" t="s">
        <v>2370</v>
      </c>
      <c r="K303" s="103"/>
      <c r="L303" s="104"/>
      <c r="M303" s="104"/>
      <c r="N303" s="104"/>
      <c r="O303" s="104"/>
      <c r="P303" s="54"/>
      <c r="Q303" s="20"/>
      <c r="R303" s="76"/>
      <c r="S303" s="76"/>
      <c r="T303" s="76"/>
      <c r="U303" s="76"/>
      <c r="V303" s="76"/>
      <c r="W303" s="76"/>
      <c r="X303" s="76"/>
      <c r="Y303" s="76"/>
      <c r="Z303" s="76"/>
      <c r="AA303" s="76"/>
      <c r="AB303" s="76"/>
      <c r="AC303" s="76"/>
    </row>
    <row r="304" spans="1:29">
      <c r="A304" s="35"/>
      <c r="B304" s="20"/>
      <c r="C304" s="16"/>
      <c r="D304" s="16"/>
      <c r="E304" s="16"/>
      <c r="F304" s="20"/>
      <c r="G304" s="16"/>
      <c r="H304" s="26"/>
      <c r="I304" s="8"/>
      <c r="J304" s="51" t="s">
        <v>2371</v>
      </c>
      <c r="K304" s="103"/>
      <c r="L304" s="104"/>
      <c r="M304" s="104"/>
      <c r="N304" s="104"/>
      <c r="O304" s="104"/>
      <c r="P304" s="54"/>
      <c r="Q304" s="20"/>
      <c r="R304" s="76"/>
      <c r="S304" s="76"/>
      <c r="T304" s="76"/>
      <c r="U304" s="76"/>
      <c r="V304" s="76"/>
      <c r="W304" s="76"/>
      <c r="X304" s="76"/>
      <c r="Y304" s="76"/>
      <c r="Z304" s="76"/>
      <c r="AA304" s="76"/>
      <c r="AB304" s="76"/>
      <c r="AC304" s="76"/>
    </row>
    <row r="305" spans="1:29">
      <c r="A305" s="35"/>
      <c r="B305" s="20"/>
      <c r="C305" s="16"/>
      <c r="D305" s="16"/>
      <c r="E305" s="16"/>
      <c r="F305" s="20"/>
      <c r="G305" s="16"/>
      <c r="H305" s="26"/>
      <c r="I305" s="8"/>
      <c r="J305" s="51" t="s">
        <v>2372</v>
      </c>
      <c r="K305" s="103"/>
      <c r="L305" s="104"/>
      <c r="M305" s="104"/>
      <c r="N305" s="104"/>
      <c r="O305" s="104"/>
      <c r="P305" s="54"/>
      <c r="Q305" s="20"/>
      <c r="R305" s="76"/>
      <c r="S305" s="76"/>
      <c r="T305" s="76"/>
      <c r="U305" s="76"/>
      <c r="V305" s="76"/>
      <c r="W305" s="76"/>
      <c r="X305" s="76"/>
      <c r="Y305" s="76"/>
      <c r="Z305" s="76"/>
      <c r="AA305" s="76"/>
      <c r="AB305" s="76"/>
      <c r="AC305" s="76"/>
    </row>
    <row r="306" spans="1:29" ht="30.4">
      <c r="A306" s="35"/>
      <c r="B306" s="20"/>
      <c r="C306" s="16"/>
      <c r="D306" s="16"/>
      <c r="E306" s="16"/>
      <c r="F306" s="20"/>
      <c r="G306" s="16" t="s">
        <v>2373</v>
      </c>
      <c r="H306" s="26"/>
      <c r="I306" s="8"/>
      <c r="J306" s="51" t="s">
        <v>2374</v>
      </c>
      <c r="K306" s="103"/>
      <c r="L306" s="104"/>
      <c r="M306" s="104"/>
      <c r="N306" s="104"/>
      <c r="O306" s="104"/>
      <c r="P306" s="54"/>
      <c r="Q306" s="20"/>
      <c r="R306" s="76"/>
      <c r="S306" s="76"/>
      <c r="T306" s="76"/>
      <c r="U306" s="76"/>
      <c r="V306" s="76"/>
      <c r="W306" s="76"/>
      <c r="X306" s="76"/>
      <c r="Y306" s="76"/>
      <c r="Z306" s="76"/>
      <c r="AA306" s="76"/>
      <c r="AB306" s="76"/>
      <c r="AC306" s="76"/>
    </row>
    <row r="307" spans="1:29" ht="20.25">
      <c r="A307" s="35"/>
      <c r="B307" s="20"/>
      <c r="C307" s="16"/>
      <c r="D307" s="16"/>
      <c r="E307" s="16"/>
      <c r="F307" s="20"/>
      <c r="G307" s="2"/>
      <c r="H307" s="26"/>
      <c r="I307" s="8"/>
      <c r="J307" s="51" t="s">
        <v>2375</v>
      </c>
      <c r="K307" s="103"/>
      <c r="L307" s="104"/>
      <c r="M307" s="104"/>
      <c r="N307" s="104"/>
      <c r="O307" s="104"/>
      <c r="P307" s="54"/>
      <c r="Q307" s="20"/>
      <c r="R307" s="76"/>
      <c r="S307" s="76"/>
      <c r="T307" s="76"/>
      <c r="U307" s="76"/>
      <c r="V307" s="76"/>
      <c r="W307" s="76"/>
      <c r="X307" s="76"/>
      <c r="Y307" s="76"/>
      <c r="Z307" s="76"/>
      <c r="AA307" s="76"/>
      <c r="AB307" s="76"/>
      <c r="AC307" s="76"/>
    </row>
    <row r="308" spans="1:29" ht="30.4">
      <c r="A308" s="35"/>
      <c r="B308" s="20"/>
      <c r="C308" s="16"/>
      <c r="D308" s="16"/>
      <c r="E308" s="16"/>
      <c r="F308" s="20"/>
      <c r="G308" s="2"/>
      <c r="H308" s="26"/>
      <c r="I308" s="8"/>
      <c r="J308" s="51" t="s">
        <v>2376</v>
      </c>
      <c r="K308" s="103"/>
      <c r="L308" s="104"/>
      <c r="M308" s="104"/>
      <c r="N308" s="104"/>
      <c r="O308" s="104"/>
      <c r="P308" s="54"/>
      <c r="Q308" s="20"/>
      <c r="R308" s="76"/>
      <c r="S308" s="76"/>
      <c r="T308" s="76"/>
      <c r="U308" s="76"/>
      <c r="V308" s="76"/>
      <c r="W308" s="76"/>
      <c r="X308" s="76"/>
      <c r="Y308" s="76"/>
      <c r="Z308" s="76"/>
      <c r="AA308" s="76"/>
      <c r="AB308" s="76"/>
      <c r="AC308" s="76"/>
    </row>
    <row r="309" spans="1:29" ht="20.25">
      <c r="A309" s="35"/>
      <c r="B309" s="20"/>
      <c r="C309" s="16"/>
      <c r="D309" s="16"/>
      <c r="E309" s="16"/>
      <c r="F309" s="20"/>
      <c r="G309" s="16" t="s">
        <v>2377</v>
      </c>
      <c r="H309" s="26"/>
      <c r="I309" s="8"/>
      <c r="J309" s="51" t="s">
        <v>2378</v>
      </c>
      <c r="K309" s="103"/>
      <c r="L309" s="104"/>
      <c r="M309" s="104"/>
      <c r="N309" s="104"/>
      <c r="O309" s="104"/>
      <c r="P309" s="54"/>
      <c r="Q309" s="20"/>
      <c r="R309" s="76"/>
      <c r="S309" s="76"/>
      <c r="T309" s="76"/>
      <c r="U309" s="76"/>
      <c r="V309" s="76"/>
      <c r="W309" s="76"/>
      <c r="X309" s="76"/>
      <c r="Y309" s="76"/>
      <c r="Z309" s="76"/>
      <c r="AA309" s="76"/>
      <c r="AB309" s="76"/>
      <c r="AC309" s="76"/>
    </row>
    <row r="310" spans="1:29" ht="30.4">
      <c r="A310" s="35"/>
      <c r="B310" s="20"/>
      <c r="C310" s="16"/>
      <c r="D310" s="16"/>
      <c r="E310" s="16"/>
      <c r="F310" s="20"/>
      <c r="G310" s="16"/>
      <c r="H310" s="26"/>
      <c r="I310" s="8"/>
      <c r="J310" s="51" t="s">
        <v>2379</v>
      </c>
      <c r="K310" s="103"/>
      <c r="L310" s="104"/>
      <c r="M310" s="104"/>
      <c r="N310" s="104"/>
      <c r="O310" s="104"/>
      <c r="P310" s="54"/>
      <c r="Q310" s="20"/>
      <c r="R310" s="76"/>
      <c r="S310" s="76"/>
      <c r="T310" s="76"/>
      <c r="U310" s="76"/>
      <c r="V310" s="76"/>
      <c r="W310" s="76"/>
      <c r="X310" s="76"/>
      <c r="Y310" s="76"/>
      <c r="Z310" s="76"/>
      <c r="AA310" s="76"/>
      <c r="AB310" s="76"/>
      <c r="AC310" s="76"/>
    </row>
    <row r="311" spans="1:29" ht="20.25">
      <c r="A311" s="35"/>
      <c r="B311" s="20"/>
      <c r="C311" s="16"/>
      <c r="D311" s="16"/>
      <c r="E311" s="16"/>
      <c r="F311" s="20"/>
      <c r="G311" s="16" t="s">
        <v>2380</v>
      </c>
      <c r="H311" s="26"/>
      <c r="I311" s="8"/>
      <c r="J311" s="51" t="s">
        <v>2381</v>
      </c>
      <c r="K311" s="103"/>
      <c r="L311" s="104"/>
      <c r="M311" s="104"/>
      <c r="N311" s="104"/>
      <c r="O311" s="104"/>
      <c r="P311" s="54"/>
      <c r="Q311" s="20"/>
      <c r="R311" s="76"/>
      <c r="S311" s="76"/>
      <c r="T311" s="76"/>
      <c r="U311" s="76"/>
      <c r="V311" s="76"/>
      <c r="W311" s="76"/>
      <c r="X311" s="76"/>
      <c r="Y311" s="76"/>
      <c r="Z311" s="76"/>
      <c r="AA311" s="76"/>
      <c r="AB311" s="76"/>
      <c r="AC311" s="76"/>
    </row>
    <row r="312" spans="1:29">
      <c r="A312" s="35"/>
      <c r="B312" s="20"/>
      <c r="C312" s="16"/>
      <c r="D312" s="16"/>
      <c r="E312" s="16"/>
      <c r="F312" s="20"/>
      <c r="G312" s="2"/>
      <c r="H312" s="26"/>
      <c r="I312" s="8"/>
      <c r="J312" s="51"/>
      <c r="K312" s="103"/>
      <c r="L312" s="104"/>
      <c r="M312" s="104"/>
      <c r="N312" s="104"/>
      <c r="O312" s="104"/>
      <c r="P312" s="54"/>
      <c r="Q312" s="20"/>
      <c r="R312" s="76"/>
      <c r="S312" s="76"/>
      <c r="T312" s="76"/>
      <c r="U312" s="76"/>
      <c r="V312" s="76"/>
      <c r="W312" s="76"/>
      <c r="X312" s="76"/>
      <c r="Y312" s="76"/>
      <c r="Z312" s="76"/>
      <c r="AA312" s="76"/>
      <c r="AB312" s="76"/>
      <c r="AC312" s="76"/>
    </row>
    <row r="313" spans="1:29" ht="40.5">
      <c r="A313" s="35"/>
      <c r="B313" s="20"/>
      <c r="C313" s="16"/>
      <c r="D313" s="16"/>
      <c r="E313" s="16"/>
      <c r="F313" s="20"/>
      <c r="G313" s="16"/>
      <c r="H313" s="26"/>
      <c r="I313" s="8"/>
      <c r="J313" s="51" t="s">
        <v>2382</v>
      </c>
      <c r="K313" s="103"/>
      <c r="L313" s="104"/>
      <c r="M313" s="104"/>
      <c r="N313" s="104"/>
      <c r="O313" s="104"/>
      <c r="P313" s="54"/>
      <c r="Q313" s="20"/>
      <c r="R313" s="76"/>
      <c r="S313" s="76"/>
      <c r="T313" s="76"/>
      <c r="U313" s="76"/>
      <c r="V313" s="76"/>
      <c r="W313" s="76"/>
      <c r="X313" s="76"/>
      <c r="Y313" s="76"/>
      <c r="Z313" s="76"/>
      <c r="AA313" s="76"/>
      <c r="AB313" s="76"/>
      <c r="AC313" s="76"/>
    </row>
    <row r="314" spans="1:29" ht="30.4">
      <c r="A314" s="35"/>
      <c r="B314" s="20"/>
      <c r="C314" s="16"/>
      <c r="D314" s="16"/>
      <c r="E314" s="16"/>
      <c r="F314" s="20"/>
      <c r="G314" s="16"/>
      <c r="H314" s="26"/>
      <c r="I314" s="8"/>
      <c r="J314" s="51" t="s">
        <v>2383</v>
      </c>
      <c r="K314" s="103"/>
      <c r="L314" s="104"/>
      <c r="M314" s="104"/>
      <c r="N314" s="104"/>
      <c r="O314" s="104"/>
      <c r="P314" s="54"/>
      <c r="Q314" s="20"/>
      <c r="R314" s="76"/>
      <c r="S314" s="76"/>
      <c r="T314" s="76"/>
      <c r="U314" s="76"/>
      <c r="V314" s="76"/>
      <c r="W314" s="76"/>
      <c r="X314" s="76"/>
      <c r="Y314" s="76"/>
      <c r="Z314" s="76"/>
      <c r="AA314" s="76"/>
      <c r="AB314" s="76"/>
      <c r="AC314" s="76"/>
    </row>
    <row r="315" spans="1:29" ht="20.25">
      <c r="A315" s="35"/>
      <c r="B315" s="20"/>
      <c r="C315" s="16"/>
      <c r="D315" s="16"/>
      <c r="E315" s="16"/>
      <c r="F315" s="20"/>
      <c r="G315" s="16" t="s">
        <v>2384</v>
      </c>
      <c r="H315" s="26"/>
      <c r="I315" s="8"/>
      <c r="J315" s="51" t="s">
        <v>2385</v>
      </c>
      <c r="K315" s="103"/>
      <c r="L315" s="104"/>
      <c r="M315" s="104"/>
      <c r="N315" s="104"/>
      <c r="O315" s="104"/>
      <c r="P315" s="54"/>
      <c r="Q315" s="20"/>
      <c r="R315" s="76"/>
      <c r="S315" s="76"/>
      <c r="T315" s="76"/>
      <c r="U315" s="76"/>
      <c r="V315" s="76"/>
      <c r="W315" s="76"/>
      <c r="X315" s="76"/>
      <c r="Y315" s="76"/>
      <c r="Z315" s="76"/>
      <c r="AA315" s="76"/>
      <c r="AB315" s="76"/>
      <c r="AC315" s="76"/>
    </row>
    <row r="316" spans="1:29" ht="20.25">
      <c r="A316" s="35"/>
      <c r="B316" s="20"/>
      <c r="C316" s="16"/>
      <c r="D316" s="16"/>
      <c r="E316" s="16"/>
      <c r="F316" s="20"/>
      <c r="G316" s="16"/>
      <c r="H316" s="26"/>
      <c r="I316" s="8"/>
      <c r="J316" s="51" t="s">
        <v>2386</v>
      </c>
      <c r="K316" s="103"/>
      <c r="L316" s="104"/>
      <c r="M316" s="104"/>
      <c r="N316" s="104"/>
      <c r="O316" s="104"/>
      <c r="P316" s="54"/>
      <c r="Q316" s="20"/>
      <c r="R316" s="76"/>
      <c r="S316" s="76"/>
      <c r="T316" s="76"/>
      <c r="U316" s="76"/>
      <c r="V316" s="76"/>
      <c r="W316" s="76"/>
      <c r="X316" s="76"/>
      <c r="Y316" s="76"/>
      <c r="Z316" s="76"/>
      <c r="AA316" s="76"/>
      <c r="AB316" s="76"/>
      <c r="AC316" s="76"/>
    </row>
    <row r="317" spans="1:29">
      <c r="A317" s="35"/>
      <c r="B317" s="20"/>
      <c r="C317" s="16"/>
      <c r="D317" s="16"/>
      <c r="E317" s="16"/>
      <c r="F317" s="20"/>
      <c r="G317" s="16"/>
      <c r="H317" s="26"/>
      <c r="I317" s="8"/>
      <c r="J317" s="51"/>
      <c r="K317" s="103"/>
      <c r="L317" s="104"/>
      <c r="M317" s="104"/>
      <c r="N317" s="104"/>
      <c r="O317" s="104"/>
      <c r="P317" s="54"/>
      <c r="Q317" s="20"/>
      <c r="R317" s="76"/>
      <c r="S317" s="76"/>
      <c r="T317" s="76"/>
      <c r="U317" s="76"/>
      <c r="V317" s="76"/>
      <c r="W317" s="76"/>
      <c r="X317" s="76"/>
      <c r="Y317" s="76"/>
      <c r="Z317" s="76"/>
      <c r="AA317" s="76"/>
      <c r="AB317" s="76"/>
      <c r="AC317" s="76"/>
    </row>
    <row r="318" spans="1:29" ht="50.65">
      <c r="A318" s="35"/>
      <c r="B318" s="20"/>
      <c r="C318" s="16"/>
      <c r="D318" s="16"/>
      <c r="E318" s="16"/>
      <c r="F318" s="20"/>
      <c r="G318" s="16" t="s">
        <v>2387</v>
      </c>
      <c r="H318" s="26"/>
      <c r="I318" s="8"/>
      <c r="J318" s="51"/>
      <c r="K318" s="103"/>
      <c r="L318" s="104"/>
      <c r="M318" s="104"/>
      <c r="N318" s="104"/>
      <c r="O318" s="104"/>
      <c r="P318" s="54"/>
      <c r="Q318" s="20"/>
      <c r="R318" s="76"/>
      <c r="S318" s="76"/>
      <c r="T318" s="76"/>
      <c r="U318" s="76"/>
      <c r="V318" s="76"/>
      <c r="W318" s="76"/>
      <c r="X318" s="76"/>
      <c r="Y318" s="76"/>
      <c r="Z318" s="76"/>
      <c r="AA318" s="76"/>
      <c r="AB318" s="76"/>
      <c r="AC318" s="76"/>
    </row>
    <row r="319" spans="1:29" ht="20.25">
      <c r="A319" s="35"/>
      <c r="B319" s="20"/>
      <c r="C319" s="16"/>
      <c r="D319" s="16"/>
      <c r="E319" s="16"/>
      <c r="F319" s="20"/>
      <c r="G319" s="16" t="s">
        <v>2388</v>
      </c>
      <c r="H319" s="26"/>
      <c r="I319" s="8"/>
      <c r="J319" s="51"/>
      <c r="K319" s="103"/>
      <c r="L319" s="104"/>
      <c r="M319" s="104"/>
      <c r="N319" s="104"/>
      <c r="O319" s="104"/>
      <c r="P319" s="54"/>
      <c r="Q319" s="20"/>
      <c r="R319" s="76"/>
      <c r="S319" s="76"/>
      <c r="T319" s="76"/>
      <c r="U319" s="76"/>
      <c r="V319" s="76"/>
      <c r="W319" s="76"/>
      <c r="X319" s="76"/>
      <c r="Y319" s="76"/>
      <c r="Z319" s="76"/>
      <c r="AA319" s="76"/>
      <c r="AB319" s="76"/>
      <c r="AC319" s="76"/>
    </row>
    <row r="320" spans="1:29">
      <c r="A320" s="35"/>
      <c r="B320" s="20"/>
      <c r="C320" s="16"/>
      <c r="D320" s="16"/>
      <c r="E320" s="16"/>
      <c r="F320" s="20"/>
      <c r="G320" s="16"/>
      <c r="H320" s="26"/>
      <c r="I320" s="8"/>
      <c r="J320" s="51"/>
      <c r="K320" s="103"/>
      <c r="L320" s="104"/>
      <c r="M320" s="104"/>
      <c r="N320" s="104"/>
      <c r="O320" s="104"/>
      <c r="P320" s="54"/>
      <c r="Q320" s="20"/>
      <c r="R320" s="76"/>
      <c r="S320" s="76"/>
      <c r="T320" s="76"/>
      <c r="U320" s="76"/>
      <c r="V320" s="76"/>
      <c r="W320" s="76"/>
      <c r="X320" s="76"/>
      <c r="Y320" s="76"/>
      <c r="Z320" s="76"/>
      <c r="AA320" s="76"/>
      <c r="AB320" s="76"/>
      <c r="AC320" s="76"/>
    </row>
    <row r="321" spans="1:29">
      <c r="A321" s="35"/>
      <c r="B321" s="20"/>
      <c r="C321" s="16"/>
      <c r="D321" s="16"/>
      <c r="E321" s="16"/>
      <c r="F321" s="20"/>
      <c r="G321" s="16" t="s">
        <v>2389</v>
      </c>
      <c r="H321" s="26"/>
      <c r="I321" s="8"/>
      <c r="J321" s="51"/>
      <c r="K321" s="103"/>
      <c r="L321" s="104"/>
      <c r="M321" s="104"/>
      <c r="N321" s="104"/>
      <c r="O321" s="104"/>
      <c r="P321" s="54"/>
      <c r="Q321" s="20"/>
      <c r="R321" s="76"/>
      <c r="S321" s="76"/>
      <c r="T321" s="76"/>
      <c r="U321" s="76"/>
      <c r="V321" s="76"/>
      <c r="W321" s="76"/>
      <c r="X321" s="76"/>
      <c r="Y321" s="76"/>
      <c r="Z321" s="76"/>
      <c r="AA321" s="76"/>
      <c r="AB321" s="76"/>
      <c r="AC321" s="76"/>
    </row>
    <row r="322" spans="1:29" ht="20.25">
      <c r="A322" s="35"/>
      <c r="B322" s="20"/>
      <c r="C322" s="16"/>
      <c r="D322" s="16"/>
      <c r="E322" s="16"/>
      <c r="F322" s="20"/>
      <c r="G322" s="16" t="s">
        <v>2390</v>
      </c>
      <c r="H322" s="26"/>
      <c r="I322" s="8"/>
      <c r="J322" s="51"/>
      <c r="K322" s="103"/>
      <c r="L322" s="104"/>
      <c r="M322" s="104"/>
      <c r="N322" s="104"/>
      <c r="O322" s="104"/>
      <c r="P322" s="54"/>
      <c r="Q322" s="20"/>
      <c r="R322" s="76"/>
      <c r="S322" s="76"/>
      <c r="T322" s="76"/>
      <c r="U322" s="76"/>
      <c r="V322" s="76"/>
      <c r="W322" s="76"/>
      <c r="X322" s="76"/>
      <c r="Y322" s="76"/>
      <c r="Z322" s="76"/>
      <c r="AA322" s="76"/>
      <c r="AB322" s="76"/>
      <c r="AC322" s="76"/>
    </row>
    <row r="323" spans="1:29">
      <c r="A323" s="35"/>
      <c r="B323" s="20"/>
      <c r="C323" s="16"/>
      <c r="D323" s="16"/>
      <c r="E323" s="16"/>
      <c r="F323" s="20"/>
      <c r="G323" s="16"/>
      <c r="H323" s="26"/>
      <c r="I323" s="8"/>
      <c r="J323" s="51"/>
      <c r="K323" s="103"/>
      <c r="L323" s="104"/>
      <c r="M323" s="104"/>
      <c r="N323" s="104"/>
      <c r="O323" s="104"/>
      <c r="P323" s="54"/>
      <c r="Q323" s="20"/>
      <c r="R323" s="76"/>
      <c r="S323" s="76"/>
      <c r="T323" s="76"/>
      <c r="U323" s="76"/>
      <c r="V323" s="76"/>
      <c r="W323" s="76"/>
      <c r="X323" s="76"/>
      <c r="Y323" s="76"/>
      <c r="Z323" s="76"/>
      <c r="AA323" s="76"/>
      <c r="AB323" s="76"/>
      <c r="AC323" s="76"/>
    </row>
    <row r="324" spans="1:29">
      <c r="A324" s="35"/>
      <c r="B324" s="20"/>
      <c r="C324" s="16"/>
      <c r="D324" s="16"/>
      <c r="E324" s="16"/>
      <c r="F324" s="20"/>
      <c r="G324" s="16"/>
      <c r="H324" s="26"/>
      <c r="I324" s="8"/>
      <c r="J324" s="51"/>
      <c r="K324" s="103"/>
      <c r="L324" s="104"/>
      <c r="M324" s="104"/>
      <c r="N324" s="104"/>
      <c r="O324" s="104"/>
      <c r="P324" s="54"/>
      <c r="Q324" s="20"/>
      <c r="R324" s="76"/>
      <c r="S324" s="76"/>
      <c r="T324" s="76"/>
      <c r="U324" s="76"/>
      <c r="V324" s="76"/>
      <c r="W324" s="76"/>
      <c r="X324" s="76"/>
      <c r="Y324" s="76"/>
      <c r="Z324" s="76"/>
      <c r="AA324" s="76"/>
      <c r="AB324" s="76"/>
      <c r="AC324" s="76"/>
    </row>
    <row r="325" spans="1:29">
      <c r="A325" s="35"/>
      <c r="B325" s="20"/>
      <c r="C325" s="16"/>
      <c r="D325" s="16"/>
      <c r="E325" s="16"/>
      <c r="F325" s="20"/>
      <c r="G325" s="16"/>
      <c r="H325" s="26"/>
      <c r="I325" s="8"/>
      <c r="J325" s="51"/>
      <c r="K325" s="103"/>
      <c r="L325" s="104"/>
      <c r="M325" s="104"/>
      <c r="N325" s="104"/>
      <c r="O325" s="104"/>
      <c r="P325" s="54"/>
      <c r="Q325" s="20"/>
      <c r="R325" s="76"/>
      <c r="S325" s="76"/>
      <c r="T325" s="76"/>
      <c r="U325" s="76"/>
      <c r="V325" s="76"/>
      <c r="W325" s="76"/>
      <c r="X325" s="76"/>
      <c r="Y325" s="76"/>
      <c r="Z325" s="76"/>
      <c r="AA325" s="76"/>
      <c r="AB325" s="76"/>
      <c r="AC325" s="76"/>
    </row>
    <row r="326" spans="1:29">
      <c r="A326" s="35"/>
      <c r="B326" s="20"/>
      <c r="C326" s="16"/>
      <c r="D326" s="16"/>
      <c r="E326" s="16"/>
      <c r="F326" s="20"/>
      <c r="G326" s="16"/>
      <c r="H326" s="26"/>
      <c r="I326" s="8"/>
      <c r="J326" s="51"/>
      <c r="K326" s="103"/>
      <c r="L326" s="104"/>
      <c r="M326" s="104"/>
      <c r="N326" s="104"/>
      <c r="O326" s="104"/>
      <c r="P326" s="54"/>
      <c r="Q326" s="20"/>
      <c r="R326" s="76"/>
      <c r="S326" s="76"/>
      <c r="T326" s="76"/>
      <c r="U326" s="76"/>
      <c r="V326" s="76"/>
      <c r="W326" s="76"/>
      <c r="X326" s="76"/>
      <c r="Y326" s="76"/>
      <c r="Z326" s="76"/>
      <c r="AA326" s="76"/>
      <c r="AB326" s="76"/>
      <c r="AC326" s="76"/>
    </row>
    <row r="327" spans="1:29">
      <c r="A327" s="35"/>
      <c r="B327" s="20"/>
      <c r="C327" s="16"/>
      <c r="D327" s="16"/>
      <c r="E327" s="16"/>
      <c r="F327" s="20"/>
      <c r="G327" s="16"/>
      <c r="H327" s="26"/>
      <c r="I327" s="8"/>
      <c r="J327" s="51"/>
      <c r="K327" s="103"/>
      <c r="L327" s="104"/>
      <c r="M327" s="104"/>
      <c r="N327" s="104"/>
      <c r="O327" s="104"/>
      <c r="P327" s="54"/>
      <c r="Q327" s="20"/>
      <c r="R327" s="76"/>
      <c r="S327" s="76"/>
      <c r="T327" s="76"/>
      <c r="U327" s="76"/>
      <c r="V327" s="76"/>
      <c r="W327" s="76"/>
      <c r="X327" s="76"/>
      <c r="Y327" s="76"/>
      <c r="Z327" s="76"/>
      <c r="AA327" s="76"/>
      <c r="AB327" s="76"/>
      <c r="AC327" s="76"/>
    </row>
    <row r="328" spans="1:29">
      <c r="A328" s="35"/>
      <c r="B328" s="20"/>
      <c r="C328" s="16"/>
      <c r="D328" s="16"/>
      <c r="E328" s="16"/>
      <c r="F328" s="20"/>
      <c r="G328" s="16"/>
      <c r="H328" s="26"/>
      <c r="I328" s="8"/>
      <c r="J328" s="51"/>
      <c r="K328" s="103"/>
      <c r="L328" s="104"/>
      <c r="M328" s="104"/>
      <c r="N328" s="104"/>
      <c r="O328" s="104"/>
      <c r="P328" s="54"/>
      <c r="Q328" s="20"/>
      <c r="R328" s="76"/>
      <c r="S328" s="76"/>
      <c r="T328" s="76"/>
      <c r="U328" s="76"/>
      <c r="V328" s="76"/>
      <c r="W328" s="76"/>
      <c r="X328" s="76"/>
      <c r="Y328" s="76"/>
      <c r="Z328" s="76"/>
      <c r="AA328" s="76"/>
      <c r="AB328" s="76"/>
      <c r="AC328" s="76"/>
    </row>
    <row r="329" spans="1:29">
      <c r="A329" s="35"/>
      <c r="B329" s="20"/>
      <c r="C329" s="16"/>
      <c r="D329" s="16"/>
      <c r="E329" s="16"/>
      <c r="F329" s="20"/>
      <c r="G329" s="16"/>
      <c r="H329" s="26"/>
      <c r="I329" s="8"/>
      <c r="J329" s="51"/>
      <c r="K329" s="103"/>
      <c r="L329" s="104"/>
      <c r="M329" s="104"/>
      <c r="N329" s="104"/>
      <c r="O329" s="104"/>
      <c r="P329" s="54"/>
      <c r="Q329" s="20"/>
      <c r="R329" s="76"/>
      <c r="S329" s="76"/>
      <c r="T329" s="76"/>
      <c r="U329" s="76"/>
      <c r="V329" s="76"/>
      <c r="W329" s="76"/>
      <c r="X329" s="76"/>
      <c r="Y329" s="76"/>
      <c r="Z329" s="76"/>
      <c r="AA329" s="76"/>
      <c r="AB329" s="76"/>
      <c r="AC329" s="76"/>
    </row>
    <row r="330" spans="1:29">
      <c r="A330" s="35"/>
      <c r="B330" s="20"/>
      <c r="C330" s="16"/>
      <c r="D330" s="16"/>
      <c r="E330" s="16"/>
      <c r="F330" s="20"/>
      <c r="G330" s="16"/>
      <c r="H330" s="26"/>
      <c r="I330" s="8"/>
      <c r="J330" s="51"/>
      <c r="K330" s="103"/>
      <c r="L330" s="104"/>
      <c r="M330" s="104"/>
      <c r="N330" s="104"/>
      <c r="O330" s="104"/>
      <c r="P330" s="54"/>
      <c r="Q330" s="20"/>
      <c r="R330" s="76"/>
      <c r="S330" s="76"/>
      <c r="T330" s="76"/>
      <c r="U330" s="76"/>
      <c r="V330" s="76"/>
      <c r="W330" s="76"/>
      <c r="X330" s="76"/>
      <c r="Y330" s="76"/>
      <c r="Z330" s="76"/>
      <c r="AA330" s="76"/>
      <c r="AB330" s="76"/>
      <c r="AC330" s="76"/>
    </row>
    <row r="331" spans="1:29">
      <c r="A331" s="35"/>
      <c r="B331" s="20"/>
      <c r="C331" s="16"/>
      <c r="D331" s="16"/>
      <c r="E331" s="16"/>
      <c r="F331" s="20"/>
      <c r="G331" s="16"/>
      <c r="H331" s="26"/>
      <c r="I331" s="8"/>
      <c r="J331" s="51"/>
      <c r="K331" s="103"/>
      <c r="L331" s="104"/>
      <c r="M331" s="104"/>
      <c r="N331" s="104"/>
      <c r="O331" s="104"/>
      <c r="P331" s="54"/>
      <c r="Q331" s="20"/>
      <c r="R331" s="76"/>
      <c r="S331" s="76"/>
      <c r="T331" s="76"/>
      <c r="U331" s="76"/>
      <c r="V331" s="76"/>
      <c r="W331" s="76"/>
      <c r="X331" s="76"/>
      <c r="Y331" s="76"/>
      <c r="Z331" s="76"/>
      <c r="AA331" s="76"/>
      <c r="AB331" s="76"/>
      <c r="AC331" s="76"/>
    </row>
    <row r="332" spans="1:29">
      <c r="A332" s="35"/>
      <c r="B332" s="20"/>
      <c r="C332" s="16"/>
      <c r="D332" s="16"/>
      <c r="E332" s="16"/>
      <c r="F332" s="20"/>
      <c r="G332" s="16"/>
      <c r="H332" s="26"/>
      <c r="I332" s="8"/>
      <c r="J332" s="51"/>
      <c r="K332" s="103"/>
      <c r="L332" s="104"/>
      <c r="M332" s="104"/>
      <c r="N332" s="104"/>
      <c r="O332" s="104"/>
      <c r="P332" s="54"/>
      <c r="Q332" s="20"/>
      <c r="R332" s="76"/>
      <c r="S332" s="76"/>
      <c r="T332" s="76"/>
      <c r="U332" s="76"/>
      <c r="V332" s="76"/>
      <c r="W332" s="76"/>
      <c r="X332" s="76"/>
      <c r="Y332" s="76"/>
      <c r="Z332" s="76"/>
      <c r="AA332" s="76"/>
      <c r="AB332" s="76"/>
      <c r="AC332" s="76"/>
    </row>
    <row r="333" spans="1:29">
      <c r="A333" s="35"/>
      <c r="B333" s="20"/>
      <c r="C333" s="16"/>
      <c r="D333" s="16"/>
      <c r="E333" s="16"/>
      <c r="F333" s="20"/>
      <c r="G333" s="16"/>
      <c r="H333" s="26"/>
      <c r="I333" s="8"/>
      <c r="J333" s="51"/>
      <c r="K333" s="103"/>
      <c r="L333" s="104"/>
      <c r="M333" s="104"/>
      <c r="N333" s="104"/>
      <c r="O333" s="104"/>
      <c r="P333" s="54"/>
      <c r="Q333" s="20"/>
      <c r="R333" s="76"/>
      <c r="S333" s="76"/>
      <c r="T333" s="76"/>
      <c r="U333" s="76"/>
      <c r="V333" s="76"/>
      <c r="W333" s="76"/>
      <c r="X333" s="76"/>
      <c r="Y333" s="76"/>
      <c r="Z333" s="76"/>
      <c r="AA333" s="76"/>
      <c r="AB333" s="76"/>
      <c r="AC333" s="76"/>
    </row>
    <row r="334" spans="1:29">
      <c r="A334" s="35"/>
      <c r="B334" s="20"/>
      <c r="C334" s="16"/>
      <c r="D334" s="16"/>
      <c r="E334" s="16"/>
      <c r="F334" s="20"/>
      <c r="G334" s="16"/>
      <c r="H334" s="26"/>
      <c r="I334" s="8"/>
      <c r="J334" s="51"/>
      <c r="K334" s="103"/>
      <c r="L334" s="104"/>
      <c r="M334" s="104"/>
      <c r="N334" s="104"/>
      <c r="O334" s="104"/>
      <c r="P334" s="54"/>
      <c r="Q334" s="20"/>
      <c r="R334" s="76"/>
      <c r="S334" s="76"/>
      <c r="T334" s="76"/>
      <c r="U334" s="76"/>
      <c r="V334" s="76"/>
      <c r="W334" s="76"/>
      <c r="X334" s="76"/>
      <c r="Y334" s="76"/>
      <c r="Z334" s="76"/>
      <c r="AA334" s="76"/>
      <c r="AB334" s="76"/>
      <c r="AC334" s="76"/>
    </row>
    <row r="335" spans="1:29">
      <c r="A335" s="35"/>
      <c r="B335" s="20"/>
      <c r="C335" s="16"/>
      <c r="D335" s="16"/>
      <c r="E335" s="16"/>
      <c r="F335" s="20"/>
      <c r="G335" s="16"/>
      <c r="H335" s="26"/>
      <c r="I335" s="8"/>
      <c r="J335" s="51"/>
      <c r="K335" s="103"/>
      <c r="L335" s="104"/>
      <c r="M335" s="104"/>
      <c r="N335" s="104"/>
      <c r="O335" s="104"/>
      <c r="P335" s="54"/>
      <c r="Q335" s="20"/>
      <c r="R335" s="76"/>
      <c r="S335" s="76"/>
      <c r="T335" s="76"/>
      <c r="U335" s="76"/>
      <c r="V335" s="76"/>
      <c r="W335" s="76"/>
      <c r="X335" s="76"/>
      <c r="Y335" s="76"/>
      <c r="Z335" s="76"/>
      <c r="AA335" s="76"/>
      <c r="AB335" s="76"/>
      <c r="AC335" s="76"/>
    </row>
    <row r="336" spans="1:29">
      <c r="A336" s="35"/>
      <c r="B336" s="20"/>
      <c r="C336" s="16"/>
      <c r="D336" s="16"/>
      <c r="E336" s="16"/>
      <c r="F336" s="20"/>
      <c r="G336" s="16"/>
      <c r="H336" s="26"/>
      <c r="I336" s="8"/>
      <c r="J336" s="51"/>
      <c r="K336" s="103"/>
      <c r="L336" s="104"/>
      <c r="M336" s="104"/>
      <c r="N336" s="104"/>
      <c r="O336" s="104"/>
      <c r="P336" s="54"/>
      <c r="Q336" s="20"/>
      <c r="R336" s="76"/>
      <c r="S336" s="76"/>
      <c r="T336" s="76"/>
      <c r="U336" s="76"/>
      <c r="V336" s="76"/>
      <c r="W336" s="76"/>
      <c r="X336" s="76"/>
      <c r="Y336" s="76"/>
      <c r="Z336" s="76"/>
      <c r="AA336" s="76"/>
      <c r="AB336" s="76"/>
      <c r="AC336" s="76"/>
    </row>
    <row r="337" spans="1:29">
      <c r="A337" s="35"/>
      <c r="B337" s="20"/>
      <c r="C337" s="16"/>
      <c r="D337" s="16"/>
      <c r="E337" s="16"/>
      <c r="F337" s="20"/>
      <c r="G337" s="16"/>
      <c r="H337" s="26"/>
      <c r="I337" s="8"/>
      <c r="J337" s="51"/>
      <c r="K337" s="103"/>
      <c r="L337" s="104"/>
      <c r="M337" s="104"/>
      <c r="N337" s="104"/>
      <c r="O337" s="104"/>
      <c r="P337" s="54"/>
      <c r="Q337" s="20"/>
      <c r="R337" s="76"/>
      <c r="S337" s="76"/>
      <c r="T337" s="76"/>
      <c r="U337" s="76"/>
      <c r="V337" s="76"/>
      <c r="W337" s="76"/>
      <c r="X337" s="76"/>
      <c r="Y337" s="76"/>
      <c r="Z337" s="76"/>
      <c r="AA337" s="76"/>
      <c r="AB337" s="76"/>
      <c r="AC337" s="76"/>
    </row>
    <row r="338" spans="1:29">
      <c r="A338" s="35"/>
      <c r="B338" s="20"/>
      <c r="C338" s="16"/>
      <c r="D338" s="16"/>
      <c r="E338" s="16"/>
      <c r="F338" s="20"/>
      <c r="G338" s="16"/>
      <c r="H338" s="26"/>
      <c r="I338" s="8"/>
      <c r="J338" s="51"/>
      <c r="K338" s="103"/>
      <c r="L338" s="104"/>
      <c r="M338" s="104"/>
      <c r="N338" s="104"/>
      <c r="O338" s="104"/>
      <c r="P338" s="54"/>
      <c r="Q338" s="20"/>
      <c r="R338" s="76"/>
      <c r="S338" s="76"/>
      <c r="T338" s="76"/>
      <c r="U338" s="76"/>
      <c r="V338" s="76"/>
      <c r="W338" s="76"/>
      <c r="X338" s="76"/>
      <c r="Y338" s="76"/>
      <c r="Z338" s="76"/>
      <c r="AA338" s="76"/>
      <c r="AB338" s="76"/>
      <c r="AC338" s="76"/>
    </row>
    <row r="339" spans="1:29">
      <c r="A339" s="35"/>
      <c r="B339" s="20"/>
      <c r="C339" s="16"/>
      <c r="D339" s="16"/>
      <c r="E339" s="16"/>
      <c r="F339" s="20"/>
      <c r="G339" s="16"/>
      <c r="H339" s="26"/>
      <c r="I339" s="8"/>
      <c r="J339" s="51"/>
      <c r="K339" s="103"/>
      <c r="L339" s="104"/>
      <c r="M339" s="104"/>
      <c r="N339" s="104"/>
      <c r="O339" s="104"/>
      <c r="P339" s="54"/>
      <c r="Q339" s="20"/>
      <c r="R339" s="76"/>
      <c r="S339" s="76"/>
      <c r="T339" s="76"/>
      <c r="U339" s="76"/>
      <c r="V339" s="76"/>
      <c r="W339" s="76"/>
      <c r="X339" s="76"/>
      <c r="Y339" s="76"/>
      <c r="Z339" s="76"/>
      <c r="AA339" s="76"/>
      <c r="AB339" s="76"/>
      <c r="AC339" s="76"/>
    </row>
    <row r="340" spans="1:29">
      <c r="A340" s="35"/>
      <c r="B340" s="20"/>
      <c r="C340" s="16"/>
      <c r="D340" s="16"/>
      <c r="E340" s="16"/>
      <c r="F340" s="20"/>
      <c r="G340" s="16"/>
      <c r="H340" s="26"/>
      <c r="I340" s="8"/>
      <c r="J340" s="51"/>
      <c r="K340" s="103"/>
      <c r="L340" s="104"/>
      <c r="M340" s="104"/>
      <c r="N340" s="104"/>
      <c r="O340" s="104"/>
      <c r="P340" s="54"/>
      <c r="Q340" s="20"/>
      <c r="R340" s="76"/>
      <c r="S340" s="76"/>
      <c r="T340" s="76"/>
      <c r="U340" s="76"/>
      <c r="V340" s="76"/>
      <c r="W340" s="76"/>
      <c r="X340" s="76"/>
      <c r="Y340" s="76"/>
      <c r="Z340" s="76"/>
      <c r="AA340" s="76"/>
      <c r="AB340" s="76"/>
      <c r="AC340" s="76"/>
    </row>
    <row r="341" spans="1:29">
      <c r="A341" s="35"/>
      <c r="B341" s="20"/>
      <c r="C341" s="16"/>
      <c r="D341" s="16"/>
      <c r="E341" s="16"/>
      <c r="F341" s="20"/>
      <c r="G341" s="16"/>
      <c r="H341" s="26"/>
      <c r="I341" s="8"/>
      <c r="J341" s="51"/>
      <c r="K341" s="103"/>
      <c r="L341" s="104"/>
      <c r="M341" s="104"/>
      <c r="N341" s="104"/>
      <c r="O341" s="104"/>
      <c r="P341" s="54"/>
      <c r="Q341" s="20"/>
      <c r="R341" s="76"/>
      <c r="S341" s="76"/>
      <c r="T341" s="76"/>
      <c r="U341" s="76"/>
      <c r="V341" s="76"/>
      <c r="W341" s="76"/>
      <c r="X341" s="76"/>
      <c r="Y341" s="76"/>
      <c r="Z341" s="76"/>
      <c r="AA341" s="76"/>
      <c r="AB341" s="76"/>
      <c r="AC341" s="76"/>
    </row>
    <row r="342" spans="1:29">
      <c r="A342" s="35"/>
      <c r="B342" s="20"/>
      <c r="C342" s="16"/>
      <c r="D342" s="16"/>
      <c r="E342" s="16"/>
      <c r="F342" s="20"/>
      <c r="G342" s="16"/>
      <c r="H342" s="26"/>
      <c r="I342" s="8"/>
      <c r="J342" s="51"/>
      <c r="K342" s="103"/>
      <c r="L342" s="104"/>
      <c r="M342" s="104"/>
      <c r="N342" s="104"/>
      <c r="O342" s="104"/>
      <c r="P342" s="54"/>
      <c r="Q342" s="20"/>
      <c r="R342" s="76"/>
      <c r="S342" s="76"/>
      <c r="T342" s="76"/>
      <c r="U342" s="76"/>
      <c r="V342" s="76"/>
      <c r="W342" s="76"/>
      <c r="X342" s="76"/>
      <c r="Y342" s="76"/>
      <c r="Z342" s="76"/>
      <c r="AA342" s="76"/>
      <c r="AB342" s="76"/>
      <c r="AC342" s="76"/>
    </row>
    <row r="343" spans="1:29">
      <c r="A343" s="35"/>
      <c r="B343" s="20"/>
      <c r="C343" s="16"/>
      <c r="D343" s="16"/>
      <c r="E343" s="16"/>
      <c r="F343" s="20"/>
      <c r="G343" s="16"/>
      <c r="H343" s="26"/>
      <c r="I343" s="8"/>
      <c r="J343" s="51"/>
      <c r="K343" s="103"/>
      <c r="L343" s="104"/>
      <c r="M343" s="104"/>
      <c r="N343" s="104"/>
      <c r="O343" s="104"/>
      <c r="P343" s="54"/>
      <c r="Q343" s="20"/>
      <c r="R343" s="76"/>
      <c r="S343" s="76"/>
      <c r="T343" s="76"/>
      <c r="U343" s="76"/>
      <c r="V343" s="76"/>
      <c r="W343" s="76"/>
      <c r="X343" s="76"/>
      <c r="Y343" s="76"/>
      <c r="Z343" s="76"/>
      <c r="AA343" s="76"/>
      <c r="AB343" s="76"/>
      <c r="AC343" s="76"/>
    </row>
    <row r="344" spans="1:29">
      <c r="A344" s="35"/>
      <c r="B344" s="20"/>
      <c r="C344" s="16"/>
      <c r="D344" s="16"/>
      <c r="E344" s="16"/>
      <c r="F344" s="20"/>
      <c r="G344" s="16"/>
      <c r="H344" s="26"/>
      <c r="I344" s="8"/>
      <c r="J344" s="51"/>
      <c r="K344" s="103"/>
      <c r="L344" s="104"/>
      <c r="M344" s="104"/>
      <c r="N344" s="104"/>
      <c r="O344" s="104"/>
      <c r="P344" s="54"/>
      <c r="Q344" s="20"/>
      <c r="R344" s="76"/>
      <c r="S344" s="76"/>
      <c r="T344" s="76"/>
      <c r="U344" s="76"/>
      <c r="V344" s="76"/>
      <c r="W344" s="76"/>
      <c r="X344" s="76"/>
      <c r="Y344" s="76"/>
      <c r="Z344" s="76"/>
      <c r="AA344" s="76"/>
      <c r="AB344" s="76"/>
      <c r="AC344" s="76"/>
    </row>
    <row r="345" spans="1:29">
      <c r="A345" s="35"/>
      <c r="B345" s="20"/>
      <c r="C345" s="16"/>
      <c r="D345" s="16"/>
      <c r="E345" s="16"/>
      <c r="F345" s="20"/>
      <c r="G345" s="16"/>
      <c r="H345" s="26"/>
      <c r="I345" s="8"/>
      <c r="J345" s="51"/>
      <c r="K345" s="103"/>
      <c r="L345" s="104"/>
      <c r="M345" s="104"/>
      <c r="N345" s="104"/>
      <c r="O345" s="104"/>
      <c r="P345" s="54"/>
      <c r="Q345" s="20"/>
      <c r="R345" s="76"/>
      <c r="S345" s="76"/>
      <c r="T345" s="76"/>
      <c r="U345" s="76"/>
      <c r="V345" s="76"/>
      <c r="W345" s="76"/>
      <c r="X345" s="76"/>
      <c r="Y345" s="76"/>
      <c r="Z345" s="76"/>
      <c r="AA345" s="76"/>
      <c r="AB345" s="76"/>
      <c r="AC345" s="76"/>
    </row>
    <row r="346" spans="1:29">
      <c r="A346" s="35"/>
      <c r="B346" s="20"/>
      <c r="C346" s="16"/>
      <c r="D346" s="16"/>
      <c r="E346" s="16"/>
      <c r="F346" s="20"/>
      <c r="G346" s="16"/>
      <c r="H346" s="26"/>
      <c r="I346" s="8"/>
      <c r="J346" s="51"/>
      <c r="K346" s="103"/>
      <c r="L346" s="104"/>
      <c r="M346" s="104"/>
      <c r="N346" s="104"/>
      <c r="O346" s="104"/>
      <c r="P346" s="54"/>
      <c r="Q346" s="20"/>
      <c r="R346" s="76"/>
      <c r="S346" s="76"/>
      <c r="T346" s="76"/>
      <c r="U346" s="76"/>
      <c r="V346" s="76"/>
      <c r="W346" s="76"/>
      <c r="X346" s="76"/>
      <c r="Y346" s="76"/>
      <c r="Z346" s="76"/>
      <c r="AA346" s="76"/>
      <c r="AB346" s="76"/>
      <c r="AC346" s="76"/>
    </row>
    <row r="347" spans="1:29">
      <c r="A347" s="35"/>
      <c r="B347" s="20"/>
      <c r="C347" s="16"/>
      <c r="D347" s="16"/>
      <c r="E347" s="16"/>
      <c r="F347" s="20"/>
      <c r="G347" s="16"/>
      <c r="H347" s="26"/>
      <c r="I347" s="8"/>
      <c r="J347" s="51"/>
      <c r="K347" s="103"/>
      <c r="L347" s="104"/>
      <c r="M347" s="104"/>
      <c r="N347" s="104"/>
      <c r="O347" s="104"/>
      <c r="P347" s="54"/>
      <c r="Q347" s="20"/>
      <c r="R347" s="76"/>
      <c r="S347" s="76"/>
      <c r="T347" s="76"/>
      <c r="U347" s="76"/>
      <c r="V347" s="76"/>
      <c r="W347" s="76"/>
      <c r="X347" s="76"/>
      <c r="Y347" s="76"/>
      <c r="Z347" s="76"/>
      <c r="AA347" s="76"/>
      <c r="AB347" s="76"/>
      <c r="AC347" s="76"/>
    </row>
    <row r="348" spans="1:29">
      <c r="A348" s="35"/>
      <c r="B348" s="20"/>
      <c r="C348" s="16"/>
      <c r="D348" s="16"/>
      <c r="E348" s="16"/>
      <c r="F348" s="20"/>
      <c r="G348" s="16"/>
      <c r="H348" s="26"/>
      <c r="I348" s="8"/>
      <c r="J348" s="51"/>
      <c r="K348" s="103"/>
      <c r="L348" s="104"/>
      <c r="M348" s="104"/>
      <c r="N348" s="104"/>
      <c r="O348" s="104"/>
      <c r="P348" s="54"/>
      <c r="Q348" s="20"/>
      <c r="R348" s="76"/>
      <c r="S348" s="76"/>
      <c r="T348" s="76"/>
      <c r="U348" s="76"/>
      <c r="V348" s="76"/>
      <c r="W348" s="76"/>
      <c r="X348" s="76"/>
      <c r="Y348" s="76"/>
      <c r="Z348" s="76"/>
      <c r="AA348" s="76"/>
      <c r="AB348" s="76"/>
      <c r="AC348" s="76"/>
    </row>
    <row r="349" spans="1:29">
      <c r="A349" s="35"/>
      <c r="B349" s="20"/>
      <c r="C349" s="16"/>
      <c r="D349" s="16"/>
      <c r="E349" s="16"/>
      <c r="F349" s="20"/>
      <c r="G349" s="16"/>
      <c r="H349" s="26"/>
      <c r="I349" s="8"/>
      <c r="J349" s="51"/>
      <c r="K349" s="103"/>
      <c r="L349" s="104"/>
      <c r="M349" s="104"/>
      <c r="N349" s="104"/>
      <c r="O349" s="104"/>
      <c r="P349" s="54"/>
      <c r="Q349" s="20"/>
      <c r="R349" s="76"/>
      <c r="S349" s="76"/>
      <c r="T349" s="76"/>
      <c r="U349" s="76"/>
      <c r="V349" s="76"/>
      <c r="W349" s="76"/>
      <c r="X349" s="76"/>
      <c r="Y349" s="76"/>
      <c r="Z349" s="76"/>
      <c r="AA349" s="76"/>
      <c r="AB349" s="76"/>
      <c r="AC349" s="76"/>
    </row>
    <row r="350" spans="1:29">
      <c r="A350" s="35"/>
      <c r="B350" s="20"/>
      <c r="C350" s="16"/>
      <c r="D350" s="16"/>
      <c r="E350" s="16"/>
      <c r="F350" s="20"/>
      <c r="G350" s="16"/>
      <c r="H350" s="26"/>
      <c r="I350" s="8"/>
      <c r="J350" s="51"/>
      <c r="K350" s="103"/>
      <c r="L350" s="104"/>
      <c r="M350" s="104"/>
      <c r="N350" s="104"/>
      <c r="O350" s="104"/>
      <c r="P350" s="54"/>
      <c r="Q350" s="20"/>
      <c r="R350" s="76"/>
      <c r="S350" s="76"/>
      <c r="T350" s="76"/>
      <c r="U350" s="76"/>
      <c r="V350" s="76"/>
      <c r="W350" s="76"/>
      <c r="X350" s="76"/>
      <c r="Y350" s="76"/>
      <c r="Z350" s="76"/>
      <c r="AA350" s="76"/>
      <c r="AB350" s="76"/>
      <c r="AC350" s="76"/>
    </row>
    <row r="351" spans="1:29">
      <c r="A351" s="35"/>
      <c r="B351" s="20"/>
      <c r="C351" s="16"/>
      <c r="D351" s="16"/>
      <c r="E351" s="16"/>
      <c r="F351" s="20"/>
      <c r="G351" s="16"/>
      <c r="H351" s="26"/>
      <c r="I351" s="8"/>
      <c r="J351" s="51"/>
      <c r="K351" s="103"/>
      <c r="L351" s="104"/>
      <c r="M351" s="104"/>
      <c r="N351" s="104"/>
      <c r="O351" s="104"/>
      <c r="P351" s="54"/>
      <c r="Q351" s="20"/>
      <c r="R351" s="76"/>
      <c r="S351" s="76"/>
      <c r="T351" s="76"/>
      <c r="U351" s="76"/>
      <c r="V351" s="76"/>
      <c r="W351" s="76"/>
      <c r="X351" s="76"/>
      <c r="Y351" s="76"/>
      <c r="Z351" s="76"/>
      <c r="AA351" s="76"/>
      <c r="AB351" s="76"/>
      <c r="AC351" s="76"/>
    </row>
    <row r="352" spans="1:29">
      <c r="A352" s="35"/>
      <c r="B352" s="20"/>
      <c r="C352" s="16"/>
      <c r="D352" s="16"/>
      <c r="E352" s="16"/>
      <c r="F352" s="20"/>
      <c r="G352" s="16"/>
      <c r="H352" s="26"/>
      <c r="I352" s="8"/>
      <c r="J352" s="51"/>
      <c r="K352" s="103"/>
      <c r="L352" s="104"/>
      <c r="M352" s="104"/>
      <c r="N352" s="104"/>
      <c r="O352" s="104"/>
      <c r="P352" s="54"/>
      <c r="Q352" s="20"/>
      <c r="R352" s="76"/>
      <c r="S352" s="76"/>
      <c r="T352" s="76"/>
      <c r="U352" s="76"/>
      <c r="V352" s="76"/>
      <c r="W352" s="76"/>
      <c r="X352" s="76"/>
      <c r="Y352" s="76"/>
      <c r="Z352" s="76"/>
      <c r="AA352" s="76"/>
      <c r="AB352" s="76"/>
      <c r="AC352" s="76"/>
    </row>
    <row r="353" spans="1:29">
      <c r="A353" s="35"/>
      <c r="B353" s="20"/>
      <c r="C353" s="16"/>
      <c r="D353" s="16"/>
      <c r="E353" s="16"/>
      <c r="F353" s="20"/>
      <c r="G353" s="16"/>
      <c r="H353" s="26"/>
      <c r="I353" s="8"/>
      <c r="J353" s="51"/>
      <c r="K353" s="103"/>
      <c r="L353" s="104"/>
      <c r="M353" s="104"/>
      <c r="N353" s="104"/>
      <c r="O353" s="104"/>
      <c r="P353" s="54"/>
      <c r="Q353" s="20"/>
      <c r="R353" s="76"/>
      <c r="S353" s="76"/>
      <c r="T353" s="76"/>
      <c r="U353" s="76"/>
      <c r="V353" s="76"/>
      <c r="W353" s="76"/>
      <c r="X353" s="76"/>
      <c r="Y353" s="76"/>
      <c r="Z353" s="76"/>
      <c r="AA353" s="76"/>
      <c r="AB353" s="76"/>
      <c r="AC353" s="76"/>
    </row>
    <row r="354" spans="1:29">
      <c r="A354" s="35"/>
      <c r="B354" s="20"/>
      <c r="C354" s="16"/>
      <c r="D354" s="16"/>
      <c r="E354" s="16"/>
      <c r="F354" s="20"/>
      <c r="G354" s="16"/>
      <c r="H354" s="26"/>
      <c r="I354" s="8"/>
      <c r="J354" s="51"/>
      <c r="K354" s="103"/>
      <c r="L354" s="104"/>
      <c r="M354" s="104"/>
      <c r="N354" s="104"/>
      <c r="O354" s="104"/>
      <c r="P354" s="54"/>
      <c r="Q354" s="20"/>
      <c r="R354" s="76"/>
      <c r="S354" s="76"/>
      <c r="T354" s="76"/>
      <c r="U354" s="76"/>
      <c r="V354" s="76"/>
      <c r="W354" s="76"/>
      <c r="X354" s="76"/>
      <c r="Y354" s="76"/>
      <c r="Z354" s="76"/>
      <c r="AA354" s="76"/>
      <c r="AB354" s="76"/>
      <c r="AC354" s="76"/>
    </row>
    <row r="355" spans="1:29">
      <c r="A355" s="35"/>
      <c r="B355" s="20"/>
      <c r="C355" s="16"/>
      <c r="D355" s="16"/>
      <c r="E355" s="16"/>
      <c r="F355" s="20"/>
      <c r="G355" s="16"/>
      <c r="H355" s="26"/>
      <c r="I355" s="8"/>
      <c r="J355" s="51"/>
      <c r="K355" s="103"/>
      <c r="L355" s="104"/>
      <c r="M355" s="104"/>
      <c r="N355" s="104"/>
      <c r="O355" s="104"/>
      <c r="P355" s="54"/>
      <c r="Q355" s="20"/>
      <c r="R355" s="76"/>
      <c r="S355" s="76"/>
      <c r="T355" s="76"/>
      <c r="U355" s="76"/>
      <c r="V355" s="76"/>
      <c r="W355" s="76"/>
      <c r="X355" s="76"/>
      <c r="Y355" s="76"/>
      <c r="Z355" s="76"/>
      <c r="AA355" s="76"/>
      <c r="AB355" s="76"/>
      <c r="AC355" s="76"/>
    </row>
    <row r="356" spans="1:29">
      <c r="A356" s="35"/>
      <c r="B356" s="20"/>
      <c r="C356" s="16"/>
      <c r="D356" s="16"/>
      <c r="E356" s="16"/>
      <c r="F356" s="20"/>
      <c r="G356" s="16"/>
      <c r="H356" s="26"/>
      <c r="I356" s="8"/>
      <c r="J356" s="51"/>
      <c r="K356" s="103"/>
      <c r="L356" s="104"/>
      <c r="M356" s="104"/>
      <c r="N356" s="104"/>
      <c r="O356" s="104"/>
      <c r="P356" s="54"/>
      <c r="Q356" s="20"/>
      <c r="R356" s="76"/>
      <c r="S356" s="76"/>
      <c r="T356" s="76"/>
      <c r="U356" s="76"/>
      <c r="V356" s="76"/>
      <c r="W356" s="76"/>
      <c r="X356" s="76"/>
      <c r="Y356" s="76"/>
      <c r="Z356" s="76"/>
      <c r="AA356" s="76"/>
      <c r="AB356" s="76"/>
      <c r="AC356" s="76"/>
    </row>
    <row r="357" spans="1:29">
      <c r="A357" s="35"/>
      <c r="B357" s="20"/>
      <c r="C357" s="16"/>
      <c r="D357" s="16"/>
      <c r="E357" s="16"/>
      <c r="F357" s="20"/>
      <c r="G357" s="16"/>
      <c r="H357" s="26"/>
      <c r="I357" s="8"/>
      <c r="J357" s="51"/>
      <c r="K357" s="103"/>
      <c r="L357" s="104"/>
      <c r="M357" s="104"/>
      <c r="N357" s="104"/>
      <c r="O357" s="104"/>
      <c r="P357" s="54"/>
      <c r="Q357" s="20"/>
      <c r="R357" s="76"/>
      <c r="S357" s="76"/>
      <c r="T357" s="76"/>
      <c r="U357" s="76"/>
      <c r="V357" s="76"/>
      <c r="W357" s="76"/>
      <c r="X357" s="76"/>
      <c r="Y357" s="76"/>
      <c r="Z357" s="76"/>
      <c r="AA357" s="76"/>
      <c r="AB357" s="76"/>
      <c r="AC357" s="76"/>
    </row>
    <row r="358" spans="1:29">
      <c r="A358" s="35"/>
      <c r="B358" s="20"/>
      <c r="C358" s="16"/>
      <c r="D358" s="16"/>
      <c r="E358" s="16"/>
      <c r="F358" s="20"/>
      <c r="G358" s="16"/>
      <c r="H358" s="26"/>
      <c r="I358" s="8"/>
      <c r="J358" s="51"/>
      <c r="K358" s="103"/>
      <c r="L358" s="104"/>
      <c r="M358" s="104"/>
      <c r="N358" s="104"/>
      <c r="O358" s="104"/>
      <c r="P358" s="54"/>
      <c r="Q358" s="20"/>
      <c r="R358" s="76"/>
      <c r="S358" s="76"/>
      <c r="T358" s="76"/>
      <c r="U358" s="76"/>
      <c r="V358" s="76"/>
      <c r="W358" s="76"/>
      <c r="X358" s="76"/>
      <c r="Y358" s="76"/>
      <c r="Z358" s="76"/>
      <c r="AA358" s="76"/>
      <c r="AB358" s="76"/>
      <c r="AC358" s="76"/>
    </row>
    <row r="359" spans="1:29">
      <c r="A359" s="35"/>
      <c r="B359" s="20"/>
      <c r="C359" s="16"/>
      <c r="D359" s="16"/>
      <c r="E359" s="16"/>
      <c r="F359" s="20"/>
      <c r="G359" s="16"/>
      <c r="H359" s="26"/>
      <c r="I359" s="8"/>
      <c r="J359" s="51"/>
      <c r="K359" s="103"/>
      <c r="L359" s="104"/>
      <c r="M359" s="104"/>
      <c r="N359" s="104"/>
      <c r="O359" s="104"/>
      <c r="P359" s="54"/>
      <c r="Q359" s="20"/>
      <c r="R359" s="76"/>
      <c r="S359" s="76"/>
      <c r="T359" s="76"/>
      <c r="U359" s="76"/>
      <c r="V359" s="76"/>
      <c r="W359" s="76"/>
      <c r="X359" s="76"/>
      <c r="Y359" s="76"/>
      <c r="Z359" s="76"/>
      <c r="AA359" s="76"/>
      <c r="AB359" s="76"/>
      <c r="AC359" s="76"/>
    </row>
    <row r="360" spans="1:29">
      <c r="A360" s="35"/>
      <c r="B360" s="20"/>
      <c r="C360" s="16"/>
      <c r="D360" s="16"/>
      <c r="E360" s="16"/>
      <c r="F360" s="20"/>
      <c r="G360" s="16"/>
      <c r="H360" s="26"/>
      <c r="I360" s="8"/>
      <c r="J360" s="51"/>
      <c r="K360" s="103"/>
      <c r="L360" s="104"/>
      <c r="M360" s="104"/>
      <c r="N360" s="104"/>
      <c r="O360" s="104"/>
      <c r="P360" s="54"/>
      <c r="Q360" s="20"/>
      <c r="R360" s="76"/>
      <c r="S360" s="76"/>
      <c r="T360" s="76"/>
      <c r="U360" s="76"/>
      <c r="V360" s="76"/>
      <c r="W360" s="76"/>
      <c r="X360" s="76"/>
      <c r="Y360" s="76"/>
      <c r="Z360" s="76"/>
      <c r="AA360" s="76"/>
      <c r="AB360" s="76"/>
      <c r="AC360" s="76"/>
    </row>
    <row r="361" spans="1:29">
      <c r="A361" s="35"/>
      <c r="B361" s="20"/>
      <c r="C361" s="16"/>
      <c r="D361" s="16"/>
      <c r="E361" s="16"/>
      <c r="F361" s="20"/>
      <c r="G361" s="16"/>
      <c r="H361" s="26"/>
      <c r="I361" s="8"/>
      <c r="J361" s="51"/>
      <c r="K361" s="103"/>
      <c r="L361" s="104"/>
      <c r="M361" s="104"/>
      <c r="N361" s="104"/>
      <c r="O361" s="104"/>
      <c r="P361" s="54"/>
      <c r="Q361" s="20"/>
      <c r="R361" s="76"/>
      <c r="S361" s="76"/>
      <c r="T361" s="76"/>
      <c r="U361" s="76"/>
      <c r="V361" s="76"/>
      <c r="W361" s="76"/>
      <c r="X361" s="76"/>
      <c r="Y361" s="76"/>
      <c r="Z361" s="76"/>
      <c r="AA361" s="76"/>
      <c r="AB361" s="76"/>
      <c r="AC361" s="76"/>
    </row>
    <row r="362" spans="1:29">
      <c r="A362" s="35"/>
      <c r="B362" s="20"/>
      <c r="C362" s="16"/>
      <c r="D362" s="16"/>
      <c r="E362" s="16"/>
      <c r="F362" s="20"/>
      <c r="G362" s="16"/>
      <c r="H362" s="26"/>
      <c r="I362" s="8"/>
      <c r="J362" s="51"/>
      <c r="K362" s="103"/>
      <c r="L362" s="104"/>
      <c r="M362" s="104"/>
      <c r="N362" s="104"/>
      <c r="O362" s="104"/>
      <c r="P362" s="54"/>
      <c r="Q362" s="20"/>
      <c r="R362" s="76"/>
      <c r="S362" s="76"/>
      <c r="T362" s="76"/>
      <c r="U362" s="76"/>
      <c r="V362" s="76"/>
      <c r="W362" s="76"/>
      <c r="X362" s="76"/>
      <c r="Y362" s="76"/>
      <c r="Z362" s="76"/>
      <c r="AA362" s="76"/>
      <c r="AB362" s="76"/>
      <c r="AC362" s="76"/>
    </row>
    <row r="363" spans="1:29">
      <c r="A363" s="35"/>
      <c r="B363" s="20"/>
      <c r="C363" s="16"/>
      <c r="D363" s="16"/>
      <c r="E363" s="16"/>
      <c r="F363" s="20"/>
      <c r="G363" s="16"/>
      <c r="H363" s="26"/>
      <c r="I363" s="8"/>
      <c r="J363" s="51"/>
      <c r="K363" s="103"/>
      <c r="L363" s="104"/>
      <c r="M363" s="104"/>
      <c r="N363" s="104"/>
      <c r="O363" s="104"/>
      <c r="P363" s="54"/>
      <c r="Q363" s="20"/>
      <c r="R363" s="76"/>
      <c r="S363" s="76"/>
      <c r="T363" s="76"/>
      <c r="U363" s="76"/>
      <c r="V363" s="76"/>
      <c r="W363" s="76"/>
      <c r="X363" s="76"/>
      <c r="Y363" s="76"/>
      <c r="Z363" s="76"/>
      <c r="AA363" s="76"/>
      <c r="AB363" s="76"/>
      <c r="AC363" s="76"/>
    </row>
    <row r="364" spans="1:29">
      <c r="A364" s="35"/>
      <c r="B364" s="20"/>
      <c r="C364" s="16"/>
      <c r="D364" s="16"/>
      <c r="E364" s="16"/>
      <c r="F364" s="20"/>
      <c r="G364" s="16"/>
      <c r="H364" s="26"/>
      <c r="I364" s="8"/>
      <c r="J364" s="51"/>
      <c r="K364" s="103"/>
      <c r="L364" s="104"/>
      <c r="M364" s="104"/>
      <c r="N364" s="104"/>
      <c r="O364" s="104"/>
      <c r="P364" s="54"/>
      <c r="Q364" s="20"/>
      <c r="R364" s="76"/>
      <c r="S364" s="76"/>
      <c r="T364" s="76"/>
      <c r="U364" s="76"/>
      <c r="V364" s="76"/>
      <c r="W364" s="76"/>
      <c r="X364" s="76"/>
      <c r="Y364" s="76"/>
      <c r="Z364" s="76"/>
      <c r="AA364" s="76"/>
      <c r="AB364" s="76"/>
      <c r="AC364" s="76"/>
    </row>
    <row r="365" spans="1:29">
      <c r="A365" s="35"/>
      <c r="B365" s="20"/>
      <c r="C365" s="16"/>
      <c r="D365" s="16"/>
      <c r="E365" s="16"/>
      <c r="F365" s="20"/>
      <c r="G365" s="16"/>
      <c r="H365" s="26"/>
      <c r="I365" s="8"/>
      <c r="J365" s="51"/>
      <c r="K365" s="103"/>
      <c r="L365" s="104"/>
      <c r="M365" s="104"/>
      <c r="N365" s="104"/>
      <c r="O365" s="104"/>
      <c r="P365" s="54"/>
      <c r="Q365" s="20"/>
      <c r="R365" s="76"/>
      <c r="S365" s="76"/>
      <c r="T365" s="76"/>
      <c r="U365" s="76"/>
      <c r="V365" s="76"/>
      <c r="W365" s="76"/>
      <c r="X365" s="76"/>
      <c r="Y365" s="76"/>
      <c r="Z365" s="76"/>
      <c r="AA365" s="76"/>
      <c r="AB365" s="76"/>
      <c r="AC365" s="76"/>
    </row>
    <row r="366" spans="1:29">
      <c r="A366" s="35"/>
      <c r="B366" s="20"/>
      <c r="C366" s="16"/>
      <c r="D366" s="16"/>
      <c r="E366" s="16"/>
      <c r="F366" s="20"/>
      <c r="G366" s="16"/>
      <c r="H366" s="26"/>
      <c r="I366" s="8"/>
      <c r="J366" s="51"/>
      <c r="K366" s="103"/>
      <c r="L366" s="104"/>
      <c r="M366" s="104"/>
      <c r="N366" s="104"/>
      <c r="O366" s="104"/>
      <c r="P366" s="54"/>
      <c r="Q366" s="20"/>
      <c r="R366" s="76"/>
      <c r="S366" s="76"/>
      <c r="T366" s="76"/>
      <c r="U366" s="76"/>
      <c r="V366" s="76"/>
      <c r="W366" s="76"/>
      <c r="X366" s="76"/>
      <c r="Y366" s="76"/>
      <c r="Z366" s="76"/>
      <c r="AA366" s="76"/>
      <c r="AB366" s="76"/>
      <c r="AC366" s="76"/>
    </row>
    <row r="367" spans="1:29">
      <c r="A367" s="35"/>
      <c r="B367" s="20"/>
      <c r="C367" s="16"/>
      <c r="D367" s="16"/>
      <c r="E367" s="16"/>
      <c r="F367" s="20"/>
      <c r="G367" s="16"/>
      <c r="H367" s="26"/>
      <c r="I367" s="8"/>
      <c r="J367" s="51"/>
      <c r="K367" s="103"/>
      <c r="L367" s="104"/>
      <c r="M367" s="104"/>
      <c r="N367" s="104"/>
      <c r="O367" s="104"/>
      <c r="P367" s="54"/>
      <c r="Q367" s="20"/>
      <c r="R367" s="76"/>
      <c r="S367" s="76"/>
      <c r="T367" s="76"/>
      <c r="U367" s="76"/>
      <c r="V367" s="76"/>
      <c r="W367" s="76"/>
      <c r="X367" s="76"/>
      <c r="Y367" s="76"/>
      <c r="Z367" s="76"/>
      <c r="AA367" s="76"/>
      <c r="AB367" s="76"/>
      <c r="AC367" s="76"/>
    </row>
    <row r="368" spans="1:29">
      <c r="A368" s="35"/>
      <c r="B368" s="20"/>
      <c r="C368" s="16"/>
      <c r="D368" s="16"/>
      <c r="E368" s="16"/>
      <c r="F368" s="20"/>
      <c r="G368" s="16"/>
      <c r="H368" s="26"/>
      <c r="I368" s="8"/>
      <c r="J368" s="51"/>
      <c r="K368" s="103"/>
      <c r="L368" s="104"/>
      <c r="M368" s="104"/>
      <c r="N368" s="104"/>
      <c r="O368" s="104"/>
      <c r="P368" s="54"/>
      <c r="Q368" s="20"/>
      <c r="R368" s="76"/>
      <c r="S368" s="76"/>
      <c r="T368" s="76"/>
      <c r="U368" s="76"/>
      <c r="V368" s="76"/>
      <c r="W368" s="76"/>
      <c r="X368" s="76"/>
      <c r="Y368" s="76"/>
      <c r="Z368" s="76"/>
      <c r="AA368" s="76"/>
      <c r="AB368" s="76"/>
      <c r="AC368" s="76"/>
    </row>
    <row r="369" spans="1:29">
      <c r="A369" s="35"/>
      <c r="B369" s="20"/>
      <c r="C369" s="16"/>
      <c r="D369" s="16"/>
      <c r="E369" s="16"/>
      <c r="F369" s="20"/>
      <c r="G369" s="16"/>
      <c r="H369" s="26"/>
      <c r="I369" s="8"/>
      <c r="J369" s="51"/>
      <c r="K369" s="103"/>
      <c r="L369" s="104"/>
      <c r="M369" s="104"/>
      <c r="N369" s="104"/>
      <c r="O369" s="104"/>
      <c r="P369" s="54"/>
      <c r="Q369" s="20"/>
      <c r="R369" s="76"/>
      <c r="S369" s="76"/>
      <c r="T369" s="76"/>
      <c r="U369" s="76"/>
      <c r="V369" s="76"/>
      <c r="W369" s="76"/>
      <c r="X369" s="76"/>
      <c r="Y369" s="76"/>
      <c r="Z369" s="76"/>
      <c r="AA369" s="76"/>
      <c r="AB369" s="76"/>
      <c r="AC369" s="76"/>
    </row>
    <row r="370" spans="1:29">
      <c r="A370" s="35"/>
      <c r="B370" s="20"/>
      <c r="C370" s="16"/>
      <c r="D370" s="16"/>
      <c r="E370" s="16"/>
      <c r="F370" s="20"/>
      <c r="G370" s="16"/>
      <c r="H370" s="26"/>
      <c r="I370" s="8"/>
      <c r="J370" s="51"/>
      <c r="K370" s="103"/>
      <c r="L370" s="104"/>
      <c r="M370" s="104"/>
      <c r="N370" s="104"/>
      <c r="O370" s="104"/>
      <c r="P370" s="54"/>
      <c r="Q370" s="20"/>
      <c r="R370" s="76"/>
      <c r="S370" s="76"/>
      <c r="T370" s="76"/>
      <c r="U370" s="76"/>
      <c r="V370" s="76"/>
      <c r="W370" s="76"/>
      <c r="X370" s="76"/>
      <c r="Y370" s="76"/>
      <c r="Z370" s="76"/>
      <c r="AA370" s="76"/>
      <c r="AB370" s="76"/>
      <c r="AC370" s="76"/>
    </row>
    <row r="371" spans="1:29">
      <c r="A371" s="35"/>
      <c r="B371" s="20"/>
      <c r="C371" s="16"/>
      <c r="D371" s="16"/>
      <c r="E371" s="16"/>
      <c r="F371" s="20"/>
      <c r="G371" s="16"/>
      <c r="H371" s="26"/>
      <c r="I371" s="8"/>
      <c r="J371" s="51"/>
      <c r="K371" s="103"/>
      <c r="L371" s="104"/>
      <c r="M371" s="104"/>
      <c r="N371" s="104"/>
      <c r="O371" s="104"/>
      <c r="P371" s="54"/>
      <c r="Q371" s="20"/>
      <c r="R371" s="76"/>
      <c r="S371" s="76"/>
      <c r="T371" s="76"/>
      <c r="U371" s="76"/>
      <c r="V371" s="76"/>
      <c r="W371" s="76"/>
      <c r="X371" s="76"/>
      <c r="Y371" s="76"/>
      <c r="Z371" s="76"/>
      <c r="AA371" s="76"/>
      <c r="AB371" s="76"/>
      <c r="AC371" s="76"/>
    </row>
    <row r="372" spans="1:29">
      <c r="A372" s="35"/>
      <c r="B372" s="20"/>
      <c r="C372" s="16"/>
      <c r="D372" s="16"/>
      <c r="E372" s="16"/>
      <c r="F372" s="20"/>
      <c r="G372" s="16"/>
      <c r="H372" s="26"/>
      <c r="I372" s="8"/>
      <c r="J372" s="51"/>
      <c r="K372" s="103"/>
      <c r="L372" s="104"/>
      <c r="M372" s="104"/>
      <c r="N372" s="104"/>
      <c r="O372" s="104"/>
      <c r="P372" s="54"/>
      <c r="Q372" s="20"/>
      <c r="R372" s="76"/>
      <c r="S372" s="76"/>
      <c r="T372" s="76"/>
      <c r="U372" s="76"/>
      <c r="V372" s="76"/>
      <c r="W372" s="76"/>
      <c r="X372" s="76"/>
      <c r="Y372" s="76"/>
      <c r="Z372" s="76"/>
      <c r="AA372" s="76"/>
      <c r="AB372" s="76"/>
      <c r="AC372" s="76"/>
    </row>
    <row r="373" spans="1:29">
      <c r="A373" s="35"/>
      <c r="B373" s="20"/>
      <c r="C373" s="16"/>
      <c r="D373" s="16"/>
      <c r="E373" s="16"/>
      <c r="F373" s="20"/>
      <c r="G373" s="16"/>
      <c r="H373" s="26"/>
      <c r="I373" s="8"/>
      <c r="J373" s="51"/>
      <c r="K373" s="103"/>
      <c r="L373" s="104"/>
      <c r="M373" s="104"/>
      <c r="N373" s="104"/>
      <c r="O373" s="104"/>
      <c r="P373" s="54"/>
      <c r="Q373" s="20"/>
      <c r="R373" s="76"/>
      <c r="S373" s="76"/>
      <c r="T373" s="76"/>
      <c r="U373" s="76"/>
      <c r="V373" s="76"/>
      <c r="W373" s="76"/>
      <c r="X373" s="76"/>
      <c r="Y373" s="76"/>
      <c r="Z373" s="76"/>
      <c r="AA373" s="76"/>
      <c r="AB373" s="76"/>
      <c r="AC373" s="76"/>
    </row>
    <row r="374" spans="1:29">
      <c r="A374" s="35"/>
      <c r="B374" s="20"/>
      <c r="C374" s="16"/>
      <c r="D374" s="16"/>
      <c r="E374" s="16"/>
      <c r="F374" s="20"/>
      <c r="G374" s="16"/>
      <c r="H374" s="26"/>
      <c r="I374" s="8"/>
      <c r="J374" s="51"/>
      <c r="K374" s="103"/>
      <c r="L374" s="104"/>
      <c r="M374" s="104"/>
      <c r="N374" s="104"/>
      <c r="O374" s="104"/>
      <c r="P374" s="54"/>
      <c r="Q374" s="20"/>
      <c r="R374" s="76"/>
      <c r="S374" s="76"/>
      <c r="T374" s="76"/>
      <c r="U374" s="76"/>
      <c r="V374" s="76"/>
      <c r="W374" s="76"/>
      <c r="X374" s="76"/>
      <c r="Y374" s="76"/>
      <c r="Z374" s="76"/>
      <c r="AA374" s="76"/>
      <c r="AB374" s="76"/>
      <c r="AC374" s="76"/>
    </row>
    <row r="375" spans="1:29">
      <c r="A375" s="35"/>
      <c r="B375" s="20"/>
      <c r="C375" s="16"/>
      <c r="D375" s="16"/>
      <c r="E375" s="16"/>
      <c r="F375" s="20"/>
      <c r="G375" s="16"/>
      <c r="H375" s="26"/>
      <c r="I375" s="8"/>
      <c r="J375" s="51"/>
      <c r="K375" s="103"/>
      <c r="L375" s="104"/>
      <c r="M375" s="104"/>
      <c r="N375" s="104"/>
      <c r="O375" s="104"/>
      <c r="P375" s="54"/>
      <c r="Q375" s="20"/>
      <c r="R375" s="76"/>
      <c r="S375" s="76"/>
      <c r="T375" s="76"/>
      <c r="U375" s="76"/>
      <c r="V375" s="76"/>
      <c r="W375" s="76"/>
      <c r="X375" s="76"/>
      <c r="Y375" s="76"/>
      <c r="Z375" s="76"/>
      <c r="AA375" s="76"/>
      <c r="AB375" s="76"/>
      <c r="AC375" s="76"/>
    </row>
    <row r="376" spans="1:29">
      <c r="A376" s="35"/>
      <c r="B376" s="20"/>
      <c r="C376" s="16"/>
      <c r="D376" s="16"/>
      <c r="E376" s="16"/>
      <c r="F376" s="20"/>
      <c r="G376" s="16"/>
      <c r="H376" s="26"/>
      <c r="I376" s="8"/>
      <c r="J376" s="51"/>
      <c r="K376" s="103"/>
      <c r="L376" s="104"/>
      <c r="M376" s="104"/>
      <c r="N376" s="104"/>
      <c r="O376" s="104"/>
      <c r="P376" s="54"/>
      <c r="Q376" s="20"/>
      <c r="R376" s="76"/>
      <c r="S376" s="76"/>
      <c r="T376" s="76"/>
      <c r="U376" s="76"/>
      <c r="V376" s="76"/>
      <c r="W376" s="76"/>
      <c r="X376" s="76"/>
      <c r="Y376" s="76"/>
      <c r="Z376" s="76"/>
      <c r="AA376" s="76"/>
      <c r="AB376" s="76"/>
      <c r="AC376" s="76"/>
    </row>
    <row r="377" spans="1:29">
      <c r="A377" s="35"/>
      <c r="B377" s="20"/>
      <c r="C377" s="16"/>
      <c r="D377" s="16"/>
      <c r="E377" s="16"/>
      <c r="F377" s="20"/>
      <c r="G377" s="16"/>
      <c r="H377" s="26"/>
      <c r="I377" s="8"/>
      <c r="J377" s="51"/>
      <c r="K377" s="103"/>
      <c r="L377" s="104"/>
      <c r="M377" s="104"/>
      <c r="N377" s="104"/>
      <c r="O377" s="104"/>
      <c r="P377" s="54"/>
      <c r="Q377" s="20"/>
      <c r="R377" s="76"/>
      <c r="S377" s="76"/>
      <c r="T377" s="76"/>
      <c r="U377" s="76"/>
      <c r="V377" s="76"/>
      <c r="W377" s="76"/>
      <c r="X377" s="76"/>
      <c r="Y377" s="76"/>
      <c r="Z377" s="76"/>
      <c r="AA377" s="76"/>
      <c r="AB377" s="76"/>
      <c r="AC377" s="76"/>
    </row>
    <row r="378" spans="1:29">
      <c r="A378" s="35"/>
      <c r="B378" s="20"/>
      <c r="C378" s="16"/>
      <c r="D378" s="16"/>
      <c r="E378" s="16"/>
      <c r="F378" s="20"/>
      <c r="G378" s="16"/>
      <c r="H378" s="26"/>
      <c r="I378" s="8"/>
      <c r="J378" s="51"/>
      <c r="K378" s="103"/>
      <c r="L378" s="104"/>
      <c r="M378" s="104"/>
      <c r="N378" s="104"/>
      <c r="O378" s="104"/>
      <c r="P378" s="54"/>
      <c r="Q378" s="20"/>
      <c r="R378" s="76"/>
      <c r="S378" s="76"/>
      <c r="T378" s="76"/>
      <c r="U378" s="76"/>
      <c r="V378" s="76"/>
      <c r="W378" s="76"/>
      <c r="X378" s="76"/>
      <c r="Y378" s="76"/>
      <c r="Z378" s="76"/>
      <c r="AA378" s="76"/>
      <c r="AB378" s="76"/>
      <c r="AC378" s="76"/>
    </row>
    <row r="379" spans="1:29">
      <c r="A379" s="35"/>
      <c r="B379" s="20"/>
      <c r="C379" s="16"/>
      <c r="D379" s="16"/>
      <c r="E379" s="16"/>
      <c r="F379" s="20"/>
      <c r="G379" s="16"/>
      <c r="H379" s="26"/>
      <c r="I379" s="8"/>
      <c r="J379" s="51"/>
      <c r="K379" s="103"/>
      <c r="L379" s="104"/>
      <c r="M379" s="104"/>
      <c r="N379" s="104"/>
      <c r="O379" s="104"/>
      <c r="P379" s="54"/>
      <c r="Q379" s="20"/>
      <c r="R379" s="76"/>
      <c r="S379" s="76"/>
      <c r="T379" s="76"/>
      <c r="U379" s="76"/>
      <c r="V379" s="76"/>
      <c r="W379" s="76"/>
      <c r="X379" s="76"/>
      <c r="Y379" s="76"/>
      <c r="Z379" s="76"/>
      <c r="AA379" s="76"/>
      <c r="AB379" s="76"/>
      <c r="AC379" s="76"/>
    </row>
    <row r="380" spans="1:29">
      <c r="A380" s="35"/>
      <c r="B380" s="20"/>
      <c r="C380" s="16"/>
      <c r="D380" s="16"/>
      <c r="E380" s="16"/>
      <c r="F380" s="20"/>
      <c r="G380" s="16"/>
      <c r="H380" s="26"/>
      <c r="I380" s="8"/>
      <c r="J380" s="51"/>
      <c r="K380" s="103"/>
      <c r="L380" s="104"/>
      <c r="M380" s="104"/>
      <c r="N380" s="104"/>
      <c r="O380" s="104"/>
      <c r="P380" s="54"/>
      <c r="Q380" s="20"/>
      <c r="R380" s="76"/>
      <c r="S380" s="76"/>
      <c r="T380" s="76"/>
      <c r="U380" s="76"/>
      <c r="V380" s="76"/>
      <c r="W380" s="76"/>
      <c r="X380" s="76"/>
      <c r="Y380" s="76"/>
      <c r="Z380" s="76"/>
      <c r="AA380" s="76"/>
      <c r="AB380" s="76"/>
      <c r="AC380" s="76"/>
    </row>
    <row r="381" spans="1:29">
      <c r="A381" s="35"/>
      <c r="B381" s="20"/>
      <c r="C381" s="16"/>
      <c r="D381" s="16"/>
      <c r="E381" s="16"/>
      <c r="F381" s="20"/>
      <c r="G381" s="16"/>
      <c r="H381" s="26"/>
      <c r="I381" s="8"/>
      <c r="J381" s="51"/>
      <c r="K381" s="103"/>
      <c r="L381" s="104"/>
      <c r="M381" s="104"/>
      <c r="N381" s="104"/>
      <c r="O381" s="104"/>
      <c r="P381" s="54"/>
      <c r="Q381" s="20"/>
      <c r="R381" s="76"/>
      <c r="S381" s="76"/>
      <c r="T381" s="76"/>
      <c r="U381" s="76"/>
      <c r="V381" s="76"/>
      <c r="W381" s="76"/>
      <c r="X381" s="76"/>
      <c r="Y381" s="76"/>
      <c r="Z381" s="76"/>
      <c r="AA381" s="76"/>
      <c r="AB381" s="76"/>
      <c r="AC381" s="76"/>
    </row>
    <row r="382" spans="1:29">
      <c r="A382" s="35"/>
      <c r="B382" s="20"/>
      <c r="C382" s="16"/>
      <c r="D382" s="16"/>
      <c r="E382" s="16"/>
      <c r="F382" s="20"/>
      <c r="G382" s="16"/>
      <c r="H382" s="26"/>
      <c r="I382" s="8"/>
      <c r="J382" s="51"/>
      <c r="K382" s="103"/>
      <c r="L382" s="104"/>
      <c r="M382" s="104"/>
      <c r="N382" s="104"/>
      <c r="O382" s="104"/>
      <c r="P382" s="54"/>
      <c r="Q382" s="20"/>
      <c r="R382" s="76"/>
      <c r="S382" s="76"/>
      <c r="T382" s="76"/>
      <c r="U382" s="76"/>
      <c r="V382" s="76"/>
      <c r="W382" s="76"/>
      <c r="X382" s="76"/>
      <c r="Y382" s="76"/>
      <c r="Z382" s="76"/>
      <c r="AA382" s="76"/>
      <c r="AB382" s="76"/>
      <c r="AC382" s="76"/>
    </row>
    <row r="383" spans="1:29">
      <c r="A383" s="35"/>
      <c r="B383" s="20"/>
      <c r="C383" s="16"/>
      <c r="D383" s="16"/>
      <c r="E383" s="16"/>
      <c r="F383" s="20"/>
      <c r="G383" s="16"/>
      <c r="H383" s="26"/>
      <c r="I383" s="8"/>
      <c r="J383" s="51"/>
      <c r="K383" s="103"/>
      <c r="L383" s="104"/>
      <c r="M383" s="104"/>
      <c r="N383" s="104"/>
      <c r="O383" s="104"/>
      <c r="P383" s="54"/>
      <c r="Q383" s="20"/>
      <c r="R383" s="76"/>
      <c r="S383" s="76"/>
      <c r="T383" s="76"/>
      <c r="U383" s="76"/>
      <c r="V383" s="76"/>
      <c r="W383" s="76"/>
      <c r="X383" s="76"/>
      <c r="Y383" s="76"/>
      <c r="Z383" s="76"/>
      <c r="AA383" s="76"/>
      <c r="AB383" s="76"/>
      <c r="AC383" s="76"/>
    </row>
    <row r="384" spans="1:29">
      <c r="A384" s="35"/>
      <c r="B384" s="20"/>
      <c r="C384" s="16"/>
      <c r="D384" s="16"/>
      <c r="E384" s="16"/>
      <c r="F384" s="20"/>
      <c r="G384" s="16"/>
      <c r="H384" s="26"/>
      <c r="I384" s="8"/>
      <c r="J384" s="51"/>
      <c r="K384" s="103"/>
      <c r="L384" s="104"/>
      <c r="M384" s="104"/>
      <c r="N384" s="104"/>
      <c r="O384" s="104"/>
      <c r="P384" s="54"/>
      <c r="Q384" s="20"/>
      <c r="R384" s="76"/>
      <c r="S384" s="76"/>
      <c r="T384" s="76"/>
      <c r="U384" s="76"/>
      <c r="V384" s="76"/>
      <c r="W384" s="76"/>
      <c r="X384" s="76"/>
      <c r="Y384" s="76"/>
      <c r="Z384" s="76"/>
      <c r="AA384" s="76"/>
      <c r="AB384" s="76"/>
      <c r="AC384" s="76"/>
    </row>
    <row r="385" spans="1:29">
      <c r="A385" s="35"/>
      <c r="B385" s="20"/>
      <c r="C385" s="16"/>
      <c r="D385" s="16"/>
      <c r="E385" s="16"/>
      <c r="F385" s="20"/>
      <c r="G385" s="16"/>
      <c r="H385" s="26"/>
      <c r="I385" s="8"/>
      <c r="J385" s="51"/>
      <c r="K385" s="103"/>
      <c r="L385" s="104"/>
      <c r="M385" s="104"/>
      <c r="N385" s="104"/>
      <c r="O385" s="104"/>
      <c r="P385" s="54"/>
      <c r="Q385" s="20"/>
      <c r="R385" s="76"/>
      <c r="S385" s="76"/>
      <c r="T385" s="76"/>
      <c r="U385" s="76"/>
      <c r="V385" s="76"/>
      <c r="W385" s="76"/>
      <c r="X385" s="76"/>
      <c r="Y385" s="76"/>
      <c r="Z385" s="76"/>
      <c r="AA385" s="76"/>
      <c r="AB385" s="76"/>
      <c r="AC385" s="76"/>
    </row>
    <row r="386" spans="1:29">
      <c r="A386" s="35"/>
      <c r="B386" s="20"/>
      <c r="C386" s="16"/>
      <c r="D386" s="16"/>
      <c r="E386" s="16"/>
      <c r="F386" s="20"/>
      <c r="G386" s="16"/>
      <c r="H386" s="26"/>
      <c r="I386" s="8"/>
      <c r="J386" s="51"/>
      <c r="K386" s="103"/>
      <c r="L386" s="104"/>
      <c r="M386" s="104"/>
      <c r="N386" s="104"/>
      <c r="O386" s="104"/>
      <c r="P386" s="54"/>
      <c r="Q386" s="20"/>
      <c r="R386" s="76"/>
      <c r="S386" s="76"/>
      <c r="T386" s="76"/>
      <c r="U386" s="76"/>
      <c r="V386" s="76"/>
      <c r="W386" s="76"/>
      <c r="X386" s="76"/>
      <c r="Y386" s="76"/>
      <c r="Z386" s="76"/>
      <c r="AA386" s="76"/>
      <c r="AB386" s="76"/>
      <c r="AC386" s="76"/>
    </row>
    <row r="387" spans="1:29">
      <c r="A387" s="35"/>
      <c r="B387" s="20"/>
      <c r="C387" s="16"/>
      <c r="D387" s="16"/>
      <c r="E387" s="16"/>
      <c r="F387" s="20"/>
      <c r="G387" s="16"/>
      <c r="H387" s="26"/>
      <c r="I387" s="8"/>
      <c r="J387" s="51"/>
      <c r="K387" s="103"/>
      <c r="L387" s="104"/>
      <c r="M387" s="104"/>
      <c r="N387" s="104"/>
      <c r="O387" s="104"/>
      <c r="P387" s="54"/>
      <c r="Q387" s="20"/>
      <c r="R387" s="76"/>
      <c r="S387" s="76"/>
      <c r="T387" s="76"/>
      <c r="U387" s="76"/>
      <c r="V387" s="76"/>
      <c r="W387" s="76"/>
      <c r="X387" s="76"/>
      <c r="Y387" s="76"/>
      <c r="Z387" s="76"/>
      <c r="AA387" s="76"/>
      <c r="AB387" s="76"/>
      <c r="AC387" s="76"/>
    </row>
    <row r="388" spans="1:29">
      <c r="A388" s="35"/>
      <c r="B388" s="20"/>
      <c r="C388" s="16"/>
      <c r="D388" s="16"/>
      <c r="E388" s="16"/>
      <c r="F388" s="20"/>
      <c r="G388" s="16"/>
      <c r="H388" s="26"/>
      <c r="I388" s="8"/>
      <c r="J388" s="51"/>
      <c r="K388" s="103"/>
      <c r="L388" s="104"/>
      <c r="M388" s="104"/>
      <c r="N388" s="104"/>
      <c r="O388" s="104"/>
      <c r="P388" s="54"/>
      <c r="Q388" s="20"/>
      <c r="R388" s="76"/>
      <c r="S388" s="76"/>
      <c r="T388" s="76"/>
      <c r="U388" s="76"/>
      <c r="V388" s="76"/>
      <c r="W388" s="76"/>
      <c r="X388" s="76"/>
      <c r="Y388" s="76"/>
      <c r="Z388" s="76"/>
      <c r="AA388" s="76"/>
      <c r="AB388" s="76"/>
      <c r="AC388" s="76"/>
    </row>
    <row r="389" spans="1:29">
      <c r="A389" s="35"/>
      <c r="B389" s="20"/>
      <c r="C389" s="16"/>
      <c r="D389" s="16"/>
      <c r="E389" s="16"/>
      <c r="F389" s="20"/>
      <c r="G389" s="16"/>
      <c r="H389" s="26"/>
      <c r="I389" s="8"/>
      <c r="J389" s="51"/>
      <c r="K389" s="103"/>
      <c r="L389" s="104"/>
      <c r="M389" s="104"/>
      <c r="N389" s="104"/>
      <c r="O389" s="104"/>
      <c r="P389" s="54"/>
      <c r="Q389" s="20"/>
      <c r="R389" s="76"/>
      <c r="S389" s="76"/>
      <c r="T389" s="76"/>
      <c r="U389" s="76"/>
      <c r="V389" s="76"/>
      <c r="W389" s="76"/>
      <c r="X389" s="76"/>
      <c r="Y389" s="76"/>
      <c r="Z389" s="76"/>
      <c r="AA389" s="76"/>
      <c r="AB389" s="76"/>
      <c r="AC389" s="76"/>
    </row>
    <row r="390" spans="1:29">
      <c r="A390" s="35"/>
      <c r="B390" s="20"/>
      <c r="C390" s="16"/>
      <c r="D390" s="16"/>
      <c r="E390" s="16"/>
      <c r="F390" s="20"/>
      <c r="G390" s="16"/>
      <c r="H390" s="26"/>
      <c r="I390" s="8"/>
      <c r="J390" s="51"/>
      <c r="K390" s="103"/>
      <c r="L390" s="104"/>
      <c r="M390" s="104"/>
      <c r="N390" s="104"/>
      <c r="O390" s="104"/>
      <c r="P390" s="54"/>
      <c r="Q390" s="20"/>
      <c r="R390" s="76"/>
      <c r="S390" s="76"/>
      <c r="T390" s="76"/>
      <c r="U390" s="76"/>
      <c r="V390" s="76"/>
      <c r="W390" s="76"/>
      <c r="X390" s="76"/>
      <c r="Y390" s="76"/>
      <c r="Z390" s="76"/>
      <c r="AA390" s="76"/>
      <c r="AB390" s="76"/>
      <c r="AC390" s="76"/>
    </row>
    <row r="391" spans="1:29">
      <c r="A391" s="35"/>
      <c r="B391" s="20"/>
      <c r="C391" s="16"/>
      <c r="D391" s="16"/>
      <c r="E391" s="16"/>
      <c r="F391" s="20"/>
      <c r="G391" s="16"/>
      <c r="H391" s="26"/>
      <c r="I391" s="8"/>
      <c r="J391" s="51"/>
      <c r="K391" s="103"/>
      <c r="L391" s="104"/>
      <c r="M391" s="104"/>
      <c r="N391" s="104"/>
      <c r="O391" s="104"/>
      <c r="P391" s="54"/>
      <c r="Q391" s="20"/>
      <c r="R391" s="76"/>
      <c r="S391" s="76"/>
      <c r="T391" s="76"/>
      <c r="U391" s="76"/>
      <c r="V391" s="76"/>
      <c r="W391" s="76"/>
      <c r="X391" s="76"/>
      <c r="Y391" s="76"/>
      <c r="Z391" s="76"/>
      <c r="AA391" s="76"/>
      <c r="AB391" s="76"/>
      <c r="AC391" s="76"/>
    </row>
    <row r="392" spans="1:29">
      <c r="A392" s="35"/>
      <c r="B392" s="20"/>
      <c r="C392" s="16"/>
      <c r="D392" s="16"/>
      <c r="E392" s="16"/>
      <c r="F392" s="20"/>
      <c r="G392" s="16"/>
      <c r="H392" s="26"/>
      <c r="I392" s="8"/>
      <c r="J392" s="51"/>
      <c r="K392" s="103"/>
      <c r="L392" s="104"/>
      <c r="M392" s="104"/>
      <c r="N392" s="104"/>
      <c r="O392" s="104"/>
      <c r="P392" s="54"/>
      <c r="Q392" s="20"/>
      <c r="R392" s="76"/>
      <c r="S392" s="76"/>
      <c r="T392" s="76"/>
      <c r="U392" s="76"/>
      <c r="V392" s="76"/>
      <c r="W392" s="76"/>
      <c r="X392" s="76"/>
      <c r="Y392" s="76"/>
      <c r="Z392" s="76"/>
      <c r="AA392" s="76"/>
      <c r="AB392" s="76"/>
      <c r="AC392" s="76"/>
    </row>
    <row r="393" spans="1:29">
      <c r="A393" s="35"/>
      <c r="B393" s="20"/>
      <c r="C393" s="16"/>
      <c r="D393" s="16"/>
      <c r="E393" s="16"/>
      <c r="F393" s="20"/>
      <c r="G393" s="16"/>
      <c r="H393" s="26"/>
      <c r="I393" s="8"/>
      <c r="J393" s="51"/>
      <c r="K393" s="103"/>
      <c r="L393" s="104"/>
      <c r="M393" s="104"/>
      <c r="N393" s="104"/>
      <c r="O393" s="104"/>
      <c r="P393" s="54"/>
      <c r="Q393" s="20"/>
      <c r="R393" s="76"/>
      <c r="S393" s="76"/>
      <c r="T393" s="76"/>
      <c r="U393" s="76"/>
      <c r="V393" s="76"/>
      <c r="W393" s="76"/>
      <c r="X393" s="76"/>
      <c r="Y393" s="76"/>
      <c r="Z393" s="76"/>
      <c r="AA393" s="76"/>
      <c r="AB393" s="76"/>
      <c r="AC393" s="76"/>
    </row>
    <row r="394" spans="1:29">
      <c r="A394" s="35"/>
      <c r="B394" s="20"/>
      <c r="C394" s="16"/>
      <c r="D394" s="16"/>
      <c r="E394" s="16"/>
      <c r="F394" s="20"/>
      <c r="G394" s="16"/>
      <c r="H394" s="26"/>
      <c r="I394" s="8"/>
      <c r="J394" s="51"/>
      <c r="K394" s="103"/>
      <c r="L394" s="104"/>
      <c r="M394" s="104"/>
      <c r="N394" s="104"/>
      <c r="O394" s="104"/>
      <c r="P394" s="54"/>
      <c r="Q394" s="20"/>
      <c r="R394" s="76"/>
      <c r="S394" s="76"/>
      <c r="T394" s="76"/>
      <c r="U394" s="76"/>
      <c r="V394" s="76"/>
      <c r="W394" s="76"/>
      <c r="X394" s="76"/>
      <c r="Y394" s="76"/>
      <c r="Z394" s="76"/>
      <c r="AA394" s="76"/>
      <c r="AB394" s="76"/>
      <c r="AC394" s="76"/>
    </row>
    <row r="395" spans="1:29">
      <c r="A395" s="35"/>
      <c r="B395" s="20"/>
      <c r="C395" s="16"/>
      <c r="D395" s="16"/>
      <c r="E395" s="16"/>
      <c r="F395" s="20"/>
      <c r="G395" s="16"/>
      <c r="H395" s="26"/>
      <c r="I395" s="8"/>
      <c r="J395" s="51"/>
      <c r="K395" s="103"/>
      <c r="L395" s="104"/>
      <c r="M395" s="104"/>
      <c r="N395" s="104"/>
      <c r="O395" s="104"/>
      <c r="P395" s="54"/>
      <c r="Q395" s="20"/>
      <c r="R395" s="76"/>
      <c r="S395" s="76"/>
      <c r="T395" s="76"/>
      <c r="U395" s="76"/>
      <c r="V395" s="76"/>
      <c r="W395" s="76"/>
      <c r="X395" s="76"/>
      <c r="Y395" s="76"/>
      <c r="Z395" s="76"/>
      <c r="AA395" s="76"/>
      <c r="AB395" s="76"/>
      <c r="AC395" s="76"/>
    </row>
    <row r="396" spans="1:29">
      <c r="A396" s="35"/>
      <c r="B396" s="20"/>
      <c r="C396" s="16"/>
      <c r="D396" s="16"/>
      <c r="E396" s="16"/>
      <c r="F396" s="20"/>
      <c r="G396" s="16"/>
      <c r="H396" s="26"/>
      <c r="I396" s="8"/>
      <c r="J396" s="51"/>
      <c r="K396" s="103"/>
      <c r="L396" s="104"/>
      <c r="M396" s="104"/>
      <c r="N396" s="104"/>
      <c r="O396" s="104"/>
      <c r="P396" s="54"/>
      <c r="Q396" s="20"/>
      <c r="R396" s="76"/>
      <c r="S396" s="76"/>
      <c r="T396" s="76"/>
      <c r="U396" s="76"/>
      <c r="V396" s="76"/>
      <c r="W396" s="76"/>
      <c r="X396" s="76"/>
      <c r="Y396" s="76"/>
      <c r="Z396" s="76"/>
      <c r="AA396" s="76"/>
      <c r="AB396" s="76"/>
      <c r="AC396" s="76"/>
    </row>
    <row r="397" spans="1:29">
      <c r="A397" s="35"/>
      <c r="B397" s="20"/>
      <c r="C397" s="16"/>
      <c r="D397" s="16"/>
      <c r="E397" s="16"/>
      <c r="F397" s="20"/>
      <c r="G397" s="16"/>
      <c r="H397" s="26"/>
      <c r="I397" s="8"/>
      <c r="J397" s="51"/>
      <c r="K397" s="103"/>
      <c r="L397" s="104"/>
      <c r="M397" s="104"/>
      <c r="N397" s="104"/>
      <c r="O397" s="104"/>
      <c r="P397" s="54"/>
      <c r="Q397" s="20"/>
      <c r="R397" s="76"/>
      <c r="S397" s="76"/>
      <c r="T397" s="76"/>
      <c r="U397" s="76"/>
      <c r="V397" s="76"/>
      <c r="W397" s="76"/>
      <c r="X397" s="76"/>
      <c r="Y397" s="76"/>
      <c r="Z397" s="76"/>
      <c r="AA397" s="76"/>
      <c r="AB397" s="76"/>
      <c r="AC397" s="76"/>
    </row>
    <row r="398" spans="1:29">
      <c r="A398" s="35"/>
      <c r="B398" s="20"/>
      <c r="C398" s="16"/>
      <c r="D398" s="16"/>
      <c r="E398" s="16"/>
      <c r="F398" s="20"/>
      <c r="G398" s="16"/>
      <c r="H398" s="26"/>
      <c r="I398" s="8"/>
      <c r="J398" s="51"/>
      <c r="K398" s="103"/>
      <c r="L398" s="104"/>
      <c r="M398" s="104"/>
      <c r="N398" s="104"/>
      <c r="O398" s="104"/>
      <c r="P398" s="54"/>
      <c r="Q398" s="20"/>
      <c r="R398" s="76"/>
      <c r="S398" s="76"/>
      <c r="T398" s="76"/>
      <c r="U398" s="76"/>
      <c r="V398" s="76"/>
      <c r="W398" s="76"/>
      <c r="X398" s="76"/>
      <c r="Y398" s="76"/>
      <c r="Z398" s="76"/>
      <c r="AA398" s="76"/>
      <c r="AB398" s="76"/>
      <c r="AC398" s="76"/>
    </row>
    <row r="399" spans="1:29">
      <c r="A399" s="35"/>
      <c r="B399" s="20"/>
      <c r="C399" s="16"/>
      <c r="D399" s="16"/>
      <c r="E399" s="16"/>
      <c r="F399" s="20"/>
      <c r="G399" s="16"/>
      <c r="H399" s="26"/>
      <c r="I399" s="8"/>
      <c r="J399" s="51"/>
      <c r="K399" s="103"/>
      <c r="L399" s="104"/>
      <c r="M399" s="104"/>
      <c r="N399" s="104"/>
      <c r="O399" s="104"/>
      <c r="P399" s="54"/>
      <c r="Q399" s="20"/>
      <c r="R399" s="76"/>
      <c r="S399" s="76"/>
      <c r="T399" s="76"/>
      <c r="U399" s="76"/>
      <c r="V399" s="76"/>
      <c r="W399" s="76"/>
      <c r="X399" s="76"/>
      <c r="Y399" s="76"/>
      <c r="Z399" s="76"/>
      <c r="AA399" s="76"/>
      <c r="AB399" s="76"/>
      <c r="AC399" s="76"/>
    </row>
    <row r="400" spans="1:29">
      <c r="A400" s="35"/>
      <c r="B400" s="20"/>
      <c r="C400" s="16"/>
      <c r="D400" s="16"/>
      <c r="E400" s="16"/>
      <c r="F400" s="20"/>
      <c r="G400" s="16"/>
      <c r="H400" s="26"/>
      <c r="I400" s="8"/>
      <c r="J400" s="51"/>
      <c r="K400" s="103"/>
      <c r="L400" s="104"/>
      <c r="M400" s="104"/>
      <c r="N400" s="104"/>
      <c r="O400" s="104"/>
      <c r="P400" s="54"/>
      <c r="Q400" s="20"/>
      <c r="R400" s="76"/>
      <c r="S400" s="76"/>
      <c r="T400" s="76"/>
      <c r="U400" s="76"/>
      <c r="V400" s="76"/>
      <c r="W400" s="76"/>
      <c r="X400" s="76"/>
      <c r="Y400" s="76"/>
      <c r="Z400" s="76"/>
      <c r="AA400" s="76"/>
      <c r="AB400" s="76"/>
      <c r="AC400" s="76"/>
    </row>
    <row r="401" spans="1:29">
      <c r="A401" s="35"/>
      <c r="B401" s="20"/>
      <c r="C401" s="16"/>
      <c r="D401" s="16"/>
      <c r="E401" s="16"/>
      <c r="F401" s="20"/>
      <c r="G401" s="16"/>
      <c r="H401" s="26"/>
      <c r="I401" s="8"/>
      <c r="J401" s="51"/>
      <c r="K401" s="103"/>
      <c r="L401" s="104"/>
      <c r="M401" s="104"/>
      <c r="N401" s="104"/>
      <c r="O401" s="104"/>
      <c r="P401" s="54"/>
      <c r="Q401" s="20"/>
      <c r="R401" s="76"/>
      <c r="S401" s="76"/>
      <c r="T401" s="76"/>
      <c r="U401" s="76"/>
      <c r="V401" s="76"/>
      <c r="W401" s="76"/>
      <c r="X401" s="76"/>
      <c r="Y401" s="76"/>
      <c r="Z401" s="76"/>
      <c r="AA401" s="76"/>
      <c r="AB401" s="76"/>
      <c r="AC401" s="76"/>
    </row>
    <row r="402" spans="1:29">
      <c r="A402" s="35"/>
      <c r="B402" s="20"/>
      <c r="C402" s="16"/>
      <c r="D402" s="16"/>
      <c r="E402" s="16"/>
      <c r="F402" s="20"/>
      <c r="G402" s="16"/>
      <c r="H402" s="26"/>
      <c r="I402" s="8"/>
      <c r="J402" s="51"/>
      <c r="K402" s="103"/>
      <c r="L402" s="104"/>
      <c r="M402" s="104"/>
      <c r="N402" s="104"/>
      <c r="O402" s="104"/>
      <c r="P402" s="54"/>
      <c r="Q402" s="20"/>
      <c r="R402" s="76"/>
      <c r="S402" s="76"/>
      <c r="T402" s="76"/>
      <c r="U402" s="76"/>
      <c r="V402" s="76"/>
      <c r="W402" s="76"/>
      <c r="X402" s="76"/>
      <c r="Y402" s="76"/>
      <c r="Z402" s="76"/>
      <c r="AA402" s="76"/>
      <c r="AB402" s="76"/>
      <c r="AC402" s="76"/>
    </row>
    <row r="403" spans="1:29">
      <c r="A403" s="35"/>
      <c r="B403" s="20"/>
      <c r="C403" s="16"/>
      <c r="D403" s="16"/>
      <c r="E403" s="16"/>
      <c r="F403" s="20"/>
      <c r="G403" s="16"/>
      <c r="H403" s="26"/>
      <c r="I403" s="8"/>
      <c r="J403" s="51"/>
      <c r="K403" s="103"/>
      <c r="L403" s="104"/>
      <c r="M403" s="104"/>
      <c r="N403" s="104"/>
      <c r="O403" s="104"/>
      <c r="P403" s="54"/>
      <c r="Q403" s="20"/>
      <c r="R403" s="76"/>
      <c r="S403" s="76"/>
      <c r="T403" s="76"/>
      <c r="U403" s="76"/>
      <c r="V403" s="76"/>
      <c r="W403" s="76"/>
      <c r="X403" s="76"/>
      <c r="Y403" s="76"/>
      <c r="Z403" s="76"/>
      <c r="AA403" s="76"/>
      <c r="AB403" s="76"/>
      <c r="AC403" s="76"/>
    </row>
    <row r="404" spans="1:29">
      <c r="A404" s="35"/>
      <c r="B404" s="20"/>
      <c r="C404" s="16"/>
      <c r="D404" s="16"/>
      <c r="E404" s="16"/>
      <c r="F404" s="20"/>
      <c r="G404" s="16"/>
      <c r="H404" s="26"/>
      <c r="I404" s="8"/>
      <c r="J404" s="51"/>
      <c r="K404" s="103"/>
      <c r="L404" s="104"/>
      <c r="M404" s="104"/>
      <c r="N404" s="104"/>
      <c r="O404" s="104"/>
      <c r="P404" s="54"/>
      <c r="Q404" s="20"/>
      <c r="R404" s="76"/>
      <c r="S404" s="76"/>
      <c r="T404" s="76"/>
      <c r="U404" s="76"/>
      <c r="V404" s="76"/>
      <c r="W404" s="76"/>
      <c r="X404" s="76"/>
      <c r="Y404" s="76"/>
      <c r="Z404" s="76"/>
      <c r="AA404" s="76"/>
      <c r="AB404" s="76"/>
      <c r="AC404" s="76"/>
    </row>
    <row r="405" spans="1:29">
      <c r="A405" s="35"/>
      <c r="B405" s="20"/>
      <c r="C405" s="16"/>
      <c r="D405" s="16"/>
      <c r="E405" s="16"/>
      <c r="F405" s="20"/>
      <c r="G405" s="16"/>
      <c r="H405" s="26"/>
      <c r="I405" s="8"/>
      <c r="J405" s="51"/>
      <c r="K405" s="103"/>
      <c r="L405" s="104"/>
      <c r="M405" s="104"/>
      <c r="N405" s="104"/>
      <c r="O405" s="104"/>
      <c r="P405" s="54"/>
      <c r="Q405" s="20"/>
      <c r="R405" s="76"/>
      <c r="S405" s="76"/>
      <c r="T405" s="76"/>
      <c r="U405" s="76"/>
      <c r="V405" s="76"/>
      <c r="W405" s="76"/>
      <c r="X405" s="76"/>
      <c r="Y405" s="76"/>
      <c r="Z405" s="76"/>
      <c r="AA405" s="76"/>
      <c r="AB405" s="76"/>
      <c r="AC405" s="76"/>
    </row>
    <row r="406" spans="1:29">
      <c r="A406" s="35"/>
      <c r="B406" s="20"/>
      <c r="C406" s="16"/>
      <c r="D406" s="16"/>
      <c r="E406" s="16"/>
      <c r="F406" s="20"/>
      <c r="G406" s="16"/>
      <c r="H406" s="26"/>
      <c r="I406" s="8"/>
      <c r="J406" s="51"/>
      <c r="K406" s="103"/>
      <c r="L406" s="104"/>
      <c r="M406" s="104"/>
      <c r="N406" s="104"/>
      <c r="O406" s="104"/>
      <c r="P406" s="54"/>
      <c r="Q406" s="20"/>
      <c r="R406" s="76"/>
      <c r="S406" s="76"/>
      <c r="T406" s="76"/>
      <c r="U406" s="76"/>
      <c r="V406" s="76"/>
      <c r="W406" s="76"/>
      <c r="X406" s="76"/>
      <c r="Y406" s="76"/>
      <c r="Z406" s="76"/>
      <c r="AA406" s="76"/>
      <c r="AB406" s="76"/>
      <c r="AC406" s="76"/>
    </row>
    <row r="407" spans="1:29">
      <c r="A407" s="35"/>
      <c r="B407" s="20"/>
      <c r="C407" s="16"/>
      <c r="D407" s="16"/>
      <c r="E407" s="16"/>
      <c r="F407" s="20"/>
      <c r="G407" s="16"/>
      <c r="H407" s="26"/>
      <c r="I407" s="8"/>
      <c r="J407" s="51"/>
      <c r="K407" s="103"/>
      <c r="L407" s="104"/>
      <c r="M407" s="104"/>
      <c r="N407" s="104"/>
      <c r="O407" s="104"/>
      <c r="P407" s="54"/>
      <c r="Q407" s="20"/>
      <c r="R407" s="76"/>
      <c r="S407" s="76"/>
      <c r="T407" s="76"/>
      <c r="U407" s="76"/>
      <c r="V407" s="76"/>
      <c r="W407" s="76"/>
      <c r="X407" s="76"/>
      <c r="Y407" s="76"/>
      <c r="Z407" s="76"/>
      <c r="AA407" s="76"/>
      <c r="AB407" s="76"/>
      <c r="AC407" s="76"/>
    </row>
    <row r="408" spans="1:29">
      <c r="A408" s="35"/>
      <c r="B408" s="20"/>
      <c r="C408" s="16"/>
      <c r="D408" s="16"/>
      <c r="E408" s="16"/>
      <c r="F408" s="20"/>
      <c r="G408" s="16"/>
      <c r="H408" s="26"/>
      <c r="I408" s="8"/>
      <c r="J408" s="51"/>
      <c r="K408" s="103"/>
      <c r="L408" s="104"/>
      <c r="M408" s="104"/>
      <c r="N408" s="104"/>
      <c r="O408" s="104"/>
      <c r="P408" s="54"/>
      <c r="Q408" s="20"/>
      <c r="R408" s="76"/>
      <c r="S408" s="76"/>
      <c r="T408" s="76"/>
      <c r="U408" s="76"/>
      <c r="V408" s="76"/>
      <c r="W408" s="76"/>
      <c r="X408" s="76"/>
      <c r="Y408" s="76"/>
      <c r="Z408" s="76"/>
      <c r="AA408" s="76"/>
      <c r="AB408" s="76"/>
      <c r="AC408" s="76"/>
    </row>
    <row r="409" spans="1:29">
      <c r="A409" s="35"/>
      <c r="B409" s="20"/>
      <c r="C409" s="16"/>
      <c r="D409" s="16"/>
      <c r="E409" s="16"/>
      <c r="F409" s="20"/>
      <c r="G409" s="16"/>
      <c r="H409" s="26"/>
      <c r="I409" s="8"/>
      <c r="J409" s="51"/>
      <c r="K409" s="103"/>
      <c r="L409" s="104"/>
      <c r="M409" s="104"/>
      <c r="N409" s="104"/>
      <c r="O409" s="104"/>
      <c r="P409" s="54"/>
      <c r="Q409" s="20"/>
      <c r="R409" s="76"/>
      <c r="S409" s="76"/>
      <c r="T409" s="76"/>
      <c r="U409" s="76"/>
      <c r="V409" s="76"/>
      <c r="W409" s="76"/>
      <c r="X409" s="76"/>
      <c r="Y409" s="76"/>
      <c r="Z409" s="76"/>
      <c r="AA409" s="76"/>
      <c r="AB409" s="76"/>
      <c r="AC409" s="76"/>
    </row>
    <row r="410" spans="1:29">
      <c r="A410" s="35"/>
      <c r="B410" s="20"/>
      <c r="C410" s="16"/>
      <c r="D410" s="16"/>
      <c r="E410" s="16"/>
      <c r="F410" s="20"/>
      <c r="G410" s="16"/>
      <c r="H410" s="26"/>
      <c r="I410" s="8"/>
      <c r="J410" s="51"/>
      <c r="K410" s="103"/>
      <c r="L410" s="104"/>
      <c r="M410" s="104"/>
      <c r="N410" s="104"/>
      <c r="O410" s="104"/>
      <c r="P410" s="54"/>
      <c r="Q410" s="20"/>
      <c r="R410" s="76"/>
      <c r="S410" s="76"/>
      <c r="T410" s="76"/>
      <c r="U410" s="76"/>
      <c r="V410" s="76"/>
      <c r="W410" s="76"/>
      <c r="X410" s="76"/>
      <c r="Y410" s="76"/>
      <c r="Z410" s="76"/>
      <c r="AA410" s="76"/>
      <c r="AB410" s="76"/>
      <c r="AC410" s="76"/>
    </row>
    <row r="411" spans="1:29">
      <c r="A411" s="35"/>
      <c r="B411" s="20"/>
      <c r="C411" s="16"/>
      <c r="D411" s="16"/>
      <c r="E411" s="16"/>
      <c r="F411" s="20"/>
      <c r="G411" s="16"/>
      <c r="H411" s="26"/>
      <c r="I411" s="8"/>
      <c r="J411" s="51"/>
      <c r="K411" s="103"/>
      <c r="L411" s="104"/>
      <c r="M411" s="104"/>
      <c r="N411" s="104"/>
      <c r="O411" s="104"/>
      <c r="P411" s="54"/>
      <c r="Q411" s="20"/>
      <c r="R411" s="76"/>
      <c r="S411" s="76"/>
      <c r="T411" s="76"/>
      <c r="U411" s="76"/>
      <c r="V411" s="76"/>
      <c r="W411" s="76"/>
      <c r="X411" s="76"/>
      <c r="Y411" s="76"/>
      <c r="Z411" s="76"/>
      <c r="AA411" s="76"/>
      <c r="AB411" s="76"/>
      <c r="AC411" s="76"/>
    </row>
    <row r="412" spans="1:29">
      <c r="A412" s="35"/>
      <c r="B412" s="20"/>
      <c r="C412" s="16"/>
      <c r="D412" s="16"/>
      <c r="E412" s="16"/>
      <c r="F412" s="20"/>
      <c r="G412" s="16"/>
      <c r="H412" s="26"/>
      <c r="I412" s="8"/>
      <c r="J412" s="51"/>
      <c r="K412" s="103"/>
      <c r="L412" s="104"/>
      <c r="M412" s="104"/>
      <c r="N412" s="104"/>
      <c r="O412" s="104"/>
      <c r="P412" s="54"/>
      <c r="Q412" s="20"/>
      <c r="R412" s="76"/>
      <c r="S412" s="76"/>
      <c r="T412" s="76"/>
      <c r="U412" s="76"/>
      <c r="V412" s="76"/>
      <c r="W412" s="76"/>
      <c r="X412" s="76"/>
      <c r="Y412" s="76"/>
      <c r="Z412" s="76"/>
      <c r="AA412" s="76"/>
      <c r="AB412" s="76"/>
      <c r="AC412" s="76"/>
    </row>
    <row r="413" spans="1:29">
      <c r="A413" s="35"/>
      <c r="B413" s="20"/>
      <c r="C413" s="16"/>
      <c r="D413" s="16"/>
      <c r="E413" s="16"/>
      <c r="F413" s="20"/>
      <c r="G413" s="16"/>
      <c r="H413" s="26"/>
      <c r="I413" s="8"/>
      <c r="J413" s="51"/>
      <c r="K413" s="103"/>
      <c r="L413" s="104"/>
      <c r="M413" s="104"/>
      <c r="N413" s="104"/>
      <c r="O413" s="104"/>
      <c r="P413" s="54"/>
      <c r="Q413" s="20"/>
      <c r="R413" s="76"/>
      <c r="S413" s="76"/>
      <c r="T413" s="76"/>
      <c r="U413" s="76"/>
      <c r="V413" s="76"/>
      <c r="W413" s="76"/>
      <c r="X413" s="76"/>
      <c r="Y413" s="76"/>
      <c r="Z413" s="76"/>
      <c r="AA413" s="76"/>
      <c r="AB413" s="76"/>
      <c r="AC413" s="76"/>
    </row>
    <row r="414" spans="1:29">
      <c r="A414" s="35"/>
      <c r="B414" s="20"/>
      <c r="C414" s="16"/>
      <c r="D414" s="16"/>
      <c r="E414" s="16"/>
      <c r="F414" s="20"/>
      <c r="G414" s="16"/>
      <c r="H414" s="26"/>
      <c r="I414" s="8"/>
      <c r="J414" s="51"/>
      <c r="K414" s="103"/>
      <c r="L414" s="104"/>
      <c r="M414" s="104"/>
      <c r="N414" s="104"/>
      <c r="O414" s="104"/>
      <c r="P414" s="54"/>
      <c r="Q414" s="20"/>
      <c r="R414" s="76"/>
      <c r="S414" s="76"/>
      <c r="T414" s="76"/>
      <c r="U414" s="76"/>
      <c r="V414" s="76"/>
      <c r="W414" s="76"/>
      <c r="X414" s="76"/>
      <c r="Y414" s="76"/>
      <c r="Z414" s="76"/>
      <c r="AA414" s="76"/>
      <c r="AB414" s="76"/>
      <c r="AC414" s="76"/>
    </row>
    <row r="415" spans="1:29">
      <c r="A415" s="35"/>
      <c r="B415" s="20"/>
      <c r="C415" s="16"/>
      <c r="D415" s="16"/>
      <c r="E415" s="16"/>
      <c r="F415" s="20"/>
      <c r="G415" s="16"/>
      <c r="H415" s="26"/>
      <c r="I415" s="8"/>
      <c r="J415" s="51"/>
      <c r="K415" s="103"/>
      <c r="L415" s="104"/>
      <c r="M415" s="104"/>
      <c r="N415" s="104"/>
      <c r="O415" s="104"/>
      <c r="P415" s="54"/>
      <c r="Q415" s="20"/>
      <c r="R415" s="76"/>
      <c r="S415" s="76"/>
      <c r="T415" s="76"/>
      <c r="U415" s="76"/>
      <c r="V415" s="76"/>
      <c r="W415" s="76"/>
      <c r="X415" s="76"/>
      <c r="Y415" s="76"/>
      <c r="Z415" s="76"/>
      <c r="AA415" s="76"/>
      <c r="AB415" s="76"/>
      <c r="AC415" s="76"/>
    </row>
    <row r="416" spans="1:29">
      <c r="A416" s="35"/>
      <c r="B416" s="20"/>
      <c r="C416" s="16"/>
      <c r="D416" s="16"/>
      <c r="E416" s="16"/>
      <c r="F416" s="20"/>
      <c r="G416" s="16"/>
      <c r="H416" s="26"/>
      <c r="I416" s="8"/>
      <c r="J416" s="51"/>
      <c r="K416" s="103"/>
      <c r="L416" s="104"/>
      <c r="M416" s="104"/>
      <c r="N416" s="104"/>
      <c r="O416" s="104"/>
      <c r="P416" s="54"/>
      <c r="Q416" s="20"/>
      <c r="R416" s="76"/>
      <c r="S416" s="76"/>
      <c r="T416" s="76"/>
      <c r="U416" s="76"/>
      <c r="V416" s="76"/>
      <c r="W416" s="76"/>
      <c r="X416" s="76"/>
      <c r="Y416" s="76"/>
      <c r="Z416" s="76"/>
      <c r="AA416" s="76"/>
      <c r="AB416" s="76"/>
      <c r="AC416" s="76"/>
    </row>
    <row r="417" spans="1:29">
      <c r="A417" s="35"/>
      <c r="B417" s="20"/>
      <c r="C417" s="16"/>
      <c r="D417" s="16"/>
      <c r="E417" s="16"/>
      <c r="F417" s="20"/>
      <c r="G417" s="16"/>
      <c r="H417" s="26"/>
      <c r="I417" s="8"/>
      <c r="J417" s="51"/>
      <c r="K417" s="103"/>
      <c r="L417" s="104"/>
      <c r="M417" s="104"/>
      <c r="N417" s="104"/>
      <c r="O417" s="104"/>
      <c r="P417" s="54"/>
      <c r="Q417" s="20"/>
      <c r="R417" s="76"/>
      <c r="S417" s="76"/>
      <c r="T417" s="76"/>
      <c r="U417" s="76"/>
      <c r="V417" s="76"/>
      <c r="W417" s="76"/>
      <c r="X417" s="76"/>
      <c r="Y417" s="76"/>
      <c r="Z417" s="76"/>
      <c r="AA417" s="76"/>
      <c r="AB417" s="76"/>
      <c r="AC417" s="76"/>
    </row>
    <row r="418" spans="1:29">
      <c r="A418" s="35"/>
      <c r="B418" s="20"/>
      <c r="C418" s="16"/>
      <c r="D418" s="16"/>
      <c r="E418" s="16"/>
      <c r="F418" s="20"/>
      <c r="G418" s="16"/>
      <c r="H418" s="26"/>
      <c r="I418" s="8"/>
      <c r="J418" s="51"/>
      <c r="K418" s="103"/>
      <c r="L418" s="104"/>
      <c r="M418" s="104"/>
      <c r="N418" s="104"/>
      <c r="O418" s="104"/>
      <c r="P418" s="54"/>
      <c r="Q418" s="20"/>
      <c r="R418" s="76"/>
      <c r="S418" s="76"/>
      <c r="T418" s="76"/>
      <c r="U418" s="76"/>
      <c r="V418" s="76"/>
      <c r="W418" s="76"/>
      <c r="X418" s="76"/>
      <c r="Y418" s="76"/>
      <c r="Z418" s="76"/>
      <c r="AA418" s="76"/>
      <c r="AB418" s="76"/>
      <c r="AC418" s="76"/>
    </row>
    <row r="419" spans="1:29">
      <c r="A419" s="35"/>
      <c r="B419" s="20"/>
      <c r="C419" s="16"/>
      <c r="D419" s="16"/>
      <c r="E419" s="16"/>
      <c r="F419" s="20"/>
      <c r="G419" s="16"/>
      <c r="H419" s="26"/>
      <c r="I419" s="8"/>
      <c r="J419" s="51"/>
      <c r="K419" s="103"/>
      <c r="L419" s="104"/>
      <c r="M419" s="104"/>
      <c r="N419" s="104"/>
      <c r="O419" s="104"/>
      <c r="P419" s="54"/>
      <c r="Q419" s="20"/>
      <c r="R419" s="76"/>
      <c r="S419" s="76"/>
      <c r="T419" s="76"/>
      <c r="U419" s="76"/>
      <c r="V419" s="76"/>
      <c r="W419" s="76"/>
      <c r="X419" s="76"/>
      <c r="Y419" s="76"/>
      <c r="Z419" s="76"/>
      <c r="AA419" s="76"/>
      <c r="AB419" s="76"/>
      <c r="AC419" s="76"/>
    </row>
    <row r="420" spans="1:29">
      <c r="A420" s="35"/>
      <c r="B420" s="20"/>
      <c r="C420" s="16"/>
      <c r="D420" s="16"/>
      <c r="E420" s="16"/>
      <c r="F420" s="20"/>
      <c r="G420" s="16"/>
      <c r="H420" s="26"/>
      <c r="I420" s="8"/>
      <c r="J420" s="51"/>
      <c r="K420" s="103"/>
      <c r="L420" s="104"/>
      <c r="M420" s="104"/>
      <c r="N420" s="104"/>
      <c r="O420" s="104"/>
      <c r="P420" s="54"/>
      <c r="Q420" s="20"/>
      <c r="R420" s="76"/>
      <c r="S420" s="76"/>
      <c r="T420" s="76"/>
      <c r="U420" s="76"/>
      <c r="V420" s="76"/>
      <c r="W420" s="76"/>
      <c r="X420" s="76"/>
      <c r="Y420" s="76"/>
      <c r="Z420" s="76"/>
      <c r="AA420" s="76"/>
      <c r="AB420" s="76"/>
      <c r="AC420" s="76"/>
    </row>
    <row r="421" spans="1:29">
      <c r="A421" s="35"/>
      <c r="B421" s="20"/>
      <c r="C421" s="16"/>
      <c r="D421" s="16"/>
      <c r="E421" s="16"/>
      <c r="F421" s="20"/>
      <c r="G421" s="16"/>
      <c r="H421" s="26"/>
      <c r="I421" s="8"/>
      <c r="J421" s="51"/>
      <c r="K421" s="103"/>
      <c r="L421" s="104"/>
      <c r="M421" s="104"/>
      <c r="N421" s="104"/>
      <c r="O421" s="104"/>
      <c r="P421" s="54"/>
      <c r="Q421" s="20"/>
      <c r="R421" s="76"/>
      <c r="S421" s="76"/>
      <c r="T421" s="76"/>
      <c r="U421" s="76"/>
      <c r="V421" s="76"/>
      <c r="W421" s="76"/>
      <c r="X421" s="76"/>
      <c r="Y421" s="76"/>
      <c r="Z421" s="76"/>
      <c r="AA421" s="76"/>
      <c r="AB421" s="76"/>
      <c r="AC421" s="76"/>
    </row>
    <row r="422" spans="1:29">
      <c r="A422" s="35"/>
      <c r="B422" s="20"/>
      <c r="C422" s="16"/>
      <c r="D422" s="16"/>
      <c r="E422" s="16"/>
      <c r="F422" s="20"/>
      <c r="G422" s="16"/>
      <c r="H422" s="26"/>
      <c r="I422" s="8"/>
      <c r="J422" s="51"/>
      <c r="K422" s="103"/>
      <c r="L422" s="104"/>
      <c r="M422" s="104"/>
      <c r="N422" s="104"/>
      <c r="O422" s="104"/>
      <c r="P422" s="54"/>
      <c r="Q422" s="20"/>
      <c r="R422" s="76"/>
      <c r="S422" s="76"/>
      <c r="T422" s="76"/>
      <c r="U422" s="76"/>
      <c r="V422" s="76"/>
      <c r="W422" s="76"/>
      <c r="X422" s="76"/>
      <c r="Y422" s="76"/>
      <c r="Z422" s="76"/>
      <c r="AA422" s="76"/>
      <c r="AB422" s="76"/>
      <c r="AC422" s="76"/>
    </row>
    <row r="423" spans="1:29">
      <c r="A423" s="35"/>
      <c r="B423" s="20"/>
      <c r="C423" s="16"/>
      <c r="D423" s="16"/>
      <c r="E423" s="16"/>
      <c r="F423" s="20"/>
      <c r="G423" s="16"/>
      <c r="H423" s="26"/>
      <c r="I423" s="8"/>
      <c r="J423" s="51"/>
      <c r="K423" s="103"/>
      <c r="L423" s="104"/>
      <c r="M423" s="104"/>
      <c r="N423" s="104"/>
      <c r="O423" s="104"/>
      <c r="P423" s="54"/>
      <c r="Q423" s="20"/>
      <c r="R423" s="76"/>
      <c r="S423" s="76"/>
      <c r="T423" s="76"/>
      <c r="U423" s="76"/>
      <c r="V423" s="76"/>
      <c r="W423" s="76"/>
      <c r="X423" s="76"/>
      <c r="Y423" s="76"/>
      <c r="Z423" s="76"/>
      <c r="AA423" s="76"/>
      <c r="AB423" s="76"/>
      <c r="AC423" s="76"/>
    </row>
    <row r="424" spans="1:29">
      <c r="A424" s="35"/>
      <c r="B424" s="20"/>
      <c r="C424" s="16"/>
      <c r="D424" s="16"/>
      <c r="E424" s="16"/>
      <c r="F424" s="20"/>
      <c r="G424" s="16"/>
      <c r="H424" s="26"/>
      <c r="I424" s="8"/>
      <c r="J424" s="51"/>
      <c r="K424" s="103"/>
      <c r="L424" s="104"/>
      <c r="M424" s="104"/>
      <c r="N424" s="104"/>
      <c r="O424" s="104"/>
      <c r="P424" s="54"/>
      <c r="Q424" s="20"/>
      <c r="R424" s="76"/>
      <c r="S424" s="76"/>
      <c r="T424" s="76"/>
      <c r="U424" s="76"/>
      <c r="V424" s="76"/>
      <c r="W424" s="76"/>
      <c r="X424" s="76"/>
      <c r="Y424" s="76"/>
      <c r="Z424" s="76"/>
      <c r="AA424" s="76"/>
      <c r="AB424" s="76"/>
      <c r="AC424" s="76"/>
    </row>
    <row r="425" spans="1:29">
      <c r="A425" s="35"/>
      <c r="B425" s="20"/>
      <c r="C425" s="16"/>
      <c r="D425" s="16"/>
      <c r="E425" s="16"/>
      <c r="F425" s="20"/>
      <c r="G425" s="16"/>
      <c r="H425" s="26"/>
      <c r="I425" s="8"/>
      <c r="J425" s="51"/>
      <c r="K425" s="103"/>
      <c r="L425" s="104"/>
      <c r="M425" s="104"/>
      <c r="N425" s="104"/>
      <c r="O425" s="104"/>
      <c r="P425" s="54"/>
      <c r="Q425" s="20"/>
      <c r="R425" s="76"/>
      <c r="S425" s="76"/>
      <c r="T425" s="76"/>
      <c r="U425" s="76"/>
      <c r="V425" s="76"/>
      <c r="W425" s="76"/>
      <c r="X425" s="76"/>
      <c r="Y425" s="76"/>
      <c r="Z425" s="76"/>
      <c r="AA425" s="76"/>
      <c r="AB425" s="76"/>
      <c r="AC425" s="76"/>
    </row>
    <row r="426" spans="1:29">
      <c r="A426" s="35"/>
      <c r="B426" s="20"/>
      <c r="C426" s="16"/>
      <c r="D426" s="16"/>
      <c r="E426" s="16"/>
      <c r="F426" s="20"/>
      <c r="G426" s="16"/>
      <c r="H426" s="26"/>
      <c r="I426" s="8"/>
      <c r="J426" s="51"/>
      <c r="K426" s="103"/>
      <c r="L426" s="104"/>
      <c r="M426" s="104"/>
      <c r="N426" s="104"/>
      <c r="O426" s="104"/>
      <c r="P426" s="54"/>
      <c r="Q426" s="20"/>
      <c r="R426" s="76"/>
      <c r="S426" s="76"/>
      <c r="T426" s="76"/>
      <c r="U426" s="76"/>
      <c r="V426" s="76"/>
      <c r="W426" s="76"/>
      <c r="X426" s="76"/>
      <c r="Y426" s="76"/>
      <c r="Z426" s="76"/>
      <c r="AA426" s="76"/>
      <c r="AB426" s="76"/>
      <c r="AC426" s="76"/>
    </row>
    <row r="427" spans="1:29">
      <c r="A427" s="35"/>
      <c r="B427" s="20"/>
      <c r="C427" s="16"/>
      <c r="D427" s="16"/>
      <c r="E427" s="16"/>
      <c r="F427" s="20"/>
      <c r="G427" s="16"/>
      <c r="H427" s="26"/>
      <c r="I427" s="8"/>
      <c r="J427" s="51"/>
      <c r="K427" s="103"/>
      <c r="L427" s="104"/>
      <c r="M427" s="104"/>
      <c r="N427" s="104"/>
      <c r="O427" s="104"/>
      <c r="P427" s="54"/>
      <c r="Q427" s="20"/>
      <c r="R427" s="76"/>
      <c r="S427" s="76"/>
      <c r="T427" s="76"/>
      <c r="U427" s="76"/>
      <c r="V427" s="76"/>
      <c r="W427" s="76"/>
      <c r="X427" s="76"/>
      <c r="Y427" s="76"/>
      <c r="Z427" s="76"/>
      <c r="AA427" s="76"/>
      <c r="AB427" s="76"/>
      <c r="AC427" s="76"/>
    </row>
    <row r="428" spans="1:29">
      <c r="A428" s="35"/>
      <c r="B428" s="20"/>
      <c r="C428" s="16"/>
      <c r="D428" s="16"/>
      <c r="E428" s="16"/>
      <c r="F428" s="20"/>
      <c r="G428" s="16"/>
      <c r="H428" s="26"/>
      <c r="I428" s="8"/>
      <c r="J428" s="51"/>
      <c r="K428" s="103"/>
      <c r="L428" s="104"/>
      <c r="M428" s="104"/>
      <c r="N428" s="104"/>
      <c r="O428" s="104"/>
      <c r="P428" s="54"/>
      <c r="Q428" s="20"/>
      <c r="R428" s="76"/>
      <c r="S428" s="76"/>
      <c r="T428" s="76"/>
      <c r="U428" s="76"/>
      <c r="V428" s="76"/>
      <c r="W428" s="76"/>
      <c r="X428" s="76"/>
      <c r="Y428" s="76"/>
      <c r="Z428" s="76"/>
      <c r="AA428" s="76"/>
      <c r="AB428" s="76"/>
      <c r="AC428" s="76"/>
    </row>
    <row r="429" spans="1:29">
      <c r="A429" s="35"/>
      <c r="B429" s="20"/>
      <c r="C429" s="16"/>
      <c r="D429" s="16"/>
      <c r="E429" s="16"/>
      <c r="F429" s="20"/>
      <c r="G429" s="16"/>
      <c r="H429" s="26"/>
      <c r="I429" s="8"/>
      <c r="J429" s="51"/>
      <c r="K429" s="103"/>
      <c r="L429" s="104"/>
      <c r="M429" s="104"/>
      <c r="N429" s="104"/>
      <c r="O429" s="104"/>
      <c r="P429" s="54"/>
      <c r="Q429" s="20"/>
      <c r="R429" s="76"/>
      <c r="S429" s="76"/>
      <c r="T429" s="76"/>
      <c r="U429" s="76"/>
      <c r="V429" s="76"/>
      <c r="W429" s="76"/>
      <c r="X429" s="76"/>
      <c r="Y429" s="76"/>
      <c r="Z429" s="76"/>
      <c r="AA429" s="76"/>
      <c r="AB429" s="76"/>
      <c r="AC429" s="76"/>
    </row>
    <row r="430" spans="1:29">
      <c r="A430" s="35"/>
      <c r="B430" s="20"/>
      <c r="C430" s="16"/>
      <c r="D430" s="16"/>
      <c r="E430" s="16"/>
      <c r="F430" s="20"/>
      <c r="G430" s="16"/>
      <c r="H430" s="26"/>
      <c r="I430" s="8"/>
      <c r="J430" s="51"/>
      <c r="K430" s="103"/>
      <c r="L430" s="104"/>
      <c r="M430" s="104"/>
      <c r="N430" s="104"/>
      <c r="O430" s="104"/>
      <c r="P430" s="54"/>
      <c r="Q430" s="20"/>
      <c r="R430" s="76"/>
      <c r="S430" s="76"/>
      <c r="T430" s="76"/>
      <c r="U430" s="76"/>
      <c r="V430" s="76"/>
      <c r="W430" s="76"/>
      <c r="X430" s="76"/>
      <c r="Y430" s="76"/>
      <c r="Z430" s="76"/>
      <c r="AA430" s="76"/>
      <c r="AB430" s="76"/>
      <c r="AC430" s="76"/>
    </row>
    <row r="431" spans="1:29">
      <c r="A431" s="35"/>
      <c r="B431" s="20"/>
      <c r="C431" s="16"/>
      <c r="D431" s="16"/>
      <c r="E431" s="16"/>
      <c r="F431" s="20"/>
      <c r="G431" s="16"/>
      <c r="H431" s="26"/>
      <c r="I431" s="8"/>
      <c r="J431" s="51"/>
      <c r="K431" s="103"/>
      <c r="L431" s="104"/>
      <c r="M431" s="104"/>
      <c r="N431" s="104"/>
      <c r="O431" s="104"/>
      <c r="P431" s="54"/>
      <c r="Q431" s="20"/>
      <c r="R431" s="76"/>
      <c r="S431" s="76"/>
      <c r="T431" s="76"/>
      <c r="U431" s="76"/>
      <c r="V431" s="76"/>
      <c r="W431" s="76"/>
      <c r="X431" s="76"/>
      <c r="Y431" s="76"/>
      <c r="Z431" s="76"/>
      <c r="AA431" s="76"/>
      <c r="AB431" s="76"/>
      <c r="AC431" s="76"/>
    </row>
    <row r="432" spans="1:29">
      <c r="A432" s="35"/>
      <c r="B432" s="20"/>
      <c r="C432" s="16"/>
      <c r="D432" s="16"/>
      <c r="E432" s="16"/>
      <c r="F432" s="20"/>
      <c r="G432" s="16"/>
      <c r="H432" s="26"/>
      <c r="I432" s="8"/>
      <c r="J432" s="51"/>
      <c r="K432" s="103"/>
      <c r="L432" s="104"/>
      <c r="M432" s="104"/>
      <c r="N432" s="104"/>
      <c r="O432" s="104"/>
      <c r="P432" s="54"/>
      <c r="Q432" s="20"/>
      <c r="R432" s="76"/>
      <c r="S432" s="76"/>
      <c r="T432" s="76"/>
      <c r="U432" s="76"/>
      <c r="V432" s="76"/>
      <c r="W432" s="76"/>
      <c r="X432" s="76"/>
      <c r="Y432" s="76"/>
      <c r="Z432" s="76"/>
      <c r="AA432" s="76"/>
      <c r="AB432" s="76"/>
      <c r="AC432" s="76"/>
    </row>
    <row r="433" spans="1:29">
      <c r="A433" s="35"/>
      <c r="B433" s="20"/>
      <c r="C433" s="16"/>
      <c r="D433" s="16"/>
      <c r="E433" s="16"/>
      <c r="F433" s="20"/>
      <c r="G433" s="16"/>
      <c r="H433" s="26"/>
      <c r="I433" s="8"/>
      <c r="J433" s="51"/>
      <c r="K433" s="103"/>
      <c r="L433" s="104"/>
      <c r="M433" s="104"/>
      <c r="N433" s="104"/>
      <c r="O433" s="104"/>
      <c r="P433" s="54"/>
      <c r="Q433" s="20"/>
      <c r="R433" s="76"/>
      <c r="S433" s="76"/>
      <c r="T433" s="76"/>
      <c r="U433" s="76"/>
      <c r="V433" s="76"/>
      <c r="W433" s="76"/>
      <c r="X433" s="76"/>
      <c r="Y433" s="76"/>
      <c r="Z433" s="76"/>
      <c r="AA433" s="76"/>
      <c r="AB433" s="76"/>
      <c r="AC433" s="76"/>
    </row>
    <row r="434" spans="1:29">
      <c r="A434" s="35"/>
      <c r="B434" s="20"/>
      <c r="C434" s="16"/>
      <c r="D434" s="16"/>
      <c r="E434" s="16"/>
      <c r="F434" s="20"/>
      <c r="G434" s="16"/>
      <c r="H434" s="26"/>
      <c r="I434" s="8"/>
      <c r="J434" s="51"/>
      <c r="K434" s="103"/>
      <c r="L434" s="104"/>
      <c r="M434" s="104"/>
      <c r="N434" s="104"/>
      <c r="O434" s="104"/>
      <c r="P434" s="54"/>
      <c r="Q434" s="20"/>
      <c r="R434" s="76"/>
      <c r="S434" s="76"/>
      <c r="T434" s="76"/>
      <c r="U434" s="76"/>
      <c r="V434" s="76"/>
      <c r="W434" s="76"/>
      <c r="X434" s="76"/>
      <c r="Y434" s="76"/>
      <c r="Z434" s="76"/>
      <c r="AA434" s="76"/>
      <c r="AB434" s="76"/>
      <c r="AC434" s="76"/>
    </row>
    <row r="435" spans="1:29">
      <c r="A435" s="35"/>
      <c r="B435" s="20"/>
      <c r="C435" s="16"/>
      <c r="D435" s="16"/>
      <c r="E435" s="16"/>
      <c r="F435" s="20"/>
      <c r="G435" s="16"/>
      <c r="H435" s="26"/>
      <c r="I435" s="8"/>
      <c r="J435" s="51"/>
      <c r="K435" s="103"/>
      <c r="L435" s="104"/>
      <c r="M435" s="104"/>
      <c r="N435" s="104"/>
      <c r="O435" s="104"/>
      <c r="P435" s="54"/>
      <c r="Q435" s="20"/>
      <c r="R435" s="76"/>
      <c r="S435" s="76"/>
      <c r="T435" s="76"/>
      <c r="U435" s="76"/>
      <c r="V435" s="76"/>
      <c r="W435" s="76"/>
      <c r="X435" s="76"/>
      <c r="Y435" s="76"/>
      <c r="Z435" s="76"/>
      <c r="AA435" s="76"/>
      <c r="AB435" s="76"/>
      <c r="AC435" s="76"/>
    </row>
    <row r="436" spans="1:29">
      <c r="A436" s="35"/>
      <c r="B436" s="20"/>
      <c r="C436" s="16"/>
      <c r="D436" s="16"/>
      <c r="E436" s="16"/>
      <c r="F436" s="20"/>
      <c r="G436" s="16"/>
      <c r="H436" s="26"/>
      <c r="I436" s="8"/>
      <c r="J436" s="51"/>
      <c r="K436" s="103"/>
      <c r="L436" s="104"/>
      <c r="M436" s="104"/>
      <c r="N436" s="104"/>
      <c r="O436" s="104"/>
      <c r="P436" s="54"/>
      <c r="Q436" s="20"/>
      <c r="R436" s="76"/>
      <c r="S436" s="76"/>
      <c r="T436" s="76"/>
      <c r="U436" s="76"/>
      <c r="V436" s="76"/>
      <c r="W436" s="76"/>
      <c r="X436" s="76"/>
      <c r="Y436" s="76"/>
      <c r="Z436" s="76"/>
      <c r="AA436" s="76"/>
      <c r="AB436" s="76"/>
      <c r="AC436" s="76"/>
    </row>
    <row r="437" spans="1:29">
      <c r="A437" s="35"/>
      <c r="B437" s="20"/>
      <c r="C437" s="16"/>
      <c r="D437" s="16"/>
      <c r="E437" s="16"/>
      <c r="F437" s="20"/>
      <c r="G437" s="16"/>
      <c r="H437" s="26"/>
      <c r="I437" s="8"/>
      <c r="J437" s="51"/>
      <c r="K437" s="103"/>
      <c r="L437" s="104"/>
      <c r="M437" s="104"/>
      <c r="N437" s="104"/>
      <c r="O437" s="104"/>
      <c r="P437" s="54"/>
      <c r="Q437" s="20"/>
      <c r="R437" s="76"/>
      <c r="S437" s="76"/>
      <c r="T437" s="76"/>
      <c r="U437" s="76"/>
      <c r="V437" s="76"/>
      <c r="W437" s="76"/>
      <c r="X437" s="76"/>
      <c r="Y437" s="76"/>
      <c r="Z437" s="76"/>
      <c r="AA437" s="76"/>
      <c r="AB437" s="76"/>
      <c r="AC437" s="76"/>
    </row>
    <row r="438" spans="1:29">
      <c r="A438" s="35"/>
      <c r="B438" s="20"/>
      <c r="C438" s="16"/>
      <c r="D438" s="16"/>
      <c r="E438" s="16"/>
      <c r="F438" s="20"/>
      <c r="G438" s="16"/>
      <c r="H438" s="26"/>
      <c r="I438" s="8"/>
      <c r="J438" s="51"/>
      <c r="K438" s="103"/>
      <c r="L438" s="104"/>
      <c r="M438" s="104"/>
      <c r="N438" s="104"/>
      <c r="O438" s="104"/>
      <c r="P438" s="54"/>
      <c r="Q438" s="20"/>
      <c r="R438" s="76"/>
      <c r="S438" s="76"/>
      <c r="T438" s="76"/>
      <c r="U438" s="76"/>
      <c r="V438" s="76"/>
      <c r="W438" s="76"/>
      <c r="X438" s="76"/>
      <c r="Y438" s="76"/>
      <c r="Z438" s="76"/>
      <c r="AA438" s="76"/>
      <c r="AB438" s="76"/>
      <c r="AC438" s="76"/>
    </row>
    <row r="439" spans="1:29">
      <c r="A439" s="35"/>
      <c r="B439" s="20"/>
      <c r="C439" s="16"/>
      <c r="D439" s="16"/>
      <c r="E439" s="16"/>
      <c r="F439" s="20"/>
      <c r="G439" s="16"/>
      <c r="H439" s="26"/>
      <c r="I439" s="8"/>
      <c r="J439" s="51"/>
      <c r="K439" s="103"/>
      <c r="L439" s="104"/>
      <c r="M439" s="104"/>
      <c r="N439" s="104"/>
      <c r="O439" s="104"/>
      <c r="P439" s="54"/>
      <c r="Q439" s="20"/>
      <c r="R439" s="76"/>
      <c r="S439" s="76"/>
      <c r="T439" s="76"/>
      <c r="U439" s="76"/>
      <c r="V439" s="76"/>
      <c r="W439" s="76"/>
      <c r="X439" s="76"/>
      <c r="Y439" s="76"/>
      <c r="Z439" s="76"/>
      <c r="AA439" s="76"/>
      <c r="AB439" s="76"/>
      <c r="AC439" s="76"/>
    </row>
    <row r="440" spans="1:29">
      <c r="A440" s="35"/>
      <c r="B440" s="20"/>
      <c r="C440" s="16"/>
      <c r="D440" s="16"/>
      <c r="E440" s="16"/>
      <c r="F440" s="20"/>
      <c r="G440" s="16"/>
      <c r="H440" s="26"/>
      <c r="I440" s="8"/>
      <c r="J440" s="51"/>
      <c r="K440" s="103"/>
      <c r="L440" s="104"/>
      <c r="M440" s="104"/>
      <c r="N440" s="104"/>
      <c r="O440" s="104"/>
      <c r="P440" s="54"/>
      <c r="Q440" s="20"/>
      <c r="R440" s="76"/>
      <c r="S440" s="76"/>
      <c r="T440" s="76"/>
      <c r="U440" s="76"/>
      <c r="V440" s="76"/>
      <c r="W440" s="76"/>
      <c r="X440" s="76"/>
      <c r="Y440" s="76"/>
      <c r="Z440" s="76"/>
      <c r="AA440" s="76"/>
      <c r="AB440" s="76"/>
      <c r="AC440" s="76"/>
    </row>
    <row r="441" spans="1:29">
      <c r="A441" s="35"/>
      <c r="B441" s="20"/>
      <c r="C441" s="16"/>
      <c r="D441" s="16"/>
      <c r="E441" s="16"/>
      <c r="F441" s="20"/>
      <c r="G441" s="16"/>
      <c r="H441" s="26"/>
      <c r="I441" s="8"/>
      <c r="J441" s="51"/>
      <c r="K441" s="103"/>
      <c r="L441" s="104"/>
      <c r="M441" s="104"/>
      <c r="N441" s="104"/>
      <c r="O441" s="104"/>
      <c r="P441" s="54"/>
      <c r="Q441" s="20"/>
      <c r="R441" s="76"/>
      <c r="S441" s="76"/>
      <c r="T441" s="76"/>
      <c r="U441" s="76"/>
      <c r="V441" s="76"/>
      <c r="W441" s="76"/>
      <c r="X441" s="76"/>
      <c r="Y441" s="76"/>
      <c r="Z441" s="76"/>
      <c r="AA441" s="76"/>
      <c r="AB441" s="76"/>
      <c r="AC441" s="76"/>
    </row>
    <row r="442" spans="1:29">
      <c r="A442" s="35"/>
      <c r="B442" s="20"/>
      <c r="C442" s="16"/>
      <c r="D442" s="16"/>
      <c r="E442" s="16"/>
      <c r="F442" s="20"/>
      <c r="G442" s="16"/>
      <c r="H442" s="26"/>
      <c r="I442" s="8"/>
      <c r="J442" s="51"/>
      <c r="K442" s="103"/>
      <c r="L442" s="104"/>
      <c r="M442" s="104"/>
      <c r="N442" s="104"/>
      <c r="O442" s="104"/>
      <c r="P442" s="54"/>
      <c r="Q442" s="20"/>
      <c r="R442" s="76"/>
      <c r="S442" s="76"/>
      <c r="T442" s="76"/>
      <c r="U442" s="76"/>
      <c r="V442" s="76"/>
      <c r="W442" s="76"/>
      <c r="X442" s="76"/>
      <c r="Y442" s="76"/>
      <c r="Z442" s="76"/>
      <c r="AA442" s="76"/>
      <c r="AB442" s="76"/>
      <c r="AC442" s="76"/>
    </row>
    <row r="443" spans="1:29">
      <c r="A443" s="35"/>
      <c r="B443" s="20"/>
      <c r="C443" s="16"/>
      <c r="D443" s="16"/>
      <c r="E443" s="16"/>
      <c r="F443" s="20"/>
      <c r="G443" s="16"/>
      <c r="H443" s="26"/>
      <c r="I443" s="8"/>
      <c r="J443" s="51"/>
      <c r="K443" s="103"/>
      <c r="L443" s="104"/>
      <c r="M443" s="104"/>
      <c r="N443" s="104"/>
      <c r="O443" s="104"/>
      <c r="P443" s="54"/>
      <c r="Q443" s="20"/>
      <c r="R443" s="76"/>
      <c r="S443" s="76"/>
      <c r="T443" s="76"/>
      <c r="U443" s="76"/>
      <c r="V443" s="76"/>
      <c r="W443" s="76"/>
      <c r="X443" s="76"/>
      <c r="Y443" s="76"/>
      <c r="Z443" s="76"/>
      <c r="AA443" s="76"/>
      <c r="AB443" s="76"/>
      <c r="AC443" s="76"/>
    </row>
    <row r="444" spans="1:29">
      <c r="A444" s="35"/>
      <c r="B444" s="20"/>
      <c r="C444" s="16"/>
      <c r="D444" s="16"/>
      <c r="E444" s="16"/>
      <c r="F444" s="20"/>
      <c r="G444" s="16"/>
      <c r="H444" s="26"/>
      <c r="I444" s="8"/>
      <c r="J444" s="51"/>
      <c r="K444" s="103"/>
      <c r="L444" s="104"/>
      <c r="M444" s="104"/>
      <c r="N444" s="104"/>
      <c r="O444" s="104"/>
      <c r="P444" s="54"/>
      <c r="Q444" s="20"/>
      <c r="R444" s="76"/>
      <c r="S444" s="76"/>
      <c r="T444" s="76"/>
      <c r="U444" s="76"/>
      <c r="V444" s="76"/>
      <c r="W444" s="76"/>
      <c r="X444" s="76"/>
      <c r="Y444" s="76"/>
      <c r="Z444" s="76"/>
      <c r="AA444" s="76"/>
      <c r="AB444" s="76"/>
      <c r="AC444" s="76"/>
    </row>
    <row r="445" spans="1:29">
      <c r="A445" s="35"/>
      <c r="B445" s="20"/>
      <c r="C445" s="16"/>
      <c r="D445" s="16"/>
      <c r="E445" s="16"/>
      <c r="F445" s="20"/>
      <c r="G445" s="16"/>
      <c r="H445" s="26"/>
      <c r="I445" s="8"/>
      <c r="J445" s="51"/>
      <c r="K445" s="103"/>
      <c r="L445" s="104"/>
      <c r="M445" s="104"/>
      <c r="N445" s="104"/>
      <c r="O445" s="104"/>
      <c r="P445" s="54"/>
      <c r="Q445" s="20"/>
      <c r="R445" s="76"/>
      <c r="S445" s="76"/>
      <c r="T445" s="76"/>
      <c r="U445" s="76"/>
      <c r="V445" s="76"/>
      <c r="W445" s="76"/>
      <c r="X445" s="76"/>
      <c r="Y445" s="76"/>
      <c r="Z445" s="76"/>
      <c r="AA445" s="76"/>
      <c r="AB445" s="76"/>
      <c r="AC445" s="76"/>
    </row>
    <row r="446" spans="1:29">
      <c r="A446" s="35"/>
      <c r="B446" s="20"/>
      <c r="C446" s="16"/>
      <c r="D446" s="16"/>
      <c r="E446" s="16"/>
      <c r="F446" s="20"/>
      <c r="G446" s="16"/>
      <c r="H446" s="26"/>
      <c r="I446" s="8"/>
      <c r="J446" s="51"/>
      <c r="K446" s="103"/>
      <c r="L446" s="104"/>
      <c r="M446" s="104"/>
      <c r="N446" s="104"/>
      <c r="O446" s="104"/>
      <c r="P446" s="54"/>
      <c r="Q446" s="20"/>
      <c r="R446" s="76"/>
      <c r="S446" s="76"/>
      <c r="T446" s="76"/>
      <c r="U446" s="76"/>
      <c r="V446" s="76"/>
      <c r="W446" s="76"/>
      <c r="X446" s="76"/>
      <c r="Y446" s="76"/>
      <c r="Z446" s="76"/>
      <c r="AA446" s="76"/>
      <c r="AB446" s="76"/>
      <c r="AC446" s="76"/>
    </row>
    <row r="447" spans="1:29">
      <c r="A447" s="35"/>
      <c r="B447" s="20"/>
      <c r="C447" s="16"/>
      <c r="D447" s="16"/>
      <c r="E447" s="16"/>
      <c r="F447" s="20"/>
      <c r="G447" s="16"/>
      <c r="H447" s="26"/>
      <c r="I447" s="8"/>
      <c r="J447" s="51"/>
      <c r="K447" s="103"/>
      <c r="L447" s="104"/>
      <c r="M447" s="104"/>
      <c r="N447" s="104"/>
      <c r="O447" s="104"/>
      <c r="P447" s="54"/>
      <c r="Q447" s="20"/>
      <c r="R447" s="76"/>
      <c r="S447" s="76"/>
      <c r="T447" s="76"/>
      <c r="U447" s="76"/>
      <c r="V447" s="76"/>
      <c r="W447" s="76"/>
      <c r="X447" s="76"/>
      <c r="Y447" s="76"/>
      <c r="Z447" s="76"/>
      <c r="AA447" s="76"/>
      <c r="AB447" s="76"/>
      <c r="AC447" s="76"/>
    </row>
    <row r="448" spans="1:29">
      <c r="A448" s="35"/>
      <c r="B448" s="20"/>
      <c r="C448" s="16"/>
      <c r="D448" s="16"/>
      <c r="E448" s="16"/>
      <c r="F448" s="20"/>
      <c r="G448" s="16"/>
      <c r="H448" s="26"/>
      <c r="I448" s="8"/>
      <c r="J448" s="51"/>
      <c r="K448" s="103"/>
      <c r="L448" s="104"/>
      <c r="M448" s="104"/>
      <c r="N448" s="104"/>
      <c r="O448" s="104"/>
      <c r="P448" s="54"/>
      <c r="Q448" s="20"/>
      <c r="R448" s="76"/>
      <c r="S448" s="76"/>
      <c r="T448" s="76"/>
      <c r="U448" s="76"/>
      <c r="V448" s="76"/>
      <c r="W448" s="76"/>
      <c r="X448" s="76"/>
      <c r="Y448" s="76"/>
      <c r="Z448" s="76"/>
      <c r="AA448" s="76"/>
      <c r="AB448" s="76"/>
      <c r="AC448" s="76"/>
    </row>
    <row r="449" spans="1:29">
      <c r="A449" s="35"/>
      <c r="B449" s="20"/>
      <c r="C449" s="16"/>
      <c r="D449" s="16"/>
      <c r="E449" s="16"/>
      <c r="F449" s="20"/>
      <c r="G449" s="16"/>
      <c r="H449" s="26"/>
      <c r="I449" s="8"/>
      <c r="J449" s="51"/>
      <c r="K449" s="103"/>
      <c r="L449" s="104"/>
      <c r="M449" s="104"/>
      <c r="N449" s="104"/>
      <c r="O449" s="104"/>
      <c r="P449" s="54"/>
      <c r="Q449" s="20"/>
      <c r="R449" s="76"/>
      <c r="S449" s="76"/>
      <c r="T449" s="76"/>
      <c r="U449" s="76"/>
      <c r="V449" s="76"/>
      <c r="W449" s="76"/>
      <c r="X449" s="76"/>
      <c r="Y449" s="76"/>
      <c r="Z449" s="76"/>
      <c r="AA449" s="76"/>
      <c r="AB449" s="76"/>
      <c r="AC449" s="76"/>
    </row>
    <row r="450" spans="1:29">
      <c r="A450" s="35"/>
      <c r="B450" s="20"/>
      <c r="C450" s="16"/>
      <c r="D450" s="16"/>
      <c r="E450" s="16"/>
      <c r="F450" s="20"/>
      <c r="G450" s="16"/>
      <c r="H450" s="26"/>
      <c r="I450" s="8"/>
      <c r="J450" s="51"/>
      <c r="K450" s="103"/>
      <c r="L450" s="104"/>
      <c r="M450" s="104"/>
      <c r="N450" s="104"/>
      <c r="O450" s="104"/>
      <c r="P450" s="54"/>
      <c r="Q450" s="20"/>
      <c r="R450" s="76"/>
      <c r="S450" s="76"/>
      <c r="T450" s="76"/>
      <c r="U450" s="76"/>
      <c r="V450" s="76"/>
      <c r="W450" s="76"/>
      <c r="X450" s="76"/>
      <c r="Y450" s="76"/>
      <c r="Z450" s="76"/>
      <c r="AA450" s="76"/>
      <c r="AB450" s="76"/>
      <c r="AC450" s="76"/>
    </row>
    <row r="451" spans="1:29">
      <c r="A451" s="35"/>
      <c r="B451" s="20"/>
      <c r="C451" s="16"/>
      <c r="D451" s="16"/>
      <c r="E451" s="16"/>
      <c r="F451" s="20"/>
      <c r="G451" s="16"/>
      <c r="H451" s="26"/>
      <c r="I451" s="8"/>
      <c r="J451" s="51"/>
      <c r="K451" s="103"/>
      <c r="L451" s="104"/>
      <c r="M451" s="104"/>
      <c r="N451" s="104"/>
      <c r="O451" s="104"/>
      <c r="P451" s="54"/>
      <c r="Q451" s="20"/>
      <c r="R451" s="76"/>
      <c r="S451" s="76"/>
      <c r="T451" s="76"/>
      <c r="U451" s="76"/>
      <c r="V451" s="76"/>
      <c r="W451" s="76"/>
      <c r="X451" s="76"/>
      <c r="Y451" s="76"/>
      <c r="Z451" s="76"/>
      <c r="AA451" s="76"/>
      <c r="AB451" s="76"/>
      <c r="AC451" s="76"/>
    </row>
    <row r="452" spans="1:29">
      <c r="A452" s="35"/>
      <c r="B452" s="20"/>
      <c r="C452" s="16"/>
      <c r="D452" s="16"/>
      <c r="E452" s="16"/>
      <c r="F452" s="20"/>
      <c r="G452" s="16"/>
      <c r="H452" s="26"/>
      <c r="I452" s="8"/>
      <c r="J452" s="51"/>
      <c r="K452" s="103"/>
      <c r="L452" s="104"/>
      <c r="M452" s="104"/>
      <c r="N452" s="104"/>
      <c r="O452" s="104"/>
      <c r="P452" s="54"/>
      <c r="Q452" s="20"/>
      <c r="R452" s="76"/>
      <c r="S452" s="76"/>
      <c r="T452" s="76"/>
      <c r="U452" s="76"/>
      <c r="V452" s="76"/>
      <c r="W452" s="76"/>
      <c r="X452" s="76"/>
      <c r="Y452" s="76"/>
      <c r="Z452" s="76"/>
      <c r="AA452" s="76"/>
      <c r="AB452" s="76"/>
      <c r="AC452" s="76"/>
    </row>
    <row r="453" spans="1:29">
      <c r="A453" s="35"/>
      <c r="B453" s="20"/>
      <c r="C453" s="16"/>
      <c r="D453" s="16"/>
      <c r="E453" s="16"/>
      <c r="F453" s="20"/>
      <c r="G453" s="16"/>
      <c r="H453" s="26"/>
      <c r="I453" s="8"/>
      <c r="J453" s="51"/>
      <c r="K453" s="103"/>
      <c r="L453" s="104"/>
      <c r="M453" s="104"/>
      <c r="N453" s="104"/>
      <c r="O453" s="104"/>
      <c r="P453" s="54"/>
      <c r="Q453" s="20"/>
      <c r="R453" s="76"/>
      <c r="S453" s="76"/>
      <c r="T453" s="76"/>
      <c r="U453" s="76"/>
      <c r="V453" s="76"/>
      <c r="W453" s="76"/>
      <c r="X453" s="76"/>
      <c r="Y453" s="76"/>
      <c r="Z453" s="76"/>
      <c r="AA453" s="76"/>
      <c r="AB453" s="76"/>
      <c r="AC453" s="76"/>
    </row>
    <row r="454" spans="1:29">
      <c r="A454" s="35"/>
      <c r="B454" s="20"/>
      <c r="C454" s="16"/>
      <c r="D454" s="16"/>
      <c r="E454" s="16"/>
      <c r="F454" s="20"/>
      <c r="G454" s="16"/>
      <c r="H454" s="26"/>
      <c r="I454" s="8"/>
      <c r="J454" s="51"/>
      <c r="K454" s="103"/>
      <c r="L454" s="104"/>
      <c r="M454" s="104"/>
      <c r="N454" s="104"/>
      <c r="O454" s="104"/>
      <c r="P454" s="54"/>
      <c r="Q454" s="20"/>
      <c r="R454" s="76"/>
      <c r="S454" s="76"/>
      <c r="T454" s="76"/>
      <c r="U454" s="76"/>
      <c r="V454" s="76"/>
      <c r="W454" s="76"/>
      <c r="X454" s="76"/>
      <c r="Y454" s="76"/>
      <c r="Z454" s="76"/>
      <c r="AA454" s="76"/>
      <c r="AB454" s="76"/>
      <c r="AC454" s="76"/>
    </row>
    <row r="455" spans="1:29">
      <c r="A455" s="35"/>
      <c r="B455" s="20"/>
      <c r="C455" s="16"/>
      <c r="D455" s="16"/>
      <c r="E455" s="16"/>
      <c r="F455" s="20"/>
      <c r="G455" s="16"/>
      <c r="H455" s="26"/>
      <c r="I455" s="8"/>
      <c r="J455" s="51"/>
      <c r="K455" s="103"/>
      <c r="L455" s="104"/>
      <c r="M455" s="104"/>
      <c r="N455" s="104"/>
      <c r="O455" s="104"/>
      <c r="P455" s="54"/>
      <c r="Q455" s="20"/>
      <c r="R455" s="76"/>
      <c r="S455" s="76"/>
      <c r="T455" s="76"/>
      <c r="U455" s="76"/>
      <c r="V455" s="76"/>
      <c r="W455" s="76"/>
      <c r="X455" s="76"/>
      <c r="Y455" s="76"/>
      <c r="Z455" s="76"/>
      <c r="AA455" s="76"/>
      <c r="AB455" s="76"/>
      <c r="AC455" s="76"/>
    </row>
    <row r="456" spans="1:29">
      <c r="A456" s="35"/>
      <c r="B456" s="20"/>
      <c r="C456" s="16"/>
      <c r="D456" s="16"/>
      <c r="E456" s="16"/>
      <c r="F456" s="20"/>
      <c r="G456" s="16"/>
      <c r="H456" s="26"/>
      <c r="I456" s="8"/>
      <c r="J456" s="51"/>
      <c r="K456" s="103"/>
      <c r="L456" s="104"/>
      <c r="M456" s="104"/>
      <c r="N456" s="104"/>
      <c r="O456" s="104"/>
      <c r="P456" s="54"/>
      <c r="Q456" s="20"/>
      <c r="R456" s="76"/>
      <c r="S456" s="76"/>
      <c r="T456" s="76"/>
      <c r="U456" s="76"/>
      <c r="V456" s="76"/>
      <c r="W456" s="76"/>
      <c r="X456" s="76"/>
      <c r="Y456" s="76"/>
      <c r="Z456" s="76"/>
      <c r="AA456" s="76"/>
      <c r="AB456" s="76"/>
      <c r="AC456" s="76"/>
    </row>
    <row r="457" spans="1:29">
      <c r="A457" s="35"/>
      <c r="B457" s="20"/>
      <c r="C457" s="16"/>
      <c r="D457" s="16"/>
      <c r="E457" s="16"/>
      <c r="F457" s="20"/>
      <c r="G457" s="16"/>
      <c r="H457" s="26"/>
      <c r="I457" s="8"/>
      <c r="J457" s="51"/>
      <c r="K457" s="103"/>
      <c r="L457" s="104"/>
      <c r="M457" s="104"/>
      <c r="N457" s="104"/>
      <c r="O457" s="104"/>
      <c r="P457" s="54"/>
      <c r="Q457" s="20"/>
      <c r="R457" s="76"/>
      <c r="S457" s="76"/>
      <c r="T457" s="76"/>
      <c r="U457" s="76"/>
      <c r="V457" s="76"/>
      <c r="W457" s="76"/>
      <c r="X457" s="76"/>
      <c r="Y457" s="76"/>
      <c r="Z457" s="76"/>
      <c r="AA457" s="76"/>
      <c r="AB457" s="76"/>
      <c r="AC457" s="76"/>
    </row>
    <row r="458" spans="1:29">
      <c r="A458" s="35"/>
      <c r="B458" s="20"/>
      <c r="C458" s="16"/>
      <c r="D458" s="16"/>
      <c r="E458" s="16"/>
      <c r="F458" s="20"/>
      <c r="G458" s="16"/>
      <c r="H458" s="26"/>
      <c r="I458" s="8"/>
      <c r="J458" s="51"/>
      <c r="K458" s="103"/>
      <c r="L458" s="104"/>
      <c r="M458" s="104"/>
      <c r="N458" s="104"/>
      <c r="O458" s="104"/>
      <c r="P458" s="54"/>
      <c r="Q458" s="20"/>
      <c r="R458" s="76"/>
      <c r="S458" s="76"/>
      <c r="T458" s="76"/>
      <c r="U458" s="76"/>
      <c r="V458" s="76"/>
      <c r="W458" s="76"/>
      <c r="X458" s="76"/>
      <c r="Y458" s="76"/>
      <c r="Z458" s="76"/>
      <c r="AA458" s="76"/>
      <c r="AB458" s="76"/>
      <c r="AC458" s="76"/>
    </row>
    <row r="459" spans="1:29">
      <c r="A459" s="35"/>
      <c r="B459" s="20"/>
      <c r="C459" s="16"/>
      <c r="D459" s="16"/>
      <c r="E459" s="16"/>
      <c r="F459" s="20"/>
      <c r="G459" s="16"/>
      <c r="H459" s="26"/>
      <c r="I459" s="8"/>
      <c r="J459" s="51"/>
      <c r="K459" s="103"/>
      <c r="L459" s="104"/>
      <c r="M459" s="104"/>
      <c r="N459" s="104"/>
      <c r="O459" s="104"/>
      <c r="P459" s="54"/>
      <c r="Q459" s="20"/>
      <c r="R459" s="76"/>
      <c r="S459" s="76"/>
      <c r="T459" s="76"/>
      <c r="U459" s="76"/>
      <c r="V459" s="76"/>
      <c r="W459" s="76"/>
      <c r="X459" s="76"/>
      <c r="Y459" s="76"/>
      <c r="Z459" s="76"/>
      <c r="AA459" s="76"/>
      <c r="AB459" s="76"/>
      <c r="AC459" s="76"/>
    </row>
    <row r="460" spans="1:29">
      <c r="A460" s="35"/>
      <c r="B460" s="20"/>
      <c r="C460" s="16"/>
      <c r="D460" s="16"/>
      <c r="E460" s="16"/>
      <c r="F460" s="20"/>
      <c r="G460" s="16"/>
      <c r="H460" s="26"/>
      <c r="I460" s="8"/>
      <c r="J460" s="51"/>
      <c r="K460" s="103"/>
      <c r="L460" s="104"/>
      <c r="M460" s="104"/>
      <c r="N460" s="104"/>
      <c r="O460" s="104"/>
      <c r="P460" s="54"/>
      <c r="Q460" s="20"/>
      <c r="R460" s="76"/>
      <c r="S460" s="76"/>
      <c r="T460" s="76"/>
      <c r="U460" s="76"/>
      <c r="V460" s="76"/>
      <c r="W460" s="76"/>
      <c r="X460" s="76"/>
      <c r="Y460" s="76"/>
      <c r="Z460" s="76"/>
      <c r="AA460" s="76"/>
      <c r="AB460" s="76"/>
      <c r="AC460" s="76"/>
    </row>
    <row r="461" spans="1:29">
      <c r="A461" s="35"/>
      <c r="B461" s="20"/>
      <c r="C461" s="16"/>
      <c r="D461" s="16"/>
      <c r="E461" s="16"/>
      <c r="F461" s="20"/>
      <c r="G461" s="16"/>
      <c r="H461" s="26"/>
      <c r="I461" s="8"/>
      <c r="J461" s="51"/>
      <c r="K461" s="103"/>
      <c r="L461" s="104"/>
      <c r="M461" s="104"/>
      <c r="N461" s="104"/>
      <c r="O461" s="104"/>
      <c r="P461" s="54"/>
      <c r="Q461" s="20"/>
      <c r="R461" s="76"/>
      <c r="S461" s="76"/>
      <c r="T461" s="76"/>
      <c r="U461" s="76"/>
      <c r="V461" s="76"/>
      <c r="W461" s="76"/>
      <c r="X461" s="76"/>
      <c r="Y461" s="76"/>
      <c r="Z461" s="76"/>
      <c r="AA461" s="76"/>
      <c r="AB461" s="76"/>
      <c r="AC461" s="76"/>
    </row>
    <row r="462" spans="1:29">
      <c r="A462" s="35"/>
      <c r="B462" s="20"/>
      <c r="C462" s="16"/>
      <c r="D462" s="16"/>
      <c r="E462" s="16"/>
      <c r="F462" s="20"/>
      <c r="G462" s="16"/>
      <c r="H462" s="26"/>
      <c r="I462" s="8"/>
      <c r="J462" s="51"/>
      <c r="K462" s="103"/>
      <c r="L462" s="104"/>
      <c r="M462" s="104"/>
      <c r="N462" s="104"/>
      <c r="O462" s="104"/>
      <c r="P462" s="54"/>
      <c r="Q462" s="20"/>
      <c r="R462" s="76"/>
      <c r="S462" s="76"/>
      <c r="T462" s="76"/>
      <c r="U462" s="76"/>
      <c r="V462" s="76"/>
      <c r="W462" s="76"/>
      <c r="X462" s="76"/>
      <c r="Y462" s="76"/>
      <c r="Z462" s="76"/>
      <c r="AA462" s="76"/>
      <c r="AB462" s="76"/>
      <c r="AC462" s="76"/>
    </row>
    <row r="463" spans="1:29">
      <c r="A463" s="35"/>
      <c r="B463" s="20"/>
      <c r="C463" s="16"/>
      <c r="D463" s="16"/>
      <c r="E463" s="16"/>
      <c r="F463" s="20"/>
      <c r="G463" s="16"/>
      <c r="H463" s="26"/>
      <c r="I463" s="8"/>
      <c r="J463" s="51"/>
      <c r="K463" s="103"/>
      <c r="L463" s="104"/>
      <c r="M463" s="104"/>
      <c r="N463" s="104"/>
      <c r="O463" s="104"/>
      <c r="P463" s="54"/>
      <c r="Q463" s="20"/>
      <c r="R463" s="76"/>
      <c r="S463" s="76"/>
      <c r="T463" s="76"/>
      <c r="U463" s="76"/>
      <c r="V463" s="76"/>
      <c r="W463" s="76"/>
      <c r="X463" s="76"/>
      <c r="Y463" s="76"/>
      <c r="Z463" s="76"/>
      <c r="AA463" s="76"/>
      <c r="AB463" s="76"/>
      <c r="AC463" s="76"/>
    </row>
    <row r="464" spans="1:29">
      <c r="A464" s="35"/>
      <c r="B464" s="20"/>
      <c r="C464" s="16"/>
      <c r="D464" s="16"/>
      <c r="E464" s="16"/>
      <c r="F464" s="20"/>
      <c r="G464" s="16"/>
      <c r="H464" s="26"/>
      <c r="I464" s="8"/>
      <c r="J464" s="51"/>
      <c r="K464" s="103"/>
      <c r="L464" s="104"/>
      <c r="M464" s="104"/>
      <c r="N464" s="104"/>
      <c r="O464" s="104"/>
      <c r="P464" s="54"/>
      <c r="Q464" s="20"/>
      <c r="R464" s="76"/>
      <c r="S464" s="76"/>
      <c r="T464" s="76"/>
      <c r="U464" s="76"/>
      <c r="V464" s="76"/>
      <c r="W464" s="76"/>
      <c r="X464" s="76"/>
      <c r="Y464" s="76"/>
      <c r="Z464" s="76"/>
      <c r="AA464" s="76"/>
      <c r="AB464" s="76"/>
      <c r="AC464" s="76"/>
    </row>
    <row r="465" spans="1:29">
      <c r="A465" s="35"/>
      <c r="B465" s="20"/>
      <c r="C465" s="16"/>
      <c r="D465" s="16"/>
      <c r="E465" s="16"/>
      <c r="F465" s="20"/>
      <c r="G465" s="16"/>
      <c r="H465" s="26"/>
      <c r="I465" s="8"/>
      <c r="J465" s="51"/>
      <c r="K465" s="103"/>
      <c r="L465" s="104"/>
      <c r="M465" s="104"/>
      <c r="N465" s="104"/>
      <c r="O465" s="104"/>
      <c r="P465" s="54"/>
      <c r="Q465" s="20"/>
      <c r="R465" s="76"/>
      <c r="S465" s="76"/>
      <c r="T465" s="76"/>
      <c r="U465" s="76"/>
      <c r="V465" s="76"/>
      <c r="W465" s="76"/>
      <c r="X465" s="76"/>
      <c r="Y465" s="76"/>
      <c r="Z465" s="76"/>
      <c r="AA465" s="76"/>
      <c r="AB465" s="76"/>
      <c r="AC465" s="76"/>
    </row>
    <row r="466" spans="1:29">
      <c r="A466" s="35"/>
      <c r="B466" s="20"/>
      <c r="C466" s="16"/>
      <c r="D466" s="16"/>
      <c r="E466" s="16"/>
      <c r="F466" s="20"/>
      <c r="G466" s="16"/>
      <c r="H466" s="26"/>
      <c r="I466" s="8"/>
      <c r="J466" s="51"/>
      <c r="K466" s="103"/>
      <c r="L466" s="104"/>
      <c r="M466" s="104"/>
      <c r="N466" s="104"/>
      <c r="O466" s="104"/>
      <c r="P466" s="54"/>
      <c r="Q466" s="20"/>
      <c r="R466" s="76"/>
      <c r="S466" s="76"/>
      <c r="T466" s="76"/>
      <c r="U466" s="76"/>
      <c r="V466" s="76"/>
      <c r="W466" s="76"/>
      <c r="X466" s="76"/>
      <c r="Y466" s="76"/>
      <c r="Z466" s="76"/>
      <c r="AA466" s="76"/>
      <c r="AB466" s="76"/>
      <c r="AC466" s="76"/>
    </row>
    <row r="467" spans="1:29">
      <c r="A467" s="35"/>
      <c r="B467" s="20"/>
      <c r="C467" s="16"/>
      <c r="D467" s="16"/>
      <c r="E467" s="16"/>
      <c r="F467" s="20"/>
      <c r="G467" s="16"/>
      <c r="H467" s="26"/>
      <c r="I467" s="8"/>
      <c r="J467" s="51"/>
      <c r="K467" s="103"/>
      <c r="L467" s="104"/>
      <c r="M467" s="104"/>
      <c r="N467" s="104"/>
      <c r="O467" s="104"/>
      <c r="P467" s="54"/>
      <c r="Q467" s="20"/>
      <c r="R467" s="76"/>
      <c r="S467" s="76"/>
      <c r="T467" s="76"/>
      <c r="U467" s="76"/>
      <c r="V467" s="76"/>
      <c r="W467" s="76"/>
      <c r="X467" s="76"/>
      <c r="Y467" s="76"/>
      <c r="Z467" s="76"/>
      <c r="AA467" s="76"/>
      <c r="AB467" s="76"/>
      <c r="AC467" s="76"/>
    </row>
    <row r="468" spans="1:29">
      <c r="A468" s="35"/>
      <c r="B468" s="20"/>
      <c r="C468" s="16"/>
      <c r="D468" s="16"/>
      <c r="E468" s="16"/>
      <c r="F468" s="20"/>
      <c r="G468" s="16"/>
      <c r="H468" s="26"/>
      <c r="I468" s="8"/>
      <c r="J468" s="51"/>
      <c r="K468" s="103"/>
      <c r="L468" s="104"/>
      <c r="M468" s="104"/>
      <c r="N468" s="104"/>
      <c r="O468" s="104"/>
      <c r="P468" s="54"/>
      <c r="Q468" s="20"/>
      <c r="R468" s="76"/>
      <c r="S468" s="76"/>
      <c r="T468" s="76"/>
      <c r="U468" s="76"/>
      <c r="V468" s="76"/>
      <c r="W468" s="76"/>
      <c r="X468" s="76"/>
      <c r="Y468" s="76"/>
      <c r="Z468" s="76"/>
      <c r="AA468" s="76"/>
      <c r="AB468" s="76"/>
      <c r="AC468" s="76"/>
    </row>
    <row r="469" spans="1:29">
      <c r="A469" s="35"/>
      <c r="B469" s="20"/>
      <c r="C469" s="16"/>
      <c r="D469" s="16"/>
      <c r="E469" s="16"/>
      <c r="F469" s="20"/>
      <c r="G469" s="16"/>
      <c r="H469" s="26"/>
      <c r="I469" s="8"/>
      <c r="J469" s="51"/>
      <c r="K469" s="103"/>
      <c r="L469" s="104"/>
      <c r="M469" s="104"/>
      <c r="N469" s="104"/>
      <c r="O469" s="104"/>
      <c r="P469" s="54"/>
      <c r="Q469" s="20"/>
      <c r="R469" s="76"/>
      <c r="S469" s="76"/>
      <c r="T469" s="76"/>
      <c r="U469" s="76"/>
      <c r="V469" s="76"/>
      <c r="W469" s="76"/>
      <c r="X469" s="76"/>
      <c r="Y469" s="76"/>
      <c r="Z469" s="76"/>
      <c r="AA469" s="76"/>
      <c r="AB469" s="76"/>
      <c r="AC469" s="76"/>
    </row>
    <row r="470" spans="1:29">
      <c r="A470" s="35"/>
      <c r="B470" s="20"/>
      <c r="C470" s="16"/>
      <c r="D470" s="16"/>
      <c r="E470" s="16"/>
      <c r="F470" s="20"/>
      <c r="G470" s="16"/>
      <c r="H470" s="26"/>
      <c r="I470" s="8"/>
      <c r="J470" s="51"/>
      <c r="K470" s="103"/>
      <c r="L470" s="104"/>
      <c r="M470" s="104"/>
      <c r="N470" s="104"/>
      <c r="O470" s="104"/>
      <c r="P470" s="54"/>
      <c r="Q470" s="20"/>
      <c r="R470" s="76"/>
      <c r="S470" s="76"/>
      <c r="T470" s="76"/>
      <c r="U470" s="76"/>
      <c r="V470" s="76"/>
      <c r="W470" s="76"/>
      <c r="X470" s="76"/>
      <c r="Y470" s="76"/>
      <c r="Z470" s="76"/>
      <c r="AA470" s="76"/>
      <c r="AB470" s="76"/>
      <c r="AC470" s="76"/>
    </row>
    <row r="471" spans="1:29">
      <c r="A471" s="35"/>
      <c r="B471" s="20"/>
      <c r="C471" s="16"/>
      <c r="D471" s="16"/>
      <c r="E471" s="16"/>
      <c r="F471" s="20"/>
      <c r="G471" s="16"/>
      <c r="H471" s="26"/>
      <c r="I471" s="8"/>
      <c r="J471" s="51"/>
      <c r="K471" s="103"/>
      <c r="L471" s="104"/>
      <c r="M471" s="104"/>
      <c r="N471" s="104"/>
      <c r="O471" s="104"/>
      <c r="P471" s="54"/>
      <c r="Q471" s="20"/>
      <c r="R471" s="76"/>
      <c r="S471" s="76"/>
      <c r="T471" s="76"/>
      <c r="U471" s="76"/>
      <c r="V471" s="76"/>
      <c r="W471" s="76"/>
      <c r="X471" s="76"/>
      <c r="Y471" s="76"/>
      <c r="Z471" s="76"/>
      <c r="AA471" s="76"/>
      <c r="AB471" s="76"/>
      <c r="AC471" s="76"/>
    </row>
    <row r="472" spans="1:29">
      <c r="A472" s="35"/>
      <c r="B472" s="20"/>
      <c r="C472" s="16"/>
      <c r="D472" s="16"/>
      <c r="E472" s="16"/>
      <c r="F472" s="20"/>
      <c r="G472" s="16"/>
      <c r="H472" s="26"/>
      <c r="I472" s="8"/>
      <c r="J472" s="51"/>
      <c r="K472" s="103"/>
      <c r="L472" s="104"/>
      <c r="M472" s="104"/>
      <c r="N472" s="104"/>
      <c r="O472" s="104"/>
      <c r="P472" s="54"/>
      <c r="Q472" s="20"/>
      <c r="R472" s="76"/>
      <c r="S472" s="76"/>
      <c r="T472" s="76"/>
      <c r="U472" s="76"/>
      <c r="V472" s="76"/>
      <c r="W472" s="76"/>
      <c r="X472" s="76"/>
      <c r="Y472" s="76"/>
      <c r="Z472" s="76"/>
      <c r="AA472" s="76"/>
      <c r="AB472" s="76"/>
      <c r="AC472" s="76"/>
    </row>
    <row r="473" spans="1:29">
      <c r="A473" s="35"/>
      <c r="B473" s="20"/>
      <c r="C473" s="16"/>
      <c r="D473" s="16"/>
      <c r="E473" s="16"/>
      <c r="F473" s="20"/>
      <c r="G473" s="16"/>
      <c r="H473" s="26"/>
      <c r="I473" s="8"/>
      <c r="J473" s="51"/>
      <c r="K473" s="103"/>
      <c r="L473" s="104"/>
      <c r="M473" s="104"/>
      <c r="N473" s="104"/>
      <c r="O473" s="104"/>
      <c r="P473" s="54"/>
      <c r="Q473" s="20"/>
      <c r="R473" s="76"/>
      <c r="S473" s="76"/>
      <c r="T473" s="76"/>
      <c r="U473" s="76"/>
      <c r="V473" s="76"/>
      <c r="W473" s="76"/>
      <c r="X473" s="76"/>
      <c r="Y473" s="76"/>
      <c r="Z473" s="76"/>
      <c r="AA473" s="76"/>
      <c r="AB473" s="76"/>
      <c r="AC473" s="76"/>
    </row>
    <row r="474" spans="1:29">
      <c r="A474" s="35"/>
      <c r="B474" s="20"/>
      <c r="C474" s="16"/>
      <c r="D474" s="16"/>
      <c r="E474" s="16"/>
      <c r="F474" s="20"/>
      <c r="G474" s="16"/>
      <c r="H474" s="26"/>
      <c r="I474" s="8"/>
      <c r="J474" s="51"/>
      <c r="K474" s="103"/>
      <c r="L474" s="104"/>
      <c r="M474" s="104"/>
      <c r="N474" s="104"/>
      <c r="O474" s="104"/>
      <c r="P474" s="54"/>
      <c r="Q474" s="20"/>
      <c r="R474" s="76"/>
      <c r="S474" s="76"/>
      <c r="T474" s="76"/>
      <c r="U474" s="76"/>
      <c r="V474" s="76"/>
      <c r="W474" s="76"/>
      <c r="X474" s="76"/>
      <c r="Y474" s="76"/>
      <c r="Z474" s="76"/>
      <c r="AA474" s="76"/>
      <c r="AB474" s="76"/>
      <c r="AC474" s="76"/>
    </row>
    <row r="475" spans="1:29">
      <c r="A475" s="35"/>
      <c r="B475" s="20"/>
      <c r="C475" s="16"/>
      <c r="D475" s="16"/>
      <c r="E475" s="16"/>
      <c r="F475" s="20"/>
      <c r="G475" s="16"/>
      <c r="H475" s="26"/>
      <c r="I475" s="8"/>
      <c r="J475" s="51"/>
      <c r="K475" s="103"/>
      <c r="L475" s="104"/>
      <c r="M475" s="104"/>
      <c r="N475" s="104"/>
      <c r="O475" s="104"/>
      <c r="P475" s="54"/>
      <c r="Q475" s="20"/>
      <c r="R475" s="76"/>
      <c r="S475" s="76"/>
      <c r="T475" s="76"/>
      <c r="U475" s="76"/>
      <c r="V475" s="76"/>
      <c r="W475" s="76"/>
      <c r="X475" s="76"/>
      <c r="Y475" s="76"/>
      <c r="Z475" s="76"/>
      <c r="AA475" s="76"/>
      <c r="AB475" s="76"/>
      <c r="AC475" s="76"/>
    </row>
    <row r="476" spans="1:29">
      <c r="A476" s="35"/>
      <c r="B476" s="20"/>
      <c r="C476" s="16"/>
      <c r="D476" s="16"/>
      <c r="E476" s="16"/>
      <c r="F476" s="20"/>
      <c r="G476" s="16"/>
      <c r="H476" s="26"/>
      <c r="I476" s="8"/>
      <c r="J476" s="51"/>
      <c r="K476" s="103"/>
      <c r="L476" s="104"/>
      <c r="M476" s="104"/>
      <c r="N476" s="104"/>
      <c r="O476" s="104"/>
      <c r="P476" s="54"/>
      <c r="Q476" s="20"/>
      <c r="R476" s="76"/>
      <c r="S476" s="76"/>
      <c r="T476" s="76"/>
      <c r="U476" s="76"/>
      <c r="V476" s="76"/>
      <c r="W476" s="76"/>
      <c r="X476" s="76"/>
      <c r="Y476" s="76"/>
      <c r="Z476" s="76"/>
      <c r="AA476" s="76"/>
      <c r="AB476" s="76"/>
      <c r="AC476" s="76"/>
    </row>
    <row r="477" spans="1:29">
      <c r="A477" s="35"/>
      <c r="B477" s="20"/>
      <c r="C477" s="16"/>
      <c r="D477" s="16"/>
      <c r="E477" s="16"/>
      <c r="F477" s="20"/>
      <c r="G477" s="16"/>
      <c r="H477" s="26"/>
      <c r="I477" s="8"/>
      <c r="J477" s="51"/>
      <c r="K477" s="103"/>
      <c r="L477" s="104"/>
      <c r="M477" s="104"/>
      <c r="N477" s="104"/>
      <c r="O477" s="104"/>
      <c r="P477" s="54"/>
      <c r="Q477" s="20"/>
      <c r="R477" s="76"/>
      <c r="S477" s="76"/>
      <c r="T477" s="76"/>
      <c r="U477" s="76"/>
      <c r="V477" s="76"/>
      <c r="W477" s="76"/>
      <c r="X477" s="76"/>
      <c r="Y477" s="76"/>
      <c r="Z477" s="76"/>
      <c r="AA477" s="76"/>
      <c r="AB477" s="76"/>
      <c r="AC477" s="76"/>
    </row>
    <row r="478" spans="1:29">
      <c r="A478" s="35"/>
      <c r="B478" s="20"/>
      <c r="C478" s="16"/>
      <c r="D478" s="16"/>
      <c r="E478" s="16"/>
      <c r="F478" s="20"/>
      <c r="G478" s="16"/>
      <c r="H478" s="26"/>
      <c r="I478" s="8"/>
      <c r="J478" s="51"/>
      <c r="K478" s="103"/>
      <c r="L478" s="104"/>
      <c r="M478" s="104"/>
      <c r="N478" s="104"/>
      <c r="O478" s="104"/>
      <c r="P478" s="54"/>
      <c r="Q478" s="20"/>
      <c r="R478" s="76"/>
      <c r="S478" s="76"/>
      <c r="T478" s="76"/>
      <c r="U478" s="76"/>
      <c r="V478" s="76"/>
      <c r="W478" s="76"/>
      <c r="X478" s="76"/>
      <c r="Y478" s="76"/>
      <c r="Z478" s="76"/>
      <c r="AA478" s="76"/>
      <c r="AB478" s="76"/>
      <c r="AC478" s="76"/>
    </row>
    <row r="479" spans="1:29">
      <c r="A479" s="35"/>
      <c r="B479" s="20"/>
      <c r="C479" s="16"/>
      <c r="D479" s="16"/>
      <c r="E479" s="16"/>
      <c r="F479" s="20"/>
      <c r="G479" s="16"/>
      <c r="H479" s="26"/>
      <c r="I479" s="8"/>
      <c r="J479" s="51"/>
      <c r="K479" s="103"/>
      <c r="L479" s="104"/>
      <c r="M479" s="104"/>
      <c r="N479" s="104"/>
      <c r="O479" s="104"/>
      <c r="P479" s="54"/>
      <c r="Q479" s="20"/>
      <c r="R479" s="76"/>
      <c r="S479" s="76"/>
      <c r="T479" s="76"/>
      <c r="U479" s="76"/>
      <c r="V479" s="76"/>
      <c r="W479" s="76"/>
      <c r="X479" s="76"/>
      <c r="Y479" s="76"/>
      <c r="Z479" s="76"/>
      <c r="AA479" s="76"/>
      <c r="AB479" s="76"/>
      <c r="AC479" s="76"/>
    </row>
    <row r="480" spans="1:29">
      <c r="A480" s="35"/>
      <c r="B480" s="20"/>
      <c r="C480" s="16"/>
      <c r="D480" s="16"/>
      <c r="E480" s="16"/>
      <c r="F480" s="20"/>
      <c r="G480" s="16"/>
      <c r="H480" s="26"/>
      <c r="I480" s="8"/>
      <c r="J480" s="51"/>
      <c r="K480" s="103"/>
      <c r="L480" s="104"/>
      <c r="M480" s="104"/>
      <c r="N480" s="104"/>
      <c r="O480" s="104"/>
      <c r="P480" s="54"/>
      <c r="Q480" s="20"/>
      <c r="R480" s="76"/>
      <c r="S480" s="76"/>
      <c r="T480" s="76"/>
      <c r="U480" s="76"/>
      <c r="V480" s="76"/>
      <c r="W480" s="76"/>
      <c r="X480" s="76"/>
      <c r="Y480" s="76"/>
      <c r="Z480" s="76"/>
      <c r="AA480" s="76"/>
      <c r="AB480" s="76"/>
      <c r="AC480" s="76"/>
    </row>
    <row r="481" spans="1:29">
      <c r="A481" s="35"/>
      <c r="B481" s="20"/>
      <c r="C481" s="16"/>
      <c r="D481" s="16"/>
      <c r="E481" s="16"/>
      <c r="F481" s="20"/>
      <c r="G481" s="16"/>
      <c r="H481" s="26"/>
      <c r="I481" s="8"/>
      <c r="J481" s="51"/>
      <c r="K481" s="103"/>
      <c r="L481" s="104"/>
      <c r="M481" s="104"/>
      <c r="N481" s="104"/>
      <c r="O481" s="104"/>
      <c r="P481" s="54"/>
      <c r="Q481" s="20"/>
      <c r="R481" s="76"/>
      <c r="S481" s="76"/>
      <c r="T481" s="76"/>
      <c r="U481" s="76"/>
      <c r="V481" s="76"/>
      <c r="W481" s="76"/>
      <c r="X481" s="76"/>
      <c r="Y481" s="76"/>
      <c r="Z481" s="76"/>
      <c r="AA481" s="76"/>
      <c r="AB481" s="76"/>
      <c r="AC481" s="76"/>
    </row>
    <row r="482" spans="1:29">
      <c r="A482" s="35"/>
      <c r="B482" s="20"/>
      <c r="C482" s="16"/>
      <c r="D482" s="16"/>
      <c r="E482" s="16"/>
      <c r="F482" s="20"/>
      <c r="G482" s="16"/>
      <c r="H482" s="26"/>
      <c r="I482" s="8"/>
      <c r="J482" s="51"/>
      <c r="K482" s="103"/>
      <c r="L482" s="104"/>
      <c r="M482" s="104"/>
      <c r="N482" s="104"/>
      <c r="O482" s="104"/>
      <c r="P482" s="54"/>
      <c r="Q482" s="20"/>
      <c r="R482" s="76"/>
      <c r="S482" s="76"/>
      <c r="T482" s="76"/>
      <c r="U482" s="76"/>
      <c r="V482" s="76"/>
      <c r="W482" s="76"/>
      <c r="X482" s="76"/>
      <c r="Y482" s="76"/>
      <c r="Z482" s="76"/>
      <c r="AA482" s="76"/>
      <c r="AB482" s="76"/>
      <c r="AC482" s="76"/>
    </row>
    <row r="483" spans="1:29">
      <c r="A483" s="35"/>
      <c r="B483" s="20"/>
      <c r="C483" s="16"/>
      <c r="D483" s="16"/>
      <c r="E483" s="16"/>
      <c r="F483" s="20"/>
      <c r="G483" s="16"/>
      <c r="H483" s="26"/>
      <c r="I483" s="8"/>
      <c r="J483" s="51"/>
      <c r="K483" s="103"/>
      <c r="L483" s="104"/>
      <c r="M483" s="104"/>
      <c r="N483" s="104"/>
      <c r="O483" s="104"/>
      <c r="P483" s="54"/>
      <c r="Q483" s="20"/>
      <c r="R483" s="76"/>
      <c r="S483" s="76"/>
      <c r="T483" s="76"/>
      <c r="U483" s="76"/>
      <c r="V483" s="76"/>
      <c r="W483" s="76"/>
      <c r="X483" s="76"/>
      <c r="Y483" s="76"/>
      <c r="Z483" s="76"/>
      <c r="AA483" s="76"/>
      <c r="AB483" s="76"/>
      <c r="AC483" s="76"/>
    </row>
    <row r="484" spans="1:29">
      <c r="A484" s="35"/>
      <c r="B484" s="20"/>
      <c r="C484" s="16"/>
      <c r="D484" s="16"/>
      <c r="E484" s="16"/>
      <c r="F484" s="20"/>
      <c r="G484" s="16"/>
      <c r="H484" s="26"/>
      <c r="I484" s="8"/>
      <c r="J484" s="51"/>
      <c r="K484" s="103"/>
      <c r="L484" s="104"/>
      <c r="M484" s="104"/>
      <c r="N484" s="104"/>
      <c r="O484" s="104"/>
      <c r="P484" s="54"/>
      <c r="Q484" s="20"/>
      <c r="R484" s="76"/>
      <c r="S484" s="76"/>
      <c r="T484" s="76"/>
      <c r="U484" s="76"/>
      <c r="V484" s="76"/>
      <c r="W484" s="76"/>
      <c r="X484" s="76"/>
      <c r="Y484" s="76"/>
      <c r="Z484" s="76"/>
      <c r="AA484" s="76"/>
      <c r="AB484" s="76"/>
      <c r="AC484" s="76"/>
    </row>
    <row r="485" spans="1:29">
      <c r="A485" s="35"/>
      <c r="B485" s="20"/>
      <c r="C485" s="16"/>
      <c r="D485" s="16"/>
      <c r="E485" s="16"/>
      <c r="F485" s="20"/>
      <c r="G485" s="16"/>
      <c r="H485" s="26"/>
      <c r="I485" s="8"/>
      <c r="J485" s="51"/>
      <c r="K485" s="103"/>
      <c r="L485" s="104"/>
      <c r="M485" s="104"/>
      <c r="N485" s="104"/>
      <c r="O485" s="104"/>
      <c r="P485" s="54"/>
      <c r="Q485" s="20"/>
      <c r="R485" s="76"/>
      <c r="S485" s="76"/>
      <c r="T485" s="76"/>
      <c r="U485" s="76"/>
      <c r="V485" s="76"/>
      <c r="W485" s="76"/>
      <c r="X485" s="76"/>
      <c r="Y485" s="76"/>
      <c r="Z485" s="76"/>
      <c r="AA485" s="76"/>
      <c r="AB485" s="76"/>
      <c r="AC485" s="76"/>
    </row>
    <row r="486" spans="1:29">
      <c r="A486" s="35"/>
      <c r="B486" s="20"/>
      <c r="C486" s="16"/>
      <c r="D486" s="16"/>
      <c r="E486" s="16"/>
      <c r="F486" s="20"/>
      <c r="G486" s="16"/>
      <c r="H486" s="26"/>
      <c r="I486" s="8"/>
      <c r="J486" s="51"/>
      <c r="K486" s="103"/>
      <c r="L486" s="104"/>
      <c r="M486" s="104"/>
      <c r="N486" s="104"/>
      <c r="O486" s="104"/>
      <c r="P486" s="54"/>
      <c r="Q486" s="20"/>
      <c r="R486" s="76"/>
      <c r="S486" s="76"/>
      <c r="T486" s="76"/>
      <c r="U486" s="76"/>
      <c r="V486" s="76"/>
      <c r="W486" s="76"/>
      <c r="X486" s="76"/>
      <c r="Y486" s="76"/>
      <c r="Z486" s="76"/>
      <c r="AA486" s="76"/>
      <c r="AB486" s="76"/>
      <c r="AC486" s="76"/>
    </row>
    <row r="487" spans="1:29">
      <c r="A487" s="35"/>
      <c r="B487" s="20"/>
      <c r="C487" s="16"/>
      <c r="D487" s="16"/>
      <c r="E487" s="16"/>
      <c r="F487" s="20"/>
      <c r="G487" s="16"/>
      <c r="H487" s="26"/>
      <c r="I487" s="8"/>
      <c r="J487" s="51"/>
      <c r="K487" s="103"/>
      <c r="L487" s="104"/>
      <c r="M487" s="104"/>
      <c r="N487" s="104"/>
      <c r="O487" s="104"/>
      <c r="P487" s="54"/>
      <c r="Q487" s="20"/>
      <c r="R487" s="76"/>
      <c r="S487" s="76"/>
      <c r="T487" s="76"/>
      <c r="U487" s="76"/>
      <c r="V487" s="76"/>
      <c r="W487" s="76"/>
      <c r="X487" s="76"/>
      <c r="Y487" s="76"/>
      <c r="Z487" s="76"/>
      <c r="AA487" s="76"/>
      <c r="AB487" s="76"/>
      <c r="AC487" s="76"/>
    </row>
    <row r="488" spans="1:29">
      <c r="A488" s="35"/>
      <c r="B488" s="20"/>
      <c r="C488" s="16"/>
      <c r="D488" s="16"/>
      <c r="E488" s="16"/>
      <c r="F488" s="20"/>
      <c r="G488" s="16"/>
      <c r="H488" s="26"/>
      <c r="I488" s="8"/>
      <c r="J488" s="51"/>
      <c r="K488" s="103"/>
      <c r="L488" s="104"/>
      <c r="M488" s="104"/>
      <c r="N488" s="104"/>
      <c r="O488" s="104"/>
      <c r="P488" s="54"/>
      <c r="Q488" s="20"/>
      <c r="R488" s="76"/>
      <c r="S488" s="76"/>
      <c r="T488" s="76"/>
      <c r="U488" s="76"/>
      <c r="V488" s="76"/>
      <c r="W488" s="76"/>
      <c r="X488" s="76"/>
      <c r="Y488" s="76"/>
      <c r="Z488" s="76"/>
      <c r="AA488" s="76"/>
      <c r="AB488" s="76"/>
      <c r="AC488" s="76"/>
    </row>
    <row r="489" spans="1:29">
      <c r="A489" s="35"/>
      <c r="B489" s="20"/>
      <c r="C489" s="16"/>
      <c r="D489" s="16"/>
      <c r="E489" s="16"/>
      <c r="F489" s="20"/>
      <c r="G489" s="16"/>
      <c r="H489" s="26"/>
      <c r="I489" s="8"/>
      <c r="J489" s="51"/>
      <c r="K489" s="103"/>
      <c r="L489" s="104"/>
      <c r="M489" s="104"/>
      <c r="N489" s="104"/>
      <c r="O489" s="104"/>
      <c r="P489" s="54"/>
      <c r="Q489" s="20"/>
      <c r="R489" s="76"/>
      <c r="S489" s="76"/>
      <c r="T489" s="76"/>
      <c r="U489" s="76"/>
      <c r="V489" s="76"/>
      <c r="W489" s="76"/>
      <c r="X489" s="76"/>
      <c r="Y489" s="76"/>
      <c r="Z489" s="76"/>
      <c r="AA489" s="76"/>
      <c r="AB489" s="76"/>
      <c r="AC489" s="76"/>
    </row>
    <row r="490" spans="1:29">
      <c r="A490" s="35"/>
      <c r="B490" s="20"/>
      <c r="C490" s="16"/>
      <c r="D490" s="16"/>
      <c r="E490" s="16"/>
      <c r="F490" s="20"/>
      <c r="G490" s="16"/>
      <c r="H490" s="26"/>
      <c r="I490" s="8"/>
      <c r="J490" s="51"/>
      <c r="K490" s="103"/>
      <c r="L490" s="104"/>
      <c r="M490" s="104"/>
      <c r="N490" s="104"/>
      <c r="O490" s="104"/>
      <c r="P490" s="54"/>
      <c r="Q490" s="20"/>
      <c r="R490" s="76"/>
      <c r="S490" s="76"/>
      <c r="T490" s="76"/>
      <c r="U490" s="76"/>
      <c r="V490" s="76"/>
      <c r="W490" s="76"/>
      <c r="X490" s="76"/>
      <c r="Y490" s="76"/>
      <c r="Z490" s="76"/>
      <c r="AA490" s="76"/>
      <c r="AB490" s="76"/>
      <c r="AC490" s="76"/>
    </row>
    <row r="491" spans="1:29">
      <c r="A491" s="35"/>
      <c r="B491" s="20"/>
      <c r="C491" s="16"/>
      <c r="D491" s="16"/>
      <c r="E491" s="16"/>
      <c r="F491" s="20"/>
      <c r="G491" s="16"/>
      <c r="H491" s="26"/>
      <c r="I491" s="8"/>
      <c r="J491" s="51"/>
      <c r="K491" s="103"/>
      <c r="L491" s="104"/>
      <c r="M491" s="104"/>
      <c r="N491" s="104"/>
      <c r="O491" s="104"/>
      <c r="P491" s="54"/>
      <c r="Q491" s="20"/>
      <c r="R491" s="76"/>
      <c r="S491" s="76"/>
      <c r="T491" s="76"/>
      <c r="U491" s="76"/>
      <c r="V491" s="76"/>
      <c r="W491" s="76"/>
      <c r="X491" s="76"/>
      <c r="Y491" s="76"/>
      <c r="Z491" s="76"/>
      <c r="AA491" s="76"/>
      <c r="AB491" s="76"/>
      <c r="AC491" s="76"/>
    </row>
    <row r="492" spans="1:29">
      <c r="A492" s="35"/>
      <c r="B492" s="20"/>
      <c r="C492" s="16"/>
      <c r="D492" s="16"/>
      <c r="E492" s="16"/>
      <c r="F492" s="20"/>
      <c r="G492" s="16"/>
      <c r="H492" s="26"/>
      <c r="I492" s="8"/>
      <c r="J492" s="51"/>
      <c r="K492" s="103"/>
      <c r="L492" s="104"/>
      <c r="M492" s="104"/>
      <c r="N492" s="104"/>
      <c r="O492" s="104"/>
      <c r="P492" s="54"/>
      <c r="Q492" s="20"/>
      <c r="R492" s="76"/>
      <c r="S492" s="76"/>
      <c r="T492" s="76"/>
      <c r="U492" s="76"/>
      <c r="V492" s="76"/>
      <c r="W492" s="76"/>
      <c r="X492" s="76"/>
      <c r="Y492" s="76"/>
      <c r="Z492" s="76"/>
      <c r="AA492" s="76"/>
      <c r="AB492" s="76"/>
      <c r="AC492" s="76"/>
    </row>
    <row r="493" spans="1:29">
      <c r="A493" s="35"/>
      <c r="B493" s="20"/>
      <c r="C493" s="16"/>
      <c r="D493" s="16"/>
      <c r="E493" s="16"/>
      <c r="F493" s="20"/>
      <c r="G493" s="16"/>
      <c r="H493" s="26"/>
      <c r="I493" s="8"/>
      <c r="J493" s="51"/>
      <c r="K493" s="103"/>
      <c r="L493" s="104"/>
      <c r="M493" s="104"/>
      <c r="N493" s="104"/>
      <c r="O493" s="104"/>
      <c r="P493" s="54"/>
      <c r="Q493" s="20"/>
      <c r="R493" s="76"/>
      <c r="S493" s="76"/>
      <c r="T493" s="76"/>
      <c r="U493" s="76"/>
      <c r="V493" s="76"/>
      <c r="W493" s="76"/>
      <c r="X493" s="76"/>
      <c r="Y493" s="76"/>
      <c r="Z493" s="76"/>
      <c r="AA493" s="76"/>
      <c r="AB493" s="76"/>
      <c r="AC493" s="76"/>
    </row>
    <row r="494" spans="1:29">
      <c r="A494" s="35"/>
      <c r="B494" s="20"/>
      <c r="C494" s="16"/>
      <c r="D494" s="16"/>
      <c r="E494" s="16"/>
      <c r="F494" s="20"/>
      <c r="G494" s="16"/>
      <c r="H494" s="26"/>
      <c r="I494" s="8"/>
      <c r="J494" s="51"/>
      <c r="K494" s="103"/>
      <c r="L494" s="104"/>
      <c r="M494" s="104"/>
      <c r="N494" s="104"/>
      <c r="O494" s="104"/>
      <c r="P494" s="54"/>
      <c r="Q494" s="20"/>
      <c r="R494" s="76"/>
      <c r="S494" s="76"/>
      <c r="T494" s="76"/>
      <c r="U494" s="76"/>
      <c r="V494" s="76"/>
      <c r="W494" s="76"/>
      <c r="X494" s="76"/>
      <c r="Y494" s="76"/>
      <c r="Z494" s="76"/>
      <c r="AA494" s="76"/>
      <c r="AB494" s="76"/>
      <c r="AC494" s="76"/>
    </row>
    <row r="495" spans="1:29">
      <c r="A495" s="35"/>
      <c r="B495" s="20"/>
      <c r="C495" s="16"/>
      <c r="D495" s="16"/>
      <c r="E495" s="16"/>
      <c r="F495" s="20"/>
      <c r="G495" s="16"/>
      <c r="H495" s="26"/>
      <c r="I495" s="8"/>
      <c r="J495" s="51"/>
      <c r="K495" s="103"/>
      <c r="L495" s="104"/>
      <c r="M495" s="104"/>
      <c r="N495" s="104"/>
      <c r="O495" s="104"/>
      <c r="P495" s="54"/>
      <c r="Q495" s="20"/>
      <c r="R495" s="76"/>
      <c r="S495" s="76"/>
      <c r="T495" s="76"/>
      <c r="U495" s="76"/>
      <c r="V495" s="76"/>
      <c r="W495" s="76"/>
      <c r="X495" s="76"/>
      <c r="Y495" s="76"/>
      <c r="Z495" s="76"/>
      <c r="AA495" s="76"/>
      <c r="AB495" s="76"/>
      <c r="AC495" s="76"/>
    </row>
    <row r="496" spans="1:29">
      <c r="A496" s="35"/>
      <c r="B496" s="20"/>
      <c r="C496" s="16"/>
      <c r="D496" s="16"/>
      <c r="E496" s="16"/>
      <c r="F496" s="20"/>
      <c r="G496" s="16"/>
      <c r="H496" s="26"/>
      <c r="I496" s="8"/>
      <c r="J496" s="51"/>
      <c r="K496" s="103"/>
      <c r="L496" s="104"/>
      <c r="M496" s="104"/>
      <c r="N496" s="104"/>
      <c r="O496" s="104"/>
      <c r="P496" s="54"/>
      <c r="Q496" s="20"/>
      <c r="R496" s="76"/>
      <c r="S496" s="76"/>
      <c r="T496" s="76"/>
      <c r="U496" s="76"/>
      <c r="V496" s="76"/>
      <c r="W496" s="76"/>
      <c r="X496" s="76"/>
      <c r="Y496" s="76"/>
      <c r="Z496" s="76"/>
      <c r="AA496" s="76"/>
      <c r="AB496" s="76"/>
      <c r="AC496" s="76"/>
    </row>
    <row r="497" spans="1:29">
      <c r="A497" s="35"/>
      <c r="B497" s="20"/>
      <c r="C497" s="16"/>
      <c r="D497" s="16"/>
      <c r="E497" s="16"/>
      <c r="F497" s="20"/>
      <c r="G497" s="16"/>
      <c r="H497" s="26"/>
      <c r="I497" s="8"/>
      <c r="J497" s="51"/>
      <c r="K497" s="103"/>
      <c r="L497" s="104"/>
      <c r="M497" s="104"/>
      <c r="N497" s="104"/>
      <c r="O497" s="104"/>
      <c r="P497" s="54"/>
      <c r="Q497" s="20"/>
      <c r="R497" s="76"/>
      <c r="S497" s="76"/>
      <c r="T497" s="76"/>
      <c r="U497" s="76"/>
      <c r="V497" s="76"/>
      <c r="W497" s="76"/>
      <c r="X497" s="76"/>
      <c r="Y497" s="76"/>
      <c r="Z497" s="76"/>
      <c r="AA497" s="76"/>
      <c r="AB497" s="76"/>
      <c r="AC497" s="76"/>
    </row>
    <row r="498" spans="1:29">
      <c r="A498" s="35"/>
      <c r="B498" s="20"/>
      <c r="C498" s="16"/>
      <c r="D498" s="16"/>
      <c r="E498" s="16"/>
      <c r="F498" s="20"/>
      <c r="G498" s="16"/>
      <c r="H498" s="26"/>
      <c r="I498" s="8"/>
      <c r="J498" s="51"/>
      <c r="K498" s="103"/>
      <c r="L498" s="104"/>
      <c r="M498" s="104"/>
      <c r="N498" s="104"/>
      <c r="O498" s="104"/>
      <c r="P498" s="54"/>
      <c r="Q498" s="20"/>
      <c r="R498" s="76"/>
      <c r="S498" s="76"/>
      <c r="T498" s="76"/>
      <c r="U498" s="76"/>
      <c r="V498" s="76"/>
      <c r="W498" s="76"/>
      <c r="X498" s="76"/>
      <c r="Y498" s="76"/>
      <c r="Z498" s="76"/>
      <c r="AA498" s="76"/>
      <c r="AB498" s="76"/>
      <c r="AC498" s="76"/>
    </row>
    <row r="499" spans="1:29">
      <c r="A499" s="35"/>
      <c r="B499" s="20"/>
      <c r="C499" s="16"/>
      <c r="D499" s="16"/>
      <c r="E499" s="16"/>
      <c r="F499" s="20"/>
      <c r="G499" s="16"/>
      <c r="H499" s="26"/>
      <c r="I499" s="8"/>
      <c r="J499" s="51"/>
      <c r="K499" s="103"/>
      <c r="L499" s="104"/>
      <c r="M499" s="104"/>
      <c r="N499" s="104"/>
      <c r="O499" s="104"/>
      <c r="P499" s="54"/>
      <c r="Q499" s="20"/>
      <c r="R499" s="76"/>
      <c r="S499" s="76"/>
      <c r="T499" s="76"/>
      <c r="U499" s="76"/>
      <c r="V499" s="76"/>
      <c r="W499" s="76"/>
      <c r="X499" s="76"/>
      <c r="Y499" s="76"/>
      <c r="Z499" s="76"/>
      <c r="AA499" s="76"/>
      <c r="AB499" s="76"/>
      <c r="AC499" s="76"/>
    </row>
    <row r="500" spans="1:29">
      <c r="A500" s="35"/>
      <c r="B500" s="20"/>
      <c r="C500" s="16"/>
      <c r="D500" s="16"/>
      <c r="E500" s="16"/>
      <c r="F500" s="20"/>
      <c r="G500" s="16"/>
      <c r="H500" s="26"/>
      <c r="I500" s="8"/>
      <c r="J500" s="51"/>
      <c r="K500" s="103"/>
      <c r="L500" s="104"/>
      <c r="M500" s="104"/>
      <c r="N500" s="104"/>
      <c r="O500" s="104"/>
      <c r="P500" s="54"/>
      <c r="Q500" s="20"/>
      <c r="R500" s="76"/>
      <c r="S500" s="76"/>
      <c r="T500" s="76"/>
      <c r="U500" s="76"/>
      <c r="V500" s="76"/>
      <c r="W500" s="76"/>
      <c r="X500" s="76"/>
      <c r="Y500" s="76"/>
      <c r="Z500" s="76"/>
      <c r="AA500" s="76"/>
      <c r="AB500" s="76"/>
      <c r="AC500" s="76"/>
    </row>
    <row r="501" spans="1:29">
      <c r="A501" s="35"/>
      <c r="B501" s="20"/>
      <c r="C501" s="16"/>
      <c r="D501" s="16"/>
      <c r="E501" s="16"/>
      <c r="F501" s="20"/>
      <c r="G501" s="16"/>
      <c r="H501" s="26"/>
      <c r="I501" s="8"/>
      <c r="J501" s="51"/>
      <c r="K501" s="103"/>
      <c r="L501" s="104"/>
      <c r="M501" s="104"/>
      <c r="N501" s="104"/>
      <c r="O501" s="104"/>
      <c r="P501" s="54"/>
      <c r="Q501" s="20"/>
      <c r="R501" s="76"/>
      <c r="S501" s="76"/>
      <c r="T501" s="76"/>
      <c r="U501" s="76"/>
      <c r="V501" s="76"/>
      <c r="W501" s="76"/>
      <c r="X501" s="76"/>
      <c r="Y501" s="76"/>
      <c r="Z501" s="76"/>
      <c r="AA501" s="76"/>
      <c r="AB501" s="76"/>
      <c r="AC501" s="76"/>
    </row>
    <row r="502" spans="1:29">
      <c r="A502" s="35"/>
      <c r="B502" s="20"/>
      <c r="C502" s="16"/>
      <c r="D502" s="16"/>
      <c r="E502" s="16"/>
      <c r="F502" s="20"/>
      <c r="G502" s="16"/>
      <c r="H502" s="26"/>
      <c r="I502" s="8"/>
      <c r="J502" s="51"/>
      <c r="K502" s="103"/>
      <c r="L502" s="104"/>
      <c r="M502" s="104"/>
      <c r="N502" s="104"/>
      <c r="O502" s="104"/>
      <c r="P502" s="54"/>
      <c r="Q502" s="20"/>
      <c r="R502" s="76"/>
      <c r="S502" s="76"/>
      <c r="T502" s="76"/>
      <c r="U502" s="76"/>
      <c r="V502" s="76"/>
      <c r="W502" s="76"/>
      <c r="X502" s="76"/>
      <c r="Y502" s="76"/>
      <c r="Z502" s="76"/>
      <c r="AA502" s="76"/>
      <c r="AB502" s="76"/>
      <c r="AC502" s="76"/>
    </row>
    <row r="503" spans="1:29">
      <c r="A503" s="35"/>
      <c r="B503" s="20"/>
      <c r="C503" s="16"/>
      <c r="D503" s="16"/>
      <c r="E503" s="16"/>
      <c r="F503" s="20"/>
      <c r="G503" s="16"/>
      <c r="H503" s="26"/>
      <c r="I503" s="8"/>
      <c r="J503" s="51"/>
      <c r="K503" s="103"/>
      <c r="L503" s="104"/>
      <c r="M503" s="104"/>
      <c r="N503" s="104"/>
      <c r="O503" s="104"/>
      <c r="P503" s="54"/>
      <c r="Q503" s="20"/>
      <c r="R503" s="76"/>
      <c r="S503" s="76"/>
      <c r="T503" s="76"/>
      <c r="U503" s="76"/>
      <c r="V503" s="76"/>
      <c r="W503" s="76"/>
      <c r="X503" s="76"/>
      <c r="Y503" s="76"/>
      <c r="Z503" s="76"/>
      <c r="AA503" s="76"/>
      <c r="AB503" s="76"/>
      <c r="AC503" s="76"/>
    </row>
    <row r="504" spans="1:29">
      <c r="A504" s="35"/>
      <c r="B504" s="20"/>
      <c r="C504" s="16"/>
      <c r="D504" s="16"/>
      <c r="E504" s="16"/>
      <c r="F504" s="20"/>
      <c r="G504" s="16"/>
      <c r="H504" s="26"/>
      <c r="I504" s="8"/>
      <c r="J504" s="51"/>
      <c r="K504" s="103"/>
      <c r="L504" s="104"/>
      <c r="M504" s="104"/>
      <c r="N504" s="104"/>
      <c r="O504" s="104"/>
      <c r="P504" s="54"/>
      <c r="Q504" s="20"/>
      <c r="R504" s="76"/>
      <c r="S504" s="76"/>
      <c r="T504" s="76"/>
      <c r="U504" s="76"/>
      <c r="V504" s="76"/>
      <c r="W504" s="76"/>
      <c r="X504" s="76"/>
      <c r="Y504" s="76"/>
      <c r="Z504" s="76"/>
      <c r="AA504" s="76"/>
      <c r="AB504" s="76"/>
      <c r="AC504" s="76"/>
    </row>
    <row r="505" spans="1:29">
      <c r="A505" s="35"/>
      <c r="B505" s="20"/>
      <c r="C505" s="16"/>
      <c r="D505" s="16"/>
      <c r="E505" s="16"/>
      <c r="F505" s="20"/>
      <c r="G505" s="16"/>
      <c r="H505" s="26"/>
      <c r="I505" s="8"/>
      <c r="J505" s="51"/>
      <c r="K505" s="103"/>
      <c r="L505" s="104"/>
      <c r="M505" s="104"/>
      <c r="N505" s="104"/>
      <c r="O505" s="104"/>
      <c r="P505" s="54"/>
      <c r="Q505" s="20"/>
      <c r="R505" s="76"/>
      <c r="S505" s="76"/>
      <c r="T505" s="76"/>
      <c r="U505" s="76"/>
      <c r="V505" s="76"/>
      <c r="W505" s="76"/>
      <c r="X505" s="76"/>
      <c r="Y505" s="76"/>
      <c r="Z505" s="76"/>
      <c r="AA505" s="76"/>
      <c r="AB505" s="76"/>
      <c r="AC505" s="76"/>
    </row>
    <row r="506" spans="1:29">
      <c r="A506" s="35"/>
      <c r="B506" s="20"/>
      <c r="C506" s="16"/>
      <c r="D506" s="16"/>
      <c r="E506" s="16"/>
      <c r="F506" s="20"/>
      <c r="G506" s="16"/>
      <c r="H506" s="26"/>
      <c r="I506" s="8"/>
      <c r="J506" s="51"/>
      <c r="K506" s="103"/>
      <c r="L506" s="104"/>
      <c r="M506" s="104"/>
      <c r="N506" s="104"/>
      <c r="O506" s="104"/>
      <c r="P506" s="54"/>
      <c r="Q506" s="20"/>
      <c r="R506" s="76"/>
      <c r="S506" s="76"/>
      <c r="T506" s="76"/>
      <c r="U506" s="76"/>
      <c r="V506" s="76"/>
      <c r="W506" s="76"/>
      <c r="X506" s="76"/>
      <c r="Y506" s="76"/>
      <c r="Z506" s="76"/>
      <c r="AA506" s="76"/>
      <c r="AB506" s="76"/>
      <c r="AC506" s="76"/>
    </row>
    <row r="507" spans="1:29">
      <c r="A507" s="35"/>
      <c r="B507" s="20"/>
      <c r="C507" s="16"/>
      <c r="D507" s="16"/>
      <c r="E507" s="16"/>
      <c r="F507" s="20"/>
      <c r="G507" s="16"/>
      <c r="H507" s="26"/>
      <c r="I507" s="8"/>
      <c r="J507" s="51"/>
      <c r="K507" s="103"/>
      <c r="L507" s="104"/>
      <c r="M507" s="104"/>
      <c r="N507" s="104"/>
      <c r="O507" s="104"/>
      <c r="P507" s="54"/>
      <c r="Q507" s="20"/>
      <c r="R507" s="76"/>
      <c r="S507" s="76"/>
      <c r="T507" s="76"/>
      <c r="U507" s="76"/>
      <c r="V507" s="76"/>
      <c r="W507" s="76"/>
      <c r="X507" s="76"/>
      <c r="Y507" s="76"/>
      <c r="Z507" s="76"/>
      <c r="AA507" s="76"/>
      <c r="AB507" s="76"/>
      <c r="AC507" s="76"/>
    </row>
    <row r="508" spans="1:29">
      <c r="A508" s="35"/>
      <c r="B508" s="20"/>
      <c r="C508" s="16"/>
      <c r="D508" s="16"/>
      <c r="E508" s="16"/>
      <c r="F508" s="20"/>
      <c r="G508" s="16"/>
      <c r="H508" s="26"/>
      <c r="I508" s="8"/>
      <c r="J508" s="51"/>
      <c r="K508" s="103"/>
      <c r="L508" s="104"/>
      <c r="M508" s="104"/>
      <c r="N508" s="104"/>
      <c r="O508" s="104"/>
      <c r="P508" s="54"/>
      <c r="Q508" s="20"/>
      <c r="R508" s="76"/>
      <c r="S508" s="76"/>
      <c r="T508" s="76"/>
      <c r="U508" s="76"/>
      <c r="V508" s="76"/>
      <c r="W508" s="76"/>
      <c r="X508" s="76"/>
      <c r="Y508" s="76"/>
      <c r="Z508" s="76"/>
      <c r="AA508" s="76"/>
      <c r="AB508" s="76"/>
      <c r="AC508" s="76"/>
    </row>
    <row r="509" spans="1:29">
      <c r="A509" s="35"/>
      <c r="B509" s="20"/>
      <c r="C509" s="16"/>
      <c r="D509" s="16"/>
      <c r="E509" s="16"/>
      <c r="F509" s="20"/>
      <c r="G509" s="16"/>
      <c r="H509" s="26"/>
      <c r="I509" s="8"/>
      <c r="J509" s="51"/>
      <c r="K509" s="103"/>
      <c r="L509" s="104"/>
      <c r="M509" s="104"/>
      <c r="N509" s="104"/>
      <c r="O509" s="104"/>
      <c r="P509" s="54"/>
      <c r="Q509" s="20"/>
      <c r="R509" s="76"/>
      <c r="S509" s="76"/>
      <c r="T509" s="76"/>
      <c r="U509" s="76"/>
      <c r="V509" s="76"/>
      <c r="W509" s="76"/>
      <c r="X509" s="76"/>
      <c r="Y509" s="76"/>
      <c r="Z509" s="76"/>
      <c r="AA509" s="76"/>
      <c r="AB509" s="76"/>
      <c r="AC509" s="76"/>
    </row>
    <row r="510" spans="1:29">
      <c r="A510" s="35"/>
      <c r="B510" s="20"/>
      <c r="C510" s="16"/>
      <c r="D510" s="16"/>
      <c r="E510" s="16"/>
      <c r="F510" s="20"/>
      <c r="G510" s="16"/>
      <c r="H510" s="26"/>
      <c r="I510" s="8"/>
      <c r="J510" s="51"/>
      <c r="K510" s="103"/>
      <c r="L510" s="104"/>
      <c r="M510" s="104"/>
      <c r="N510" s="104"/>
      <c r="O510" s="104"/>
      <c r="P510" s="54"/>
      <c r="Q510" s="20"/>
      <c r="R510" s="76"/>
      <c r="S510" s="76"/>
      <c r="T510" s="76"/>
      <c r="U510" s="76"/>
      <c r="V510" s="76"/>
      <c r="W510" s="76"/>
      <c r="X510" s="76"/>
      <c r="Y510" s="76"/>
      <c r="Z510" s="76"/>
      <c r="AA510" s="76"/>
      <c r="AB510" s="76"/>
      <c r="AC510" s="76"/>
    </row>
    <row r="511" spans="1:29">
      <c r="A511" s="35"/>
      <c r="B511" s="20"/>
      <c r="C511" s="16"/>
      <c r="D511" s="16"/>
      <c r="E511" s="16"/>
      <c r="F511" s="20"/>
      <c r="G511" s="16"/>
      <c r="H511" s="26"/>
      <c r="I511" s="8"/>
      <c r="J511" s="51"/>
      <c r="K511" s="103"/>
      <c r="L511" s="104"/>
      <c r="M511" s="104"/>
      <c r="N511" s="104"/>
      <c r="O511" s="104"/>
      <c r="P511" s="54"/>
      <c r="Q511" s="20"/>
      <c r="R511" s="76"/>
      <c r="S511" s="76"/>
      <c r="T511" s="76"/>
      <c r="U511" s="76"/>
      <c r="V511" s="76"/>
      <c r="W511" s="76"/>
      <c r="X511" s="76"/>
      <c r="Y511" s="76"/>
      <c r="Z511" s="76"/>
      <c r="AA511" s="76"/>
      <c r="AB511" s="76"/>
      <c r="AC511" s="76"/>
    </row>
    <row r="512" spans="1:29">
      <c r="A512" s="35"/>
      <c r="B512" s="20"/>
      <c r="C512" s="16"/>
      <c r="D512" s="16"/>
      <c r="E512" s="16"/>
      <c r="F512" s="20"/>
      <c r="G512" s="16"/>
      <c r="H512" s="26"/>
      <c r="I512" s="8"/>
      <c r="J512" s="51"/>
      <c r="K512" s="103"/>
      <c r="L512" s="104"/>
      <c r="M512" s="104"/>
      <c r="N512" s="104"/>
      <c r="O512" s="104"/>
      <c r="P512" s="54"/>
      <c r="Q512" s="20"/>
      <c r="R512" s="76"/>
      <c r="S512" s="76"/>
      <c r="T512" s="76"/>
      <c r="U512" s="76"/>
      <c r="V512" s="76"/>
      <c r="W512" s="76"/>
      <c r="X512" s="76"/>
      <c r="Y512" s="76"/>
      <c r="Z512" s="76"/>
      <c r="AA512" s="76"/>
      <c r="AB512" s="76"/>
      <c r="AC512" s="76"/>
    </row>
    <row r="513" spans="1:29">
      <c r="A513" s="35"/>
      <c r="B513" s="20"/>
      <c r="C513" s="16"/>
      <c r="D513" s="16"/>
      <c r="E513" s="16"/>
      <c r="F513" s="20"/>
      <c r="G513" s="16"/>
      <c r="H513" s="26"/>
      <c r="I513" s="8"/>
      <c r="J513" s="51"/>
      <c r="K513" s="103"/>
      <c r="L513" s="104"/>
      <c r="M513" s="104"/>
      <c r="N513" s="104"/>
      <c r="O513" s="104"/>
      <c r="P513" s="54"/>
      <c r="Q513" s="20"/>
      <c r="R513" s="76"/>
      <c r="S513" s="76"/>
      <c r="T513" s="76"/>
      <c r="U513" s="76"/>
      <c r="V513" s="76"/>
      <c r="W513" s="76"/>
      <c r="X513" s="76"/>
      <c r="Y513" s="76"/>
      <c r="Z513" s="76"/>
      <c r="AA513" s="76"/>
      <c r="AB513" s="76"/>
      <c r="AC513" s="76"/>
    </row>
    <row r="514" spans="1:29">
      <c r="A514" s="35"/>
      <c r="B514" s="20"/>
      <c r="C514" s="16"/>
      <c r="D514" s="16"/>
      <c r="E514" s="16"/>
      <c r="F514" s="20"/>
      <c r="G514" s="16"/>
      <c r="H514" s="26"/>
      <c r="I514" s="8"/>
      <c r="J514" s="51"/>
      <c r="K514" s="103"/>
      <c r="L514" s="104"/>
      <c r="M514" s="104"/>
      <c r="N514" s="104"/>
      <c r="O514" s="104"/>
      <c r="P514" s="54"/>
      <c r="Q514" s="20"/>
      <c r="R514" s="76"/>
      <c r="S514" s="76"/>
      <c r="T514" s="76"/>
      <c r="U514" s="76"/>
      <c r="V514" s="76"/>
      <c r="W514" s="76"/>
      <c r="X514" s="76"/>
      <c r="Y514" s="76"/>
      <c r="Z514" s="76"/>
      <c r="AA514" s="76"/>
      <c r="AB514" s="76"/>
      <c r="AC514" s="76"/>
    </row>
    <row r="515" spans="1:29">
      <c r="A515" s="35"/>
      <c r="B515" s="20"/>
      <c r="C515" s="16"/>
      <c r="D515" s="16"/>
      <c r="E515" s="16"/>
      <c r="F515" s="20"/>
      <c r="G515" s="16"/>
      <c r="H515" s="26"/>
      <c r="I515" s="8"/>
      <c r="J515" s="51"/>
      <c r="K515" s="103"/>
      <c r="L515" s="104"/>
      <c r="M515" s="104"/>
      <c r="N515" s="104"/>
      <c r="O515" s="104"/>
      <c r="P515" s="54"/>
      <c r="Q515" s="20"/>
      <c r="R515" s="76"/>
      <c r="S515" s="76"/>
      <c r="T515" s="76"/>
      <c r="U515" s="76"/>
      <c r="V515" s="76"/>
      <c r="W515" s="76"/>
      <c r="X515" s="76"/>
      <c r="Y515" s="76"/>
      <c r="Z515" s="76"/>
      <c r="AA515" s="76"/>
      <c r="AB515" s="76"/>
      <c r="AC515" s="76"/>
    </row>
    <row r="516" spans="1:29">
      <c r="A516" s="35"/>
      <c r="B516" s="20"/>
      <c r="C516" s="16"/>
      <c r="D516" s="16"/>
      <c r="E516" s="16"/>
      <c r="F516" s="20"/>
      <c r="G516" s="16"/>
      <c r="H516" s="26"/>
      <c r="I516" s="8"/>
      <c r="J516" s="51"/>
      <c r="K516" s="103"/>
      <c r="L516" s="104"/>
      <c r="M516" s="104"/>
      <c r="N516" s="104"/>
      <c r="O516" s="104"/>
      <c r="P516" s="54"/>
      <c r="Q516" s="20"/>
      <c r="R516" s="76"/>
      <c r="S516" s="76"/>
      <c r="T516" s="76"/>
      <c r="U516" s="76"/>
      <c r="V516" s="76"/>
      <c r="W516" s="76"/>
      <c r="X516" s="76"/>
      <c r="Y516" s="76"/>
      <c r="Z516" s="76"/>
      <c r="AA516" s="76"/>
      <c r="AB516" s="76"/>
      <c r="AC516" s="76"/>
    </row>
    <row r="517" spans="1:29">
      <c r="A517" s="35"/>
      <c r="B517" s="20"/>
      <c r="C517" s="16"/>
      <c r="D517" s="16"/>
      <c r="E517" s="16"/>
      <c r="F517" s="20"/>
      <c r="G517" s="16"/>
      <c r="H517" s="26"/>
      <c r="I517" s="8"/>
      <c r="J517" s="51"/>
      <c r="K517" s="103"/>
      <c r="L517" s="104"/>
      <c r="M517" s="104"/>
      <c r="N517" s="104"/>
      <c r="O517" s="104"/>
      <c r="P517" s="54"/>
      <c r="Q517" s="20"/>
      <c r="R517" s="76"/>
      <c r="S517" s="76"/>
      <c r="T517" s="76"/>
      <c r="U517" s="76"/>
      <c r="V517" s="76"/>
      <c r="W517" s="76"/>
      <c r="X517" s="76"/>
      <c r="Y517" s="76"/>
      <c r="Z517" s="76"/>
      <c r="AA517" s="76"/>
      <c r="AB517" s="76"/>
      <c r="AC517" s="76"/>
    </row>
    <row r="518" spans="1:29">
      <c r="A518" s="35"/>
      <c r="B518" s="20"/>
      <c r="C518" s="16"/>
      <c r="D518" s="16"/>
      <c r="E518" s="16"/>
      <c r="F518" s="20"/>
      <c r="G518" s="16"/>
      <c r="H518" s="26"/>
      <c r="I518" s="8"/>
      <c r="J518" s="51"/>
      <c r="K518" s="103"/>
      <c r="L518" s="104"/>
      <c r="M518" s="104"/>
      <c r="N518" s="104"/>
      <c r="O518" s="104"/>
      <c r="P518" s="54"/>
      <c r="Q518" s="20"/>
      <c r="R518" s="76"/>
      <c r="S518" s="76"/>
      <c r="T518" s="76"/>
      <c r="U518" s="76"/>
      <c r="V518" s="76"/>
      <c r="W518" s="76"/>
      <c r="X518" s="76"/>
      <c r="Y518" s="76"/>
      <c r="Z518" s="76"/>
      <c r="AA518" s="76"/>
      <c r="AB518" s="76"/>
      <c r="AC518" s="76"/>
    </row>
    <row r="519" spans="1:29">
      <c r="A519" s="35"/>
      <c r="B519" s="20"/>
      <c r="C519" s="16"/>
      <c r="D519" s="16"/>
      <c r="E519" s="16"/>
      <c r="F519" s="20"/>
      <c r="G519" s="16"/>
      <c r="H519" s="26"/>
      <c r="I519" s="8"/>
      <c r="J519" s="51"/>
      <c r="K519" s="103"/>
      <c r="L519" s="104"/>
      <c r="M519" s="104"/>
      <c r="N519" s="104"/>
      <c r="O519" s="104"/>
      <c r="P519" s="54"/>
      <c r="Q519" s="20"/>
      <c r="R519" s="76"/>
      <c r="S519" s="76"/>
      <c r="T519" s="76"/>
      <c r="U519" s="76"/>
      <c r="V519" s="76"/>
      <c r="W519" s="76"/>
      <c r="X519" s="76"/>
      <c r="Y519" s="76"/>
      <c r="Z519" s="76"/>
      <c r="AA519" s="76"/>
      <c r="AB519" s="76"/>
      <c r="AC519" s="76"/>
    </row>
    <row r="520" spans="1:29">
      <c r="A520" s="35"/>
      <c r="B520" s="20"/>
      <c r="C520" s="16"/>
      <c r="D520" s="16"/>
      <c r="E520" s="16"/>
      <c r="F520" s="20"/>
      <c r="G520" s="16"/>
      <c r="H520" s="26"/>
      <c r="I520" s="8"/>
      <c r="J520" s="51"/>
      <c r="K520" s="103"/>
      <c r="L520" s="104"/>
      <c r="M520" s="104"/>
      <c r="N520" s="104"/>
      <c r="O520" s="104"/>
      <c r="P520" s="54"/>
      <c r="Q520" s="20"/>
      <c r="R520" s="76"/>
      <c r="S520" s="76"/>
      <c r="T520" s="76"/>
      <c r="U520" s="76"/>
      <c r="V520" s="76"/>
      <c r="W520" s="76"/>
      <c r="X520" s="76"/>
      <c r="Y520" s="76"/>
      <c r="Z520" s="76"/>
      <c r="AA520" s="76"/>
      <c r="AB520" s="76"/>
      <c r="AC520" s="76"/>
    </row>
    <row r="521" spans="1:29">
      <c r="A521" s="35"/>
      <c r="B521" s="20"/>
      <c r="C521" s="16"/>
      <c r="D521" s="16"/>
      <c r="E521" s="16"/>
      <c r="F521" s="20"/>
      <c r="G521" s="16"/>
      <c r="H521" s="26"/>
      <c r="I521" s="8"/>
      <c r="J521" s="51"/>
      <c r="K521" s="103"/>
      <c r="L521" s="104"/>
      <c r="M521" s="104"/>
      <c r="N521" s="104"/>
      <c r="O521" s="104"/>
      <c r="P521" s="54"/>
      <c r="Q521" s="20"/>
      <c r="R521" s="76"/>
      <c r="S521" s="76"/>
      <c r="T521" s="76"/>
      <c r="U521" s="76"/>
      <c r="V521" s="76"/>
      <c r="W521" s="76"/>
      <c r="X521" s="76"/>
      <c r="Y521" s="76"/>
      <c r="Z521" s="76"/>
      <c r="AA521" s="76"/>
      <c r="AB521" s="76"/>
      <c r="AC521" s="76"/>
    </row>
    <row r="522" spans="1:29">
      <c r="A522" s="35"/>
      <c r="B522" s="20"/>
      <c r="C522" s="16"/>
      <c r="D522" s="16"/>
      <c r="E522" s="16"/>
      <c r="F522" s="20"/>
      <c r="G522" s="16"/>
      <c r="H522" s="26"/>
      <c r="I522" s="8"/>
      <c r="J522" s="51"/>
      <c r="K522" s="103"/>
      <c r="L522" s="104"/>
      <c r="M522" s="104"/>
      <c r="N522" s="104"/>
      <c r="O522" s="104"/>
      <c r="P522" s="54"/>
      <c r="Q522" s="20"/>
      <c r="R522" s="76"/>
      <c r="S522" s="76"/>
      <c r="T522" s="76"/>
      <c r="U522" s="76"/>
      <c r="V522" s="76"/>
      <c r="W522" s="76"/>
      <c r="X522" s="76"/>
      <c r="Y522" s="76"/>
      <c r="Z522" s="76"/>
      <c r="AA522" s="76"/>
      <c r="AB522" s="76"/>
      <c r="AC522" s="76"/>
    </row>
    <row r="523" spans="1:29">
      <c r="A523" s="35"/>
      <c r="B523" s="20"/>
      <c r="C523" s="16"/>
      <c r="D523" s="16"/>
      <c r="E523" s="16"/>
      <c r="F523" s="20"/>
      <c r="G523" s="16"/>
      <c r="H523" s="26"/>
      <c r="I523" s="8"/>
      <c r="J523" s="51"/>
      <c r="K523" s="103"/>
      <c r="L523" s="104"/>
      <c r="M523" s="104"/>
      <c r="N523" s="104"/>
      <c r="O523" s="104"/>
      <c r="P523" s="54"/>
      <c r="Q523" s="20"/>
      <c r="R523" s="76"/>
      <c r="S523" s="76"/>
      <c r="T523" s="76"/>
      <c r="U523" s="76"/>
      <c r="V523" s="76"/>
      <c r="W523" s="76"/>
      <c r="X523" s="76"/>
      <c r="Y523" s="76"/>
      <c r="Z523" s="76"/>
      <c r="AA523" s="76"/>
      <c r="AB523" s="76"/>
      <c r="AC523" s="76"/>
    </row>
    <row r="524" spans="1:29">
      <c r="A524" s="35"/>
      <c r="B524" s="20"/>
      <c r="C524" s="16"/>
      <c r="D524" s="16"/>
      <c r="E524" s="16"/>
      <c r="F524" s="20"/>
      <c r="G524" s="16"/>
      <c r="H524" s="26"/>
      <c r="I524" s="8"/>
      <c r="J524" s="51"/>
      <c r="K524" s="103"/>
      <c r="L524" s="104"/>
      <c r="M524" s="104"/>
      <c r="N524" s="104"/>
      <c r="O524" s="104"/>
      <c r="P524" s="54"/>
      <c r="Q524" s="20"/>
      <c r="R524" s="76"/>
      <c r="S524" s="76"/>
      <c r="T524" s="76"/>
      <c r="U524" s="76"/>
      <c r="V524" s="76"/>
      <c r="W524" s="76"/>
      <c r="X524" s="76"/>
      <c r="Y524" s="76"/>
      <c r="Z524" s="76"/>
      <c r="AA524" s="76"/>
      <c r="AB524" s="76"/>
      <c r="AC524" s="76"/>
    </row>
    <row r="525" spans="1:29">
      <c r="A525" s="35"/>
      <c r="B525" s="20"/>
      <c r="C525" s="16"/>
      <c r="D525" s="16"/>
      <c r="E525" s="16"/>
      <c r="F525" s="20"/>
      <c r="G525" s="16"/>
      <c r="H525" s="26"/>
      <c r="I525" s="8"/>
      <c r="J525" s="51"/>
      <c r="K525" s="103"/>
      <c r="L525" s="104"/>
      <c r="M525" s="104"/>
      <c r="N525" s="104"/>
      <c r="O525" s="104"/>
      <c r="P525" s="54"/>
      <c r="Q525" s="20"/>
      <c r="R525" s="76"/>
      <c r="S525" s="76"/>
      <c r="T525" s="76"/>
      <c r="U525" s="76"/>
      <c r="V525" s="76"/>
      <c r="W525" s="76"/>
      <c r="X525" s="76"/>
      <c r="Y525" s="76"/>
      <c r="Z525" s="76"/>
      <c r="AA525" s="76"/>
      <c r="AB525" s="76"/>
      <c r="AC525" s="76"/>
    </row>
    <row r="526" spans="1:29">
      <c r="A526" s="35"/>
      <c r="B526" s="20"/>
      <c r="C526" s="16"/>
      <c r="D526" s="16"/>
      <c r="E526" s="16"/>
      <c r="F526" s="20"/>
      <c r="G526" s="16"/>
      <c r="H526" s="26"/>
      <c r="I526" s="8"/>
      <c r="J526" s="51"/>
      <c r="K526" s="103"/>
      <c r="L526" s="104"/>
      <c r="M526" s="104"/>
      <c r="N526" s="104"/>
      <c r="O526" s="104"/>
      <c r="P526" s="54"/>
      <c r="Q526" s="20"/>
      <c r="R526" s="76"/>
      <c r="S526" s="76"/>
      <c r="T526" s="76"/>
      <c r="U526" s="76"/>
      <c r="V526" s="76"/>
      <c r="W526" s="76"/>
      <c r="X526" s="76"/>
      <c r="Y526" s="76"/>
      <c r="Z526" s="76"/>
      <c r="AA526" s="76"/>
      <c r="AB526" s="76"/>
      <c r="AC526" s="76"/>
    </row>
    <row r="527" spans="1:29">
      <c r="A527" s="35"/>
      <c r="B527" s="20"/>
      <c r="C527" s="16"/>
      <c r="D527" s="16"/>
      <c r="E527" s="16"/>
      <c r="F527" s="20"/>
      <c r="G527" s="16"/>
      <c r="H527" s="26"/>
      <c r="I527" s="8"/>
      <c r="J527" s="51"/>
      <c r="K527" s="103"/>
      <c r="L527" s="104"/>
      <c r="M527" s="104"/>
      <c r="N527" s="104"/>
      <c r="O527" s="104"/>
      <c r="P527" s="54"/>
      <c r="Q527" s="20"/>
      <c r="R527" s="76"/>
      <c r="S527" s="76"/>
      <c r="T527" s="76"/>
      <c r="U527" s="76"/>
      <c r="V527" s="76"/>
      <c r="W527" s="76"/>
      <c r="X527" s="76"/>
      <c r="Y527" s="76"/>
      <c r="Z527" s="76"/>
      <c r="AA527" s="76"/>
      <c r="AB527" s="76"/>
      <c r="AC527" s="76"/>
    </row>
    <row r="528" spans="1:29">
      <c r="A528" s="35"/>
      <c r="B528" s="20"/>
      <c r="C528" s="16"/>
      <c r="D528" s="16"/>
      <c r="E528" s="16"/>
      <c r="F528" s="20"/>
      <c r="G528" s="16"/>
      <c r="H528" s="26"/>
      <c r="I528" s="8"/>
      <c r="J528" s="51"/>
      <c r="K528" s="103"/>
      <c r="L528" s="104"/>
      <c r="M528" s="104"/>
      <c r="N528" s="104"/>
      <c r="O528" s="104"/>
      <c r="P528" s="54"/>
      <c r="Q528" s="20"/>
      <c r="R528" s="76"/>
      <c r="S528" s="76"/>
      <c r="T528" s="76"/>
      <c r="U528" s="76"/>
      <c r="V528" s="76"/>
      <c r="W528" s="76"/>
      <c r="X528" s="76"/>
      <c r="Y528" s="76"/>
      <c r="Z528" s="76"/>
      <c r="AA528" s="76"/>
      <c r="AB528" s="76"/>
      <c r="AC528" s="76"/>
    </row>
    <row r="529" spans="1:29">
      <c r="A529" s="35"/>
      <c r="B529" s="20"/>
      <c r="C529" s="16"/>
      <c r="D529" s="16"/>
      <c r="E529" s="16"/>
      <c r="F529" s="20"/>
      <c r="G529" s="16"/>
      <c r="H529" s="26"/>
      <c r="I529" s="8"/>
      <c r="J529" s="51"/>
      <c r="K529" s="103"/>
      <c r="L529" s="104"/>
      <c r="M529" s="104"/>
      <c r="N529" s="104"/>
      <c r="O529" s="104"/>
      <c r="P529" s="54"/>
      <c r="Q529" s="20"/>
      <c r="R529" s="76"/>
      <c r="S529" s="76"/>
      <c r="T529" s="76"/>
      <c r="U529" s="76"/>
      <c r="V529" s="76"/>
      <c r="W529" s="76"/>
      <c r="X529" s="76"/>
      <c r="Y529" s="76"/>
      <c r="Z529" s="76"/>
      <c r="AA529" s="76"/>
      <c r="AB529" s="76"/>
      <c r="AC529" s="76"/>
    </row>
    <row r="530" spans="1:29">
      <c r="A530" s="35"/>
      <c r="B530" s="20"/>
      <c r="C530" s="16"/>
      <c r="D530" s="16"/>
      <c r="E530" s="16"/>
      <c r="F530" s="20"/>
      <c r="G530" s="16"/>
      <c r="H530" s="26"/>
      <c r="I530" s="8"/>
      <c r="J530" s="51"/>
      <c r="K530" s="103"/>
      <c r="L530" s="104"/>
      <c r="M530" s="104"/>
      <c r="N530" s="104"/>
      <c r="O530" s="104"/>
      <c r="P530" s="54"/>
      <c r="Q530" s="20"/>
      <c r="R530" s="76"/>
      <c r="S530" s="76"/>
      <c r="T530" s="76"/>
      <c r="U530" s="76"/>
      <c r="V530" s="76"/>
      <c r="W530" s="76"/>
      <c r="X530" s="76"/>
      <c r="Y530" s="76"/>
      <c r="Z530" s="76"/>
      <c r="AA530" s="76"/>
      <c r="AB530" s="76"/>
      <c r="AC530" s="76"/>
    </row>
    <row r="531" spans="1:29">
      <c r="A531" s="35"/>
      <c r="B531" s="20"/>
      <c r="C531" s="16"/>
      <c r="D531" s="16"/>
      <c r="E531" s="16"/>
      <c r="F531" s="20"/>
      <c r="G531" s="16"/>
      <c r="H531" s="26"/>
      <c r="I531" s="8"/>
      <c r="J531" s="51"/>
      <c r="K531" s="103"/>
      <c r="L531" s="104"/>
      <c r="M531" s="104"/>
      <c r="N531" s="104"/>
      <c r="O531" s="104"/>
      <c r="P531" s="54"/>
      <c r="Q531" s="20"/>
      <c r="R531" s="76"/>
      <c r="S531" s="76"/>
      <c r="T531" s="76"/>
      <c r="U531" s="76"/>
      <c r="V531" s="76"/>
      <c r="W531" s="76"/>
      <c r="X531" s="76"/>
      <c r="Y531" s="76"/>
      <c r="Z531" s="76"/>
      <c r="AA531" s="76"/>
      <c r="AB531" s="76"/>
      <c r="AC531" s="76"/>
    </row>
    <row r="532" spans="1:29">
      <c r="A532" s="35"/>
      <c r="B532" s="20"/>
      <c r="C532" s="16"/>
      <c r="D532" s="16"/>
      <c r="E532" s="16"/>
      <c r="F532" s="20"/>
      <c r="G532" s="16"/>
      <c r="H532" s="26"/>
      <c r="I532" s="8"/>
      <c r="J532" s="51"/>
      <c r="K532" s="103"/>
      <c r="L532" s="104"/>
      <c r="M532" s="104"/>
      <c r="N532" s="104"/>
      <c r="O532" s="104"/>
      <c r="P532" s="54"/>
      <c r="Q532" s="20"/>
      <c r="R532" s="76"/>
      <c r="S532" s="76"/>
      <c r="T532" s="76"/>
      <c r="U532" s="76"/>
      <c r="V532" s="76"/>
      <c r="W532" s="76"/>
      <c r="X532" s="76"/>
      <c r="Y532" s="76"/>
      <c r="Z532" s="76"/>
      <c r="AA532" s="76"/>
      <c r="AB532" s="76"/>
      <c r="AC532" s="76"/>
    </row>
    <row r="533" spans="1:29">
      <c r="A533" s="35"/>
      <c r="B533" s="20"/>
      <c r="C533" s="16"/>
      <c r="D533" s="16"/>
      <c r="E533" s="16"/>
      <c r="F533" s="20"/>
      <c r="G533" s="16"/>
      <c r="H533" s="26"/>
      <c r="I533" s="8"/>
      <c r="J533" s="51"/>
      <c r="K533" s="103"/>
      <c r="L533" s="104"/>
      <c r="M533" s="104"/>
      <c r="N533" s="104"/>
      <c r="O533" s="104"/>
      <c r="P533" s="54"/>
      <c r="Q533" s="20"/>
      <c r="R533" s="76"/>
      <c r="S533" s="76"/>
      <c r="T533" s="76"/>
      <c r="U533" s="76"/>
      <c r="V533" s="76"/>
      <c r="W533" s="76"/>
      <c r="X533" s="76"/>
      <c r="Y533" s="76"/>
      <c r="Z533" s="76"/>
      <c r="AA533" s="76"/>
      <c r="AB533" s="76"/>
      <c r="AC533" s="76"/>
    </row>
    <row r="534" spans="1:29">
      <c r="A534" s="35"/>
      <c r="B534" s="20"/>
      <c r="C534" s="16"/>
      <c r="D534" s="16"/>
      <c r="E534" s="16"/>
      <c r="F534" s="20"/>
      <c r="G534" s="16"/>
      <c r="H534" s="26"/>
      <c r="I534" s="8"/>
      <c r="J534" s="51"/>
      <c r="K534" s="103"/>
      <c r="L534" s="104"/>
      <c r="M534" s="104"/>
      <c r="N534" s="104"/>
      <c r="O534" s="104"/>
      <c r="P534" s="54"/>
      <c r="Q534" s="20"/>
      <c r="R534" s="76"/>
      <c r="S534" s="76"/>
      <c r="T534" s="76"/>
      <c r="U534" s="76"/>
      <c r="V534" s="76"/>
      <c r="W534" s="76"/>
      <c r="X534" s="76"/>
      <c r="Y534" s="76"/>
      <c r="Z534" s="76"/>
      <c r="AA534" s="76"/>
      <c r="AB534" s="76"/>
      <c r="AC534" s="76"/>
    </row>
    <row r="535" spans="1:29">
      <c r="A535" s="35"/>
      <c r="B535" s="20"/>
      <c r="C535" s="16"/>
      <c r="D535" s="16"/>
      <c r="E535" s="16"/>
      <c r="F535" s="20"/>
      <c r="G535" s="16"/>
      <c r="H535" s="26"/>
      <c r="I535" s="8"/>
      <c r="J535" s="51"/>
      <c r="K535" s="103"/>
      <c r="L535" s="104"/>
      <c r="M535" s="104"/>
      <c r="N535" s="104"/>
      <c r="O535" s="104"/>
      <c r="P535" s="54"/>
      <c r="Q535" s="20"/>
      <c r="R535" s="76"/>
      <c r="S535" s="76"/>
      <c r="T535" s="76"/>
      <c r="U535" s="76"/>
      <c r="V535" s="76"/>
      <c r="W535" s="76"/>
      <c r="X535" s="76"/>
      <c r="Y535" s="76"/>
      <c r="Z535" s="76"/>
      <c r="AA535" s="76"/>
      <c r="AB535" s="76"/>
      <c r="AC535" s="76"/>
    </row>
    <row r="536" spans="1:29">
      <c r="A536" s="35"/>
      <c r="B536" s="20"/>
      <c r="C536" s="16"/>
      <c r="D536" s="16"/>
      <c r="E536" s="16"/>
      <c r="F536" s="20"/>
      <c r="G536" s="16"/>
      <c r="H536" s="26"/>
      <c r="I536" s="8"/>
      <c r="J536" s="51"/>
      <c r="K536" s="103"/>
      <c r="L536" s="104"/>
      <c r="M536" s="104"/>
      <c r="N536" s="104"/>
      <c r="O536" s="104"/>
      <c r="P536" s="54"/>
      <c r="Q536" s="20"/>
      <c r="R536" s="76"/>
      <c r="S536" s="76"/>
      <c r="T536" s="76"/>
      <c r="U536" s="76"/>
      <c r="V536" s="76"/>
      <c r="W536" s="76"/>
      <c r="X536" s="76"/>
      <c r="Y536" s="76"/>
      <c r="Z536" s="76"/>
      <c r="AA536" s="76"/>
      <c r="AB536" s="76"/>
      <c r="AC536" s="76"/>
    </row>
    <row r="537" spans="1:29">
      <c r="A537" s="35"/>
      <c r="B537" s="20"/>
      <c r="C537" s="16"/>
      <c r="D537" s="16"/>
      <c r="E537" s="16"/>
      <c r="F537" s="20"/>
      <c r="G537" s="16"/>
      <c r="H537" s="26"/>
      <c r="I537" s="8"/>
      <c r="J537" s="51"/>
      <c r="K537" s="103"/>
      <c r="L537" s="104"/>
      <c r="M537" s="104"/>
      <c r="N537" s="104"/>
      <c r="O537" s="104"/>
      <c r="P537" s="54"/>
      <c r="Q537" s="20"/>
      <c r="R537" s="76"/>
      <c r="S537" s="76"/>
      <c r="T537" s="76"/>
      <c r="U537" s="76"/>
      <c r="V537" s="76"/>
      <c r="W537" s="76"/>
      <c r="X537" s="76"/>
      <c r="Y537" s="76"/>
      <c r="Z537" s="76"/>
      <c r="AA537" s="76"/>
      <c r="AB537" s="76"/>
      <c r="AC537" s="76"/>
    </row>
    <row r="538" spans="1:29">
      <c r="A538" s="35"/>
      <c r="B538" s="20"/>
      <c r="C538" s="16"/>
      <c r="D538" s="16"/>
      <c r="E538" s="16"/>
      <c r="F538" s="20"/>
      <c r="G538" s="16"/>
      <c r="H538" s="26"/>
      <c r="I538" s="8"/>
      <c r="J538" s="51"/>
      <c r="K538" s="103"/>
      <c r="L538" s="104"/>
      <c r="M538" s="104"/>
      <c r="N538" s="104"/>
      <c r="O538" s="104"/>
      <c r="P538" s="54"/>
      <c r="Q538" s="20"/>
      <c r="R538" s="76"/>
      <c r="S538" s="76"/>
      <c r="T538" s="76"/>
      <c r="U538" s="76"/>
      <c r="V538" s="76"/>
      <c r="W538" s="76"/>
      <c r="X538" s="76"/>
      <c r="Y538" s="76"/>
      <c r="Z538" s="76"/>
      <c r="AA538" s="76"/>
      <c r="AB538" s="76"/>
      <c r="AC538" s="76"/>
    </row>
    <row r="539" spans="1:29">
      <c r="A539" s="35"/>
      <c r="B539" s="20"/>
      <c r="C539" s="16"/>
      <c r="D539" s="16"/>
      <c r="E539" s="16"/>
      <c r="F539" s="20"/>
      <c r="G539" s="16"/>
      <c r="H539" s="26"/>
      <c r="I539" s="8"/>
      <c r="J539" s="51"/>
      <c r="K539" s="103"/>
      <c r="L539" s="104"/>
      <c r="M539" s="104"/>
      <c r="N539" s="104"/>
      <c r="O539" s="104"/>
      <c r="P539" s="54"/>
      <c r="Q539" s="20"/>
      <c r="R539" s="76"/>
      <c r="S539" s="76"/>
      <c r="T539" s="76"/>
      <c r="U539" s="76"/>
      <c r="V539" s="76"/>
      <c r="W539" s="76"/>
      <c r="X539" s="76"/>
      <c r="Y539" s="76"/>
      <c r="Z539" s="76"/>
      <c r="AA539" s="76"/>
      <c r="AB539" s="76"/>
      <c r="AC539" s="76"/>
    </row>
    <row r="540" spans="1:29">
      <c r="A540" s="35"/>
      <c r="B540" s="20"/>
      <c r="C540" s="16"/>
      <c r="D540" s="16"/>
      <c r="E540" s="16"/>
      <c r="F540" s="20"/>
      <c r="G540" s="16"/>
      <c r="H540" s="26"/>
      <c r="I540" s="8"/>
      <c r="J540" s="51"/>
      <c r="K540" s="103"/>
      <c r="L540" s="104"/>
      <c r="M540" s="104"/>
      <c r="N540" s="104"/>
      <c r="O540" s="104"/>
      <c r="P540" s="54"/>
      <c r="Q540" s="20"/>
      <c r="R540" s="76"/>
      <c r="S540" s="76"/>
      <c r="T540" s="76"/>
      <c r="U540" s="76"/>
      <c r="V540" s="76"/>
      <c r="W540" s="76"/>
      <c r="X540" s="76"/>
      <c r="Y540" s="76"/>
      <c r="Z540" s="76"/>
      <c r="AA540" s="76"/>
      <c r="AB540" s="76"/>
      <c r="AC540" s="76"/>
    </row>
    <row r="541" spans="1:29">
      <c r="A541" s="35"/>
      <c r="B541" s="20"/>
      <c r="C541" s="16"/>
      <c r="D541" s="16"/>
      <c r="E541" s="16"/>
      <c r="F541" s="20"/>
      <c r="G541" s="16"/>
      <c r="H541" s="26"/>
      <c r="I541" s="8"/>
      <c r="J541" s="51"/>
      <c r="K541" s="103"/>
      <c r="L541" s="104"/>
      <c r="M541" s="104"/>
      <c r="N541" s="104"/>
      <c r="O541" s="104"/>
      <c r="P541" s="54"/>
      <c r="Q541" s="20"/>
      <c r="R541" s="76"/>
      <c r="S541" s="76"/>
      <c r="T541" s="76"/>
      <c r="U541" s="76"/>
      <c r="V541" s="76"/>
      <c r="W541" s="76"/>
      <c r="X541" s="76"/>
      <c r="Y541" s="76"/>
      <c r="Z541" s="76"/>
      <c r="AA541" s="76"/>
      <c r="AB541" s="76"/>
      <c r="AC541" s="76"/>
    </row>
    <row r="542" spans="1:29">
      <c r="A542" s="35"/>
      <c r="B542" s="20"/>
      <c r="C542" s="16"/>
      <c r="D542" s="16"/>
      <c r="E542" s="16"/>
      <c r="F542" s="20"/>
      <c r="G542" s="16"/>
      <c r="H542" s="26"/>
      <c r="I542" s="8"/>
      <c r="J542" s="51"/>
      <c r="K542" s="103"/>
      <c r="L542" s="104"/>
      <c r="M542" s="104"/>
      <c r="N542" s="104"/>
      <c r="O542" s="104"/>
      <c r="P542" s="54"/>
      <c r="Q542" s="20"/>
      <c r="R542" s="76"/>
      <c r="S542" s="76"/>
      <c r="T542" s="76"/>
      <c r="U542" s="76"/>
      <c r="V542" s="76"/>
      <c r="W542" s="76"/>
      <c r="X542" s="76"/>
      <c r="Y542" s="76"/>
      <c r="Z542" s="76"/>
      <c r="AA542" s="76"/>
      <c r="AB542" s="76"/>
      <c r="AC542" s="76"/>
    </row>
    <row r="543" spans="1:29">
      <c r="A543" s="35"/>
      <c r="B543" s="20"/>
      <c r="C543" s="16"/>
      <c r="D543" s="16"/>
      <c r="E543" s="16"/>
      <c r="F543" s="20"/>
      <c r="G543" s="16"/>
      <c r="H543" s="26"/>
      <c r="I543" s="8"/>
      <c r="J543" s="51"/>
      <c r="K543" s="103"/>
      <c r="L543" s="104"/>
      <c r="M543" s="104"/>
      <c r="N543" s="104"/>
      <c r="O543" s="104"/>
      <c r="P543" s="54"/>
      <c r="Q543" s="20"/>
      <c r="R543" s="76"/>
      <c r="S543" s="76"/>
      <c r="T543" s="76"/>
      <c r="U543" s="76"/>
      <c r="V543" s="76"/>
      <c r="W543" s="76"/>
      <c r="X543" s="76"/>
      <c r="Y543" s="76"/>
      <c r="Z543" s="76"/>
      <c r="AA543" s="76"/>
      <c r="AB543" s="76"/>
      <c r="AC543" s="76"/>
    </row>
    <row r="544" spans="1:29">
      <c r="A544" s="35"/>
      <c r="B544" s="20"/>
      <c r="C544" s="16"/>
      <c r="D544" s="16"/>
      <c r="E544" s="16"/>
      <c r="F544" s="20"/>
      <c r="G544" s="16"/>
      <c r="H544" s="26"/>
      <c r="I544" s="8"/>
      <c r="J544" s="51"/>
      <c r="K544" s="103"/>
      <c r="L544" s="104"/>
      <c r="M544" s="104"/>
      <c r="N544" s="104"/>
      <c r="O544" s="104"/>
      <c r="P544" s="54"/>
      <c r="Q544" s="20"/>
      <c r="R544" s="76"/>
      <c r="S544" s="76"/>
      <c r="T544" s="76"/>
      <c r="U544" s="76"/>
      <c r="V544" s="76"/>
      <c r="W544" s="76"/>
      <c r="X544" s="76"/>
      <c r="Y544" s="76"/>
      <c r="Z544" s="76"/>
      <c r="AA544" s="76"/>
      <c r="AB544" s="76"/>
      <c r="AC544" s="76"/>
    </row>
    <row r="545" spans="1:29">
      <c r="A545" s="35"/>
      <c r="B545" s="20"/>
      <c r="C545" s="16"/>
      <c r="D545" s="16"/>
      <c r="E545" s="16"/>
      <c r="F545" s="20"/>
      <c r="G545" s="16"/>
      <c r="H545" s="26"/>
      <c r="I545" s="8"/>
      <c r="J545" s="51"/>
      <c r="K545" s="103"/>
      <c r="L545" s="104"/>
      <c r="M545" s="104"/>
      <c r="N545" s="104"/>
      <c r="O545" s="104"/>
      <c r="P545" s="54"/>
      <c r="Q545" s="20"/>
      <c r="R545" s="76"/>
      <c r="S545" s="76"/>
      <c r="T545" s="76"/>
      <c r="U545" s="76"/>
      <c r="V545" s="76"/>
      <c r="W545" s="76"/>
      <c r="X545" s="76"/>
      <c r="Y545" s="76"/>
      <c r="Z545" s="76"/>
      <c r="AA545" s="76"/>
      <c r="AB545" s="76"/>
      <c r="AC545" s="76"/>
    </row>
    <row r="546" spans="1:29">
      <c r="A546" s="35"/>
      <c r="B546" s="20"/>
      <c r="C546" s="16"/>
      <c r="D546" s="16"/>
      <c r="E546" s="16"/>
      <c r="F546" s="20"/>
      <c r="G546" s="16"/>
      <c r="H546" s="26"/>
      <c r="I546" s="8"/>
      <c r="J546" s="51"/>
      <c r="K546" s="103"/>
      <c r="L546" s="104"/>
      <c r="M546" s="104"/>
      <c r="N546" s="104"/>
      <c r="O546" s="104"/>
      <c r="P546" s="54"/>
      <c r="Q546" s="20"/>
      <c r="R546" s="76"/>
      <c r="S546" s="76"/>
      <c r="T546" s="76"/>
      <c r="U546" s="76"/>
      <c r="V546" s="76"/>
      <c r="W546" s="76"/>
      <c r="X546" s="76"/>
      <c r="Y546" s="76"/>
      <c r="Z546" s="76"/>
      <c r="AA546" s="76"/>
      <c r="AB546" s="76"/>
      <c r="AC546" s="76"/>
    </row>
    <row r="547" spans="1:29">
      <c r="A547" s="35"/>
      <c r="B547" s="20"/>
      <c r="C547" s="16"/>
      <c r="D547" s="16"/>
      <c r="E547" s="16"/>
      <c r="F547" s="20"/>
      <c r="G547" s="16"/>
      <c r="H547" s="26"/>
      <c r="I547" s="8"/>
      <c r="J547" s="51"/>
      <c r="K547" s="103"/>
      <c r="L547" s="104"/>
      <c r="M547" s="104"/>
      <c r="N547" s="104"/>
      <c r="O547" s="104"/>
      <c r="P547" s="54"/>
      <c r="Q547" s="20"/>
      <c r="R547" s="76"/>
      <c r="S547" s="76"/>
      <c r="T547" s="76"/>
      <c r="U547" s="76"/>
      <c r="V547" s="76"/>
      <c r="W547" s="76"/>
      <c r="X547" s="76"/>
      <c r="Y547" s="76"/>
      <c r="Z547" s="76"/>
      <c r="AA547" s="76"/>
      <c r="AB547" s="76"/>
      <c r="AC547" s="76"/>
    </row>
    <row r="548" spans="1:29">
      <c r="A548" s="35"/>
      <c r="B548" s="20"/>
      <c r="C548" s="16"/>
      <c r="D548" s="16"/>
      <c r="E548" s="16"/>
      <c r="F548" s="20"/>
      <c r="G548" s="16"/>
      <c r="H548" s="26"/>
      <c r="I548" s="8"/>
      <c r="J548" s="51"/>
      <c r="K548" s="103"/>
      <c r="L548" s="104"/>
      <c r="M548" s="104"/>
      <c r="N548" s="104"/>
      <c r="O548" s="104"/>
      <c r="P548" s="54"/>
      <c r="Q548" s="20"/>
      <c r="R548" s="76"/>
      <c r="S548" s="76"/>
      <c r="T548" s="76"/>
      <c r="U548" s="76"/>
      <c r="V548" s="76"/>
      <c r="W548" s="76"/>
      <c r="X548" s="76"/>
      <c r="Y548" s="76"/>
      <c r="Z548" s="76"/>
      <c r="AA548" s="76"/>
      <c r="AB548" s="76"/>
      <c r="AC548" s="76"/>
    </row>
    <row r="549" spans="1:29">
      <c r="A549" s="35"/>
      <c r="B549" s="20"/>
      <c r="C549" s="16"/>
      <c r="D549" s="16"/>
      <c r="E549" s="16"/>
      <c r="F549" s="20"/>
      <c r="G549" s="16"/>
      <c r="H549" s="26"/>
      <c r="I549" s="8"/>
      <c r="J549" s="51"/>
      <c r="K549" s="103"/>
      <c r="L549" s="104"/>
      <c r="M549" s="104"/>
      <c r="N549" s="104"/>
      <c r="O549" s="104"/>
      <c r="P549" s="54"/>
      <c r="Q549" s="20"/>
      <c r="R549" s="76"/>
      <c r="S549" s="76"/>
      <c r="T549" s="76"/>
      <c r="U549" s="76"/>
      <c r="V549" s="76"/>
      <c r="W549" s="76"/>
      <c r="X549" s="76"/>
      <c r="Y549" s="76"/>
      <c r="Z549" s="76"/>
      <c r="AA549" s="76"/>
      <c r="AB549" s="76"/>
      <c r="AC549" s="76"/>
    </row>
    <row r="550" spans="1:29">
      <c r="A550" s="35"/>
      <c r="B550" s="20"/>
      <c r="C550" s="16"/>
      <c r="D550" s="16"/>
      <c r="E550" s="16"/>
      <c r="F550" s="20"/>
      <c r="G550" s="16"/>
      <c r="H550" s="26"/>
      <c r="I550" s="8"/>
      <c r="J550" s="51"/>
      <c r="K550" s="103"/>
      <c r="L550" s="104"/>
      <c r="M550" s="104"/>
      <c r="N550" s="104"/>
      <c r="O550" s="104"/>
      <c r="P550" s="54"/>
      <c r="Q550" s="20"/>
      <c r="R550" s="76"/>
      <c r="S550" s="76"/>
      <c r="T550" s="76"/>
      <c r="U550" s="76"/>
      <c r="V550" s="76"/>
      <c r="W550" s="76"/>
      <c r="X550" s="76"/>
      <c r="Y550" s="76"/>
      <c r="Z550" s="76"/>
      <c r="AA550" s="76"/>
      <c r="AB550" s="76"/>
      <c r="AC550" s="76"/>
    </row>
    <row r="551" spans="1:29">
      <c r="A551" s="35"/>
      <c r="B551" s="20"/>
      <c r="C551" s="16"/>
      <c r="D551" s="16"/>
      <c r="E551" s="16"/>
      <c r="F551" s="20"/>
      <c r="G551" s="16"/>
      <c r="H551" s="26"/>
      <c r="I551" s="8"/>
      <c r="J551" s="51"/>
      <c r="K551" s="103"/>
      <c r="L551" s="104"/>
      <c r="M551" s="104"/>
      <c r="N551" s="104"/>
      <c r="O551" s="104"/>
      <c r="P551" s="54"/>
      <c r="Q551" s="20"/>
      <c r="R551" s="76"/>
      <c r="S551" s="76"/>
      <c r="T551" s="76"/>
      <c r="U551" s="76"/>
      <c r="V551" s="76"/>
      <c r="W551" s="76"/>
      <c r="X551" s="76"/>
      <c r="Y551" s="76"/>
      <c r="Z551" s="76"/>
      <c r="AA551" s="76"/>
      <c r="AB551" s="76"/>
      <c r="AC551" s="76"/>
    </row>
    <row r="552" spans="1:29">
      <c r="A552" s="35"/>
      <c r="B552" s="20"/>
      <c r="C552" s="16"/>
      <c r="D552" s="16"/>
      <c r="E552" s="16"/>
      <c r="F552" s="20"/>
      <c r="G552" s="16"/>
      <c r="H552" s="26"/>
      <c r="I552" s="8"/>
      <c r="J552" s="51"/>
      <c r="K552" s="103"/>
      <c r="L552" s="104"/>
      <c r="M552" s="104"/>
      <c r="N552" s="104"/>
      <c r="O552" s="104"/>
      <c r="P552" s="54"/>
      <c r="Q552" s="20"/>
      <c r="R552" s="76"/>
      <c r="S552" s="76"/>
      <c r="T552" s="76"/>
      <c r="U552" s="76"/>
      <c r="V552" s="76"/>
      <c r="W552" s="76"/>
      <c r="X552" s="76"/>
      <c r="Y552" s="76"/>
      <c r="Z552" s="76"/>
      <c r="AA552" s="76"/>
      <c r="AB552" s="76"/>
      <c r="AC552" s="76"/>
    </row>
    <row r="553" spans="1:29">
      <c r="A553" s="35"/>
      <c r="B553" s="20"/>
      <c r="C553" s="16"/>
      <c r="D553" s="16"/>
      <c r="E553" s="16"/>
      <c r="F553" s="20"/>
      <c r="G553" s="16"/>
      <c r="H553" s="26"/>
      <c r="I553" s="8"/>
      <c r="J553" s="51"/>
      <c r="K553" s="103"/>
      <c r="L553" s="104"/>
      <c r="M553" s="104"/>
      <c r="N553" s="104"/>
      <c r="O553" s="104"/>
      <c r="P553" s="54"/>
      <c r="Q553" s="20"/>
      <c r="R553" s="76"/>
      <c r="S553" s="76"/>
      <c r="T553" s="76"/>
      <c r="U553" s="76"/>
      <c r="V553" s="76"/>
      <c r="W553" s="76"/>
      <c r="X553" s="76"/>
      <c r="Y553" s="76"/>
      <c r="Z553" s="76"/>
      <c r="AA553" s="76"/>
      <c r="AB553" s="76"/>
      <c r="AC553" s="76"/>
    </row>
    <row r="554" spans="1:29">
      <c r="A554" s="35"/>
      <c r="B554" s="20"/>
      <c r="C554" s="16"/>
      <c r="D554" s="16"/>
      <c r="E554" s="16"/>
      <c r="F554" s="20"/>
      <c r="G554" s="16"/>
      <c r="H554" s="26"/>
      <c r="I554" s="8"/>
      <c r="J554" s="51"/>
      <c r="K554" s="103"/>
      <c r="L554" s="104"/>
      <c r="M554" s="104"/>
      <c r="N554" s="104"/>
      <c r="O554" s="104"/>
      <c r="P554" s="54"/>
      <c r="Q554" s="20"/>
      <c r="R554" s="76"/>
      <c r="S554" s="76"/>
      <c r="T554" s="76"/>
      <c r="U554" s="76"/>
      <c r="V554" s="76"/>
      <c r="W554" s="76"/>
      <c r="X554" s="76"/>
      <c r="Y554" s="76"/>
      <c r="Z554" s="76"/>
      <c r="AA554" s="76"/>
      <c r="AB554" s="76"/>
      <c r="AC554" s="76"/>
    </row>
    <row r="555" spans="1:29">
      <c r="A555" s="35"/>
      <c r="B555" s="20"/>
      <c r="C555" s="16"/>
      <c r="D555" s="16"/>
      <c r="E555" s="16"/>
      <c r="F555" s="20"/>
      <c r="G555" s="16"/>
      <c r="H555" s="26"/>
      <c r="I555" s="8"/>
      <c r="J555" s="51"/>
      <c r="K555" s="103"/>
      <c r="L555" s="104"/>
      <c r="M555" s="104"/>
      <c r="N555" s="104"/>
      <c r="O555" s="104"/>
      <c r="P555" s="54"/>
      <c r="Q555" s="20"/>
      <c r="R555" s="76"/>
      <c r="S555" s="76"/>
      <c r="T555" s="76"/>
      <c r="U555" s="76"/>
      <c r="V555" s="76"/>
      <c r="W555" s="76"/>
      <c r="X555" s="76"/>
      <c r="Y555" s="76"/>
      <c r="Z555" s="76"/>
      <c r="AA555" s="76"/>
      <c r="AB555" s="76"/>
      <c r="AC555" s="76"/>
    </row>
    <row r="556" spans="1:29">
      <c r="A556" s="35"/>
      <c r="B556" s="20"/>
      <c r="C556" s="16"/>
      <c r="D556" s="16"/>
      <c r="E556" s="16"/>
      <c r="F556" s="20"/>
      <c r="G556" s="16"/>
      <c r="H556" s="26"/>
      <c r="I556" s="8"/>
      <c r="J556" s="51"/>
      <c r="K556" s="103"/>
      <c r="L556" s="104"/>
      <c r="M556" s="104"/>
      <c r="N556" s="104"/>
      <c r="O556" s="104"/>
      <c r="P556" s="54"/>
      <c r="Q556" s="20"/>
      <c r="R556" s="76"/>
      <c r="S556" s="76"/>
      <c r="T556" s="76"/>
      <c r="U556" s="76"/>
      <c r="V556" s="76"/>
      <c r="W556" s="76"/>
      <c r="X556" s="76"/>
      <c r="Y556" s="76"/>
      <c r="Z556" s="76"/>
      <c r="AA556" s="76"/>
      <c r="AB556" s="76"/>
      <c r="AC556" s="76"/>
    </row>
    <row r="557" spans="1:29">
      <c r="A557" s="35"/>
      <c r="B557" s="20"/>
      <c r="C557" s="16"/>
      <c r="D557" s="16"/>
      <c r="E557" s="16"/>
      <c r="F557" s="20"/>
      <c r="G557" s="16"/>
      <c r="H557" s="26"/>
      <c r="I557" s="8"/>
      <c r="J557" s="51"/>
      <c r="K557" s="103"/>
      <c r="L557" s="104"/>
      <c r="M557" s="104"/>
      <c r="N557" s="104"/>
      <c r="O557" s="104"/>
      <c r="P557" s="54"/>
      <c r="Q557" s="20"/>
      <c r="R557" s="76"/>
      <c r="S557" s="76"/>
      <c r="T557" s="76"/>
      <c r="U557" s="76"/>
      <c r="V557" s="76"/>
      <c r="W557" s="76"/>
      <c r="X557" s="76"/>
      <c r="Y557" s="76"/>
      <c r="Z557" s="76"/>
      <c r="AA557" s="76"/>
      <c r="AB557" s="76"/>
      <c r="AC557" s="76"/>
    </row>
    <row r="558" spans="1:29">
      <c r="A558" s="35"/>
      <c r="B558" s="20"/>
      <c r="C558" s="16"/>
      <c r="D558" s="16"/>
      <c r="E558" s="16"/>
      <c r="F558" s="20"/>
      <c r="G558" s="16"/>
      <c r="H558" s="26"/>
      <c r="I558" s="8"/>
      <c r="J558" s="51"/>
      <c r="K558" s="103"/>
      <c r="L558" s="104"/>
      <c r="M558" s="104"/>
      <c r="N558" s="104"/>
      <c r="O558" s="104"/>
      <c r="P558" s="54"/>
      <c r="Q558" s="20"/>
      <c r="R558" s="76"/>
      <c r="S558" s="76"/>
      <c r="T558" s="76"/>
      <c r="U558" s="76"/>
      <c r="V558" s="76"/>
      <c r="W558" s="76"/>
      <c r="X558" s="76"/>
      <c r="Y558" s="76"/>
      <c r="Z558" s="76"/>
      <c r="AA558" s="76"/>
      <c r="AB558" s="76"/>
      <c r="AC558" s="76"/>
    </row>
    <row r="559" spans="1:29">
      <c r="A559" s="35"/>
      <c r="B559" s="20"/>
      <c r="C559" s="16"/>
      <c r="D559" s="16"/>
      <c r="E559" s="16"/>
      <c r="F559" s="20"/>
      <c r="G559" s="16"/>
      <c r="H559" s="26"/>
      <c r="I559" s="8"/>
      <c r="J559" s="51"/>
      <c r="K559" s="103"/>
      <c r="L559" s="104"/>
      <c r="M559" s="104"/>
      <c r="N559" s="104"/>
      <c r="O559" s="104"/>
      <c r="P559" s="54"/>
      <c r="Q559" s="20"/>
      <c r="R559" s="76"/>
      <c r="S559" s="76"/>
      <c r="T559" s="76"/>
      <c r="U559" s="76"/>
      <c r="V559" s="76"/>
      <c r="W559" s="76"/>
      <c r="X559" s="76"/>
      <c r="Y559" s="76"/>
      <c r="Z559" s="76"/>
      <c r="AA559" s="76"/>
      <c r="AB559" s="76"/>
      <c r="AC559" s="76"/>
    </row>
    <row r="560" spans="1:29">
      <c r="A560" s="35"/>
      <c r="B560" s="20"/>
      <c r="C560" s="16"/>
      <c r="D560" s="16"/>
      <c r="E560" s="16"/>
      <c r="F560" s="20"/>
      <c r="G560" s="16"/>
      <c r="H560" s="26"/>
      <c r="I560" s="8"/>
      <c r="J560" s="51"/>
      <c r="K560" s="103"/>
      <c r="L560" s="104"/>
      <c r="M560" s="104"/>
      <c r="N560" s="104"/>
      <c r="O560" s="104"/>
      <c r="P560" s="54"/>
      <c r="Q560" s="20"/>
      <c r="R560" s="76"/>
      <c r="S560" s="76"/>
      <c r="T560" s="76"/>
      <c r="U560" s="76"/>
      <c r="V560" s="76"/>
      <c r="W560" s="76"/>
      <c r="X560" s="76"/>
      <c r="Y560" s="76"/>
      <c r="Z560" s="76"/>
      <c r="AA560" s="76"/>
      <c r="AB560" s="76"/>
      <c r="AC560" s="76"/>
    </row>
    <row r="561" spans="1:29">
      <c r="A561" s="35"/>
      <c r="B561" s="20"/>
      <c r="C561" s="16"/>
      <c r="D561" s="16"/>
      <c r="E561" s="16"/>
      <c r="F561" s="20"/>
      <c r="G561" s="16"/>
      <c r="H561" s="26"/>
      <c r="I561" s="8"/>
      <c r="J561" s="51"/>
      <c r="K561" s="103"/>
      <c r="L561" s="104"/>
      <c r="M561" s="104"/>
      <c r="N561" s="104"/>
      <c r="O561" s="104"/>
      <c r="P561" s="54"/>
      <c r="Q561" s="20"/>
      <c r="R561" s="76"/>
      <c r="S561" s="76"/>
      <c r="T561" s="76"/>
      <c r="U561" s="76"/>
      <c r="V561" s="76"/>
      <c r="W561" s="76"/>
      <c r="X561" s="76"/>
      <c r="Y561" s="76"/>
      <c r="Z561" s="76"/>
      <c r="AA561" s="76"/>
      <c r="AB561" s="76"/>
      <c r="AC561" s="76"/>
    </row>
    <row r="562" spans="1:29">
      <c r="A562" s="35"/>
      <c r="B562" s="20"/>
      <c r="C562" s="16"/>
      <c r="D562" s="16"/>
      <c r="E562" s="16"/>
      <c r="F562" s="20"/>
      <c r="G562" s="16"/>
      <c r="H562" s="26"/>
      <c r="I562" s="8"/>
      <c r="J562" s="51"/>
      <c r="K562" s="103"/>
      <c r="L562" s="104"/>
      <c r="M562" s="104"/>
      <c r="N562" s="104"/>
      <c r="O562" s="104"/>
      <c r="P562" s="54"/>
      <c r="Q562" s="20"/>
      <c r="R562" s="76"/>
      <c r="S562" s="76"/>
      <c r="T562" s="76"/>
      <c r="U562" s="76"/>
      <c r="V562" s="76"/>
      <c r="W562" s="76"/>
      <c r="X562" s="76"/>
      <c r="Y562" s="76"/>
      <c r="Z562" s="76"/>
      <c r="AA562" s="76"/>
      <c r="AB562" s="76"/>
      <c r="AC562" s="76"/>
    </row>
    <row r="563" spans="1:29">
      <c r="A563" s="35"/>
      <c r="B563" s="20"/>
      <c r="C563" s="16"/>
      <c r="D563" s="16"/>
      <c r="E563" s="16"/>
      <c r="F563" s="20"/>
      <c r="G563" s="16"/>
      <c r="H563" s="26"/>
      <c r="I563" s="8"/>
      <c r="J563" s="51"/>
      <c r="K563" s="103"/>
      <c r="L563" s="104"/>
      <c r="M563" s="104"/>
      <c r="N563" s="104"/>
      <c r="O563" s="104"/>
      <c r="P563" s="54"/>
      <c r="Q563" s="20"/>
      <c r="R563" s="76"/>
      <c r="S563" s="76"/>
      <c r="T563" s="76"/>
      <c r="U563" s="76"/>
      <c r="V563" s="76"/>
      <c r="W563" s="76"/>
      <c r="X563" s="76"/>
      <c r="Y563" s="76"/>
      <c r="Z563" s="76"/>
      <c r="AA563" s="76"/>
      <c r="AB563" s="76"/>
      <c r="AC563" s="76"/>
    </row>
    <row r="564" spans="1:29">
      <c r="A564" s="35"/>
      <c r="B564" s="20"/>
      <c r="C564" s="16"/>
      <c r="D564" s="16"/>
      <c r="E564" s="16"/>
      <c r="F564" s="20"/>
      <c r="G564" s="16"/>
      <c r="H564" s="26"/>
      <c r="I564" s="8"/>
      <c r="J564" s="51"/>
      <c r="K564" s="103"/>
      <c r="L564" s="104"/>
      <c r="M564" s="104"/>
      <c r="N564" s="104"/>
      <c r="O564" s="104"/>
      <c r="P564" s="54"/>
      <c r="Q564" s="20"/>
      <c r="R564" s="76"/>
      <c r="S564" s="76"/>
      <c r="T564" s="76"/>
      <c r="U564" s="76"/>
      <c r="V564" s="76"/>
      <c r="W564" s="76"/>
      <c r="X564" s="76"/>
      <c r="Y564" s="76"/>
      <c r="Z564" s="76"/>
      <c r="AA564" s="76"/>
      <c r="AB564" s="76"/>
      <c r="AC564" s="76"/>
    </row>
    <row r="565" spans="1:29">
      <c r="A565" s="35"/>
      <c r="B565" s="20"/>
      <c r="C565" s="16"/>
      <c r="D565" s="16"/>
      <c r="E565" s="16"/>
      <c r="F565" s="20"/>
      <c r="G565" s="16"/>
      <c r="H565" s="26"/>
      <c r="I565" s="8"/>
      <c r="J565" s="51"/>
      <c r="K565" s="103"/>
      <c r="L565" s="104"/>
      <c r="M565" s="104"/>
      <c r="N565" s="104"/>
      <c r="O565" s="104"/>
      <c r="P565" s="54"/>
      <c r="Q565" s="20"/>
      <c r="R565" s="76"/>
      <c r="S565" s="76"/>
      <c r="T565" s="76"/>
      <c r="U565" s="76"/>
      <c r="V565" s="76"/>
      <c r="W565" s="76"/>
      <c r="X565" s="76"/>
      <c r="Y565" s="76"/>
      <c r="Z565" s="76"/>
      <c r="AA565" s="76"/>
      <c r="AB565" s="76"/>
      <c r="AC565" s="76"/>
    </row>
    <row r="566" spans="1:29">
      <c r="A566" s="35"/>
      <c r="B566" s="20"/>
      <c r="C566" s="16"/>
      <c r="D566" s="16"/>
      <c r="E566" s="16"/>
      <c r="F566" s="20"/>
      <c r="G566" s="16"/>
      <c r="H566" s="26"/>
      <c r="I566" s="8"/>
      <c r="J566" s="51"/>
      <c r="K566" s="103"/>
      <c r="L566" s="104"/>
      <c r="M566" s="104"/>
      <c r="N566" s="104"/>
      <c r="O566" s="104"/>
      <c r="P566" s="54"/>
      <c r="Q566" s="20"/>
      <c r="R566" s="76"/>
      <c r="S566" s="76"/>
      <c r="T566" s="76"/>
      <c r="U566" s="76"/>
      <c r="V566" s="76"/>
      <c r="W566" s="76"/>
      <c r="X566" s="76"/>
      <c r="Y566" s="76"/>
      <c r="Z566" s="76"/>
      <c r="AA566" s="76"/>
      <c r="AB566" s="76"/>
      <c r="AC566" s="76"/>
    </row>
    <row r="567" spans="1:29">
      <c r="A567" s="35"/>
      <c r="B567" s="20"/>
      <c r="C567" s="16"/>
      <c r="D567" s="16"/>
      <c r="E567" s="16"/>
      <c r="F567" s="20"/>
      <c r="G567" s="16"/>
      <c r="H567" s="26"/>
      <c r="I567" s="8"/>
      <c r="J567" s="51"/>
      <c r="K567" s="103"/>
      <c r="L567" s="104"/>
      <c r="M567" s="104"/>
      <c r="N567" s="104"/>
      <c r="O567" s="104"/>
      <c r="P567" s="54"/>
      <c r="Q567" s="20"/>
      <c r="R567" s="76"/>
      <c r="S567" s="76"/>
      <c r="T567" s="76"/>
      <c r="U567" s="76"/>
      <c r="V567" s="76"/>
      <c r="W567" s="76"/>
      <c r="X567" s="76"/>
      <c r="Y567" s="76"/>
      <c r="Z567" s="76"/>
      <c r="AA567" s="76"/>
      <c r="AB567" s="76"/>
      <c r="AC567" s="76"/>
    </row>
    <row r="568" spans="1:29">
      <c r="A568" s="35"/>
      <c r="B568" s="20"/>
      <c r="C568" s="16"/>
      <c r="D568" s="16"/>
      <c r="E568" s="16"/>
      <c r="F568" s="20"/>
      <c r="G568" s="16"/>
      <c r="H568" s="26"/>
      <c r="I568" s="8"/>
      <c r="J568" s="51"/>
      <c r="K568" s="103"/>
      <c r="L568" s="104"/>
      <c r="M568" s="104"/>
      <c r="N568" s="104"/>
      <c r="O568" s="104"/>
      <c r="P568" s="54"/>
      <c r="Q568" s="20"/>
      <c r="R568" s="76"/>
      <c r="S568" s="76"/>
      <c r="T568" s="76"/>
      <c r="U568" s="76"/>
      <c r="V568" s="76"/>
      <c r="W568" s="76"/>
      <c r="X568" s="76"/>
      <c r="Y568" s="76"/>
      <c r="Z568" s="76"/>
      <c r="AA568" s="76"/>
      <c r="AB568" s="76"/>
      <c r="AC568" s="76"/>
    </row>
    <row r="569" spans="1:29">
      <c r="A569" s="35"/>
      <c r="B569" s="20"/>
      <c r="C569" s="16"/>
      <c r="D569" s="16"/>
      <c r="E569" s="16"/>
      <c r="F569" s="20"/>
      <c r="G569" s="16"/>
      <c r="H569" s="26"/>
      <c r="I569" s="8"/>
      <c r="J569" s="51"/>
      <c r="K569" s="103"/>
      <c r="L569" s="104"/>
      <c r="M569" s="104"/>
      <c r="N569" s="104"/>
      <c r="O569" s="104"/>
      <c r="P569" s="54"/>
      <c r="Q569" s="20"/>
      <c r="R569" s="76"/>
      <c r="S569" s="76"/>
      <c r="T569" s="76"/>
      <c r="U569" s="76"/>
      <c r="V569" s="76"/>
      <c r="W569" s="76"/>
      <c r="X569" s="76"/>
      <c r="Y569" s="76"/>
      <c r="Z569" s="76"/>
      <c r="AA569" s="76"/>
      <c r="AB569" s="76"/>
      <c r="AC569" s="76"/>
    </row>
    <row r="570" spans="1:29">
      <c r="A570" s="35"/>
      <c r="B570" s="20"/>
      <c r="C570" s="16"/>
      <c r="D570" s="16"/>
      <c r="E570" s="16"/>
      <c r="F570" s="20"/>
      <c r="G570" s="16"/>
      <c r="H570" s="26"/>
      <c r="I570" s="8"/>
      <c r="J570" s="51"/>
      <c r="K570" s="103"/>
      <c r="L570" s="104"/>
      <c r="M570" s="104"/>
      <c r="N570" s="104"/>
      <c r="O570" s="104"/>
      <c r="P570" s="54"/>
      <c r="Q570" s="20"/>
      <c r="R570" s="76"/>
      <c r="S570" s="76"/>
      <c r="T570" s="76"/>
      <c r="U570" s="76"/>
      <c r="V570" s="76"/>
      <c r="W570" s="76"/>
      <c r="X570" s="76"/>
      <c r="Y570" s="76"/>
      <c r="Z570" s="76"/>
      <c r="AA570" s="76"/>
      <c r="AB570" s="76"/>
      <c r="AC570" s="76"/>
    </row>
    <row r="571" spans="1:29">
      <c r="A571" s="35"/>
      <c r="B571" s="20"/>
      <c r="C571" s="16"/>
      <c r="D571" s="16"/>
      <c r="E571" s="16"/>
      <c r="F571" s="20"/>
      <c r="G571" s="16"/>
      <c r="H571" s="26"/>
      <c r="I571" s="8"/>
      <c r="J571" s="51"/>
      <c r="K571" s="103"/>
      <c r="L571" s="104"/>
      <c r="M571" s="104"/>
      <c r="N571" s="104"/>
      <c r="O571" s="104"/>
      <c r="P571" s="54"/>
      <c r="Q571" s="20"/>
      <c r="R571" s="76"/>
      <c r="S571" s="76"/>
      <c r="T571" s="76"/>
      <c r="U571" s="76"/>
      <c r="V571" s="76"/>
      <c r="W571" s="76"/>
      <c r="X571" s="76"/>
      <c r="Y571" s="76"/>
      <c r="Z571" s="76"/>
      <c r="AA571" s="76"/>
      <c r="AB571" s="76"/>
      <c r="AC571" s="76"/>
    </row>
    <row r="572" spans="1:29">
      <c r="A572" s="35"/>
      <c r="B572" s="20"/>
      <c r="C572" s="16"/>
      <c r="D572" s="16"/>
      <c r="E572" s="16"/>
      <c r="F572" s="20"/>
      <c r="G572" s="16"/>
      <c r="H572" s="26"/>
      <c r="I572" s="8"/>
      <c r="J572" s="51"/>
      <c r="K572" s="103"/>
      <c r="L572" s="104"/>
      <c r="M572" s="104"/>
      <c r="N572" s="104"/>
      <c r="O572" s="104"/>
      <c r="P572" s="54"/>
      <c r="Q572" s="20"/>
      <c r="R572" s="76"/>
      <c r="S572" s="76"/>
      <c r="T572" s="76"/>
      <c r="U572" s="76"/>
      <c r="V572" s="76"/>
      <c r="W572" s="76"/>
      <c r="X572" s="76"/>
      <c r="Y572" s="76"/>
      <c r="Z572" s="76"/>
      <c r="AA572" s="76"/>
      <c r="AB572" s="76"/>
      <c r="AC572" s="76"/>
    </row>
    <row r="573" spans="1:29">
      <c r="A573" s="35"/>
      <c r="B573" s="20"/>
      <c r="C573" s="16"/>
      <c r="D573" s="16"/>
      <c r="E573" s="16"/>
      <c r="F573" s="20"/>
      <c r="G573" s="16"/>
      <c r="H573" s="26"/>
      <c r="I573" s="8"/>
      <c r="J573" s="51"/>
      <c r="K573" s="103"/>
      <c r="L573" s="104"/>
      <c r="M573" s="104"/>
      <c r="N573" s="104"/>
      <c r="O573" s="104"/>
      <c r="P573" s="54"/>
      <c r="Q573" s="20"/>
      <c r="R573" s="76"/>
      <c r="S573" s="76"/>
      <c r="T573" s="76"/>
      <c r="U573" s="76"/>
      <c r="V573" s="76"/>
      <c r="W573" s="76"/>
      <c r="X573" s="76"/>
      <c r="Y573" s="76"/>
      <c r="Z573" s="76"/>
      <c r="AA573" s="76"/>
      <c r="AB573" s="76"/>
      <c r="AC573" s="76"/>
    </row>
    <row r="574" spans="1:29">
      <c r="A574" s="35"/>
      <c r="B574" s="20"/>
      <c r="C574" s="16"/>
      <c r="D574" s="16"/>
      <c r="E574" s="16"/>
      <c r="F574" s="20"/>
      <c r="G574" s="16"/>
      <c r="H574" s="26"/>
      <c r="I574" s="8"/>
      <c r="J574" s="51"/>
      <c r="K574" s="103"/>
      <c r="L574" s="104"/>
      <c r="M574" s="104"/>
      <c r="N574" s="104"/>
      <c r="O574" s="104"/>
      <c r="P574" s="54"/>
      <c r="Q574" s="20"/>
      <c r="R574" s="76"/>
      <c r="S574" s="76"/>
      <c r="T574" s="76"/>
      <c r="U574" s="76"/>
      <c r="V574" s="76"/>
      <c r="W574" s="76"/>
      <c r="X574" s="76"/>
      <c r="Y574" s="76"/>
      <c r="Z574" s="76"/>
      <c r="AA574" s="76"/>
      <c r="AB574" s="76"/>
      <c r="AC574" s="76"/>
    </row>
    <row r="575" spans="1:29">
      <c r="A575" s="35"/>
      <c r="B575" s="20"/>
      <c r="C575" s="16"/>
      <c r="D575" s="16"/>
      <c r="E575" s="16"/>
      <c r="F575" s="20"/>
      <c r="G575" s="16"/>
      <c r="H575" s="26"/>
      <c r="I575" s="8"/>
      <c r="J575" s="51"/>
      <c r="K575" s="103"/>
      <c r="L575" s="104"/>
      <c r="M575" s="104"/>
      <c r="N575" s="104"/>
      <c r="O575" s="104"/>
      <c r="P575" s="54"/>
      <c r="Q575" s="20"/>
      <c r="R575" s="76"/>
      <c r="S575" s="76"/>
      <c r="T575" s="76"/>
      <c r="U575" s="76"/>
      <c r="V575" s="76"/>
      <c r="W575" s="76"/>
      <c r="X575" s="76"/>
      <c r="Y575" s="76"/>
      <c r="Z575" s="76"/>
      <c r="AA575" s="76"/>
      <c r="AB575" s="76"/>
      <c r="AC575" s="76"/>
    </row>
    <row r="576" spans="1:29">
      <c r="A576" s="35"/>
      <c r="B576" s="20"/>
      <c r="C576" s="16"/>
      <c r="D576" s="16"/>
      <c r="E576" s="16"/>
      <c r="F576" s="20"/>
      <c r="G576" s="16"/>
      <c r="H576" s="26"/>
      <c r="I576" s="8"/>
      <c r="J576" s="51"/>
      <c r="K576" s="103"/>
      <c r="L576" s="104"/>
      <c r="M576" s="104"/>
      <c r="N576" s="104"/>
      <c r="O576" s="104"/>
      <c r="P576" s="54"/>
      <c r="Q576" s="20"/>
      <c r="R576" s="76"/>
      <c r="S576" s="76"/>
      <c r="T576" s="76"/>
      <c r="U576" s="76"/>
      <c r="V576" s="76"/>
      <c r="W576" s="76"/>
      <c r="X576" s="76"/>
      <c r="Y576" s="76"/>
      <c r="Z576" s="76"/>
      <c r="AA576" s="76"/>
      <c r="AB576" s="76"/>
      <c r="AC576" s="76"/>
    </row>
    <row r="577" spans="1:29">
      <c r="A577" s="35"/>
      <c r="B577" s="20"/>
      <c r="C577" s="16"/>
      <c r="D577" s="16"/>
      <c r="E577" s="16"/>
      <c r="F577" s="20"/>
      <c r="G577" s="16"/>
      <c r="H577" s="26"/>
      <c r="I577" s="8"/>
      <c r="J577" s="51"/>
      <c r="K577" s="103"/>
      <c r="L577" s="104"/>
      <c r="M577" s="104"/>
      <c r="N577" s="104"/>
      <c r="O577" s="104"/>
      <c r="P577" s="54"/>
      <c r="Q577" s="20"/>
      <c r="R577" s="76"/>
      <c r="S577" s="76"/>
      <c r="T577" s="76"/>
      <c r="U577" s="76"/>
      <c r="V577" s="76"/>
      <c r="W577" s="76"/>
      <c r="X577" s="76"/>
      <c r="Y577" s="76"/>
      <c r="Z577" s="76"/>
      <c r="AA577" s="76"/>
      <c r="AB577" s="76"/>
      <c r="AC577" s="76"/>
    </row>
    <row r="578" spans="1:29">
      <c r="A578" s="35"/>
      <c r="B578" s="20"/>
      <c r="C578" s="16"/>
      <c r="D578" s="16"/>
      <c r="E578" s="16"/>
      <c r="F578" s="20"/>
      <c r="G578" s="16"/>
      <c r="H578" s="26"/>
      <c r="I578" s="8"/>
      <c r="J578" s="51"/>
      <c r="K578" s="103"/>
      <c r="L578" s="104"/>
      <c r="M578" s="104"/>
      <c r="N578" s="104"/>
      <c r="O578" s="104"/>
      <c r="P578" s="54"/>
      <c r="Q578" s="20"/>
      <c r="R578" s="76"/>
      <c r="S578" s="76"/>
      <c r="T578" s="76"/>
      <c r="U578" s="76"/>
      <c r="V578" s="76"/>
      <c r="W578" s="76"/>
      <c r="X578" s="76"/>
      <c r="Y578" s="76"/>
      <c r="Z578" s="76"/>
      <c r="AA578" s="76"/>
      <c r="AB578" s="76"/>
      <c r="AC578" s="76"/>
    </row>
    <row r="579" spans="1:29">
      <c r="A579" s="35"/>
      <c r="B579" s="20"/>
      <c r="C579" s="16"/>
      <c r="D579" s="16"/>
      <c r="E579" s="16"/>
      <c r="F579" s="20"/>
      <c r="G579" s="16"/>
      <c r="H579" s="26"/>
      <c r="I579" s="8"/>
      <c r="J579" s="51"/>
      <c r="K579" s="103"/>
      <c r="L579" s="104"/>
      <c r="M579" s="104"/>
      <c r="N579" s="104"/>
      <c r="O579" s="104"/>
      <c r="P579" s="54"/>
      <c r="Q579" s="20"/>
      <c r="R579" s="76"/>
      <c r="S579" s="76"/>
      <c r="T579" s="76"/>
      <c r="U579" s="76"/>
      <c r="V579" s="76"/>
      <c r="W579" s="76"/>
      <c r="X579" s="76"/>
      <c r="Y579" s="76"/>
      <c r="Z579" s="76"/>
      <c r="AA579" s="76"/>
      <c r="AB579" s="76"/>
      <c r="AC579" s="76"/>
    </row>
    <row r="580" spans="1:29">
      <c r="A580" s="35"/>
      <c r="B580" s="20"/>
      <c r="C580" s="16"/>
      <c r="D580" s="16"/>
      <c r="E580" s="16"/>
      <c r="F580" s="20"/>
      <c r="G580" s="16"/>
      <c r="H580" s="26"/>
      <c r="I580" s="8"/>
      <c r="J580" s="51"/>
      <c r="K580" s="103"/>
      <c r="L580" s="104"/>
      <c r="M580" s="104"/>
      <c r="N580" s="104"/>
      <c r="O580" s="104"/>
      <c r="P580" s="54"/>
      <c r="Q580" s="20"/>
      <c r="R580" s="76"/>
      <c r="S580" s="76"/>
      <c r="T580" s="76"/>
      <c r="U580" s="76"/>
      <c r="V580" s="76"/>
      <c r="W580" s="76"/>
      <c r="X580" s="76"/>
      <c r="Y580" s="76"/>
      <c r="Z580" s="76"/>
      <c r="AA580" s="76"/>
      <c r="AB580" s="76"/>
      <c r="AC580" s="76"/>
    </row>
    <row r="581" spans="1:29">
      <c r="A581" s="35"/>
      <c r="B581" s="20"/>
      <c r="C581" s="16"/>
      <c r="D581" s="16"/>
      <c r="E581" s="16"/>
      <c r="F581" s="20"/>
      <c r="G581" s="16"/>
      <c r="H581" s="26"/>
      <c r="I581" s="8"/>
      <c r="J581" s="51"/>
      <c r="K581" s="103"/>
      <c r="L581" s="104"/>
      <c r="M581" s="104"/>
      <c r="N581" s="104"/>
      <c r="O581" s="104"/>
      <c r="P581" s="54"/>
      <c r="Q581" s="20"/>
      <c r="R581" s="76"/>
      <c r="S581" s="76"/>
      <c r="T581" s="76"/>
      <c r="U581" s="76"/>
      <c r="V581" s="76"/>
      <c r="W581" s="76"/>
      <c r="X581" s="76"/>
      <c r="Y581" s="76"/>
      <c r="Z581" s="76"/>
      <c r="AA581" s="76"/>
      <c r="AB581" s="76"/>
      <c r="AC581" s="76"/>
    </row>
    <row r="582" spans="1:29">
      <c r="A582" s="35"/>
      <c r="B582" s="20"/>
      <c r="C582" s="16"/>
      <c r="D582" s="16"/>
      <c r="E582" s="16"/>
      <c r="F582" s="20"/>
      <c r="G582" s="16"/>
      <c r="H582" s="26"/>
      <c r="I582" s="8"/>
      <c r="J582" s="51"/>
      <c r="K582" s="103"/>
      <c r="L582" s="104"/>
      <c r="M582" s="104"/>
      <c r="N582" s="104"/>
      <c r="O582" s="104"/>
      <c r="P582" s="54"/>
      <c r="Q582" s="20"/>
      <c r="R582" s="76"/>
      <c r="S582" s="76"/>
      <c r="T582" s="76"/>
      <c r="U582" s="76"/>
      <c r="V582" s="76"/>
      <c r="W582" s="76"/>
      <c r="X582" s="76"/>
      <c r="Y582" s="76"/>
      <c r="Z582" s="76"/>
      <c r="AA582" s="76"/>
      <c r="AB582" s="76"/>
      <c r="AC582" s="76"/>
    </row>
    <row r="583" spans="1:29">
      <c r="A583" s="35"/>
      <c r="B583" s="20"/>
      <c r="C583" s="16"/>
      <c r="D583" s="16"/>
      <c r="E583" s="16"/>
      <c r="F583" s="20"/>
      <c r="G583" s="16"/>
      <c r="H583" s="26"/>
      <c r="I583" s="8"/>
      <c r="J583" s="51"/>
      <c r="K583" s="103"/>
      <c r="L583" s="104"/>
      <c r="M583" s="104"/>
      <c r="N583" s="104"/>
      <c r="O583" s="104"/>
      <c r="P583" s="54"/>
      <c r="Q583" s="20"/>
      <c r="R583" s="76"/>
      <c r="S583" s="76"/>
      <c r="T583" s="76"/>
      <c r="U583" s="76"/>
      <c r="V583" s="76"/>
      <c r="W583" s="76"/>
      <c r="X583" s="76"/>
      <c r="Y583" s="76"/>
      <c r="Z583" s="76"/>
      <c r="AA583" s="76"/>
      <c r="AB583" s="76"/>
      <c r="AC583" s="76"/>
    </row>
    <row r="584" spans="1:29">
      <c r="A584" s="35"/>
      <c r="B584" s="20"/>
      <c r="C584" s="16"/>
      <c r="D584" s="16"/>
      <c r="E584" s="16"/>
      <c r="F584" s="20"/>
      <c r="G584" s="16"/>
      <c r="H584" s="26"/>
      <c r="I584" s="8"/>
      <c r="J584" s="51"/>
      <c r="K584" s="103"/>
      <c r="L584" s="104"/>
      <c r="M584" s="104"/>
      <c r="N584" s="104"/>
      <c r="O584" s="104"/>
      <c r="P584" s="54"/>
      <c r="Q584" s="20"/>
      <c r="R584" s="76"/>
      <c r="S584" s="76"/>
      <c r="T584" s="76"/>
      <c r="U584" s="76"/>
      <c r="V584" s="76"/>
      <c r="W584" s="76"/>
      <c r="X584" s="76"/>
      <c r="Y584" s="76"/>
      <c r="Z584" s="76"/>
      <c r="AA584" s="76"/>
      <c r="AB584" s="76"/>
      <c r="AC584" s="76"/>
    </row>
    <row r="585" spans="1:29">
      <c r="A585" s="35"/>
      <c r="B585" s="20"/>
      <c r="C585" s="16"/>
      <c r="D585" s="16"/>
      <c r="E585" s="16"/>
      <c r="F585" s="20"/>
      <c r="G585" s="16"/>
      <c r="H585" s="26"/>
      <c r="I585" s="8"/>
      <c r="J585" s="51"/>
      <c r="K585" s="103"/>
      <c r="L585" s="104"/>
      <c r="M585" s="104"/>
      <c r="N585" s="104"/>
      <c r="O585" s="104"/>
      <c r="P585" s="54"/>
      <c r="Q585" s="20"/>
      <c r="R585" s="76"/>
      <c r="S585" s="76"/>
      <c r="T585" s="76"/>
      <c r="U585" s="76"/>
      <c r="V585" s="76"/>
      <c r="W585" s="76"/>
      <c r="X585" s="76"/>
      <c r="Y585" s="76"/>
      <c r="Z585" s="76"/>
      <c r="AA585" s="76"/>
      <c r="AB585" s="76"/>
      <c r="AC585" s="76"/>
    </row>
    <row r="586" spans="1:29">
      <c r="A586" s="35"/>
      <c r="B586" s="20"/>
      <c r="C586" s="16"/>
      <c r="D586" s="16"/>
      <c r="E586" s="16"/>
      <c r="F586" s="20"/>
      <c r="G586" s="16"/>
      <c r="H586" s="26"/>
      <c r="I586" s="8"/>
      <c r="J586" s="51"/>
      <c r="K586" s="103"/>
      <c r="L586" s="104"/>
      <c r="M586" s="104"/>
      <c r="N586" s="104"/>
      <c r="O586" s="104"/>
      <c r="P586" s="54"/>
      <c r="Q586" s="20"/>
      <c r="R586" s="76"/>
      <c r="S586" s="76"/>
      <c r="T586" s="76"/>
      <c r="U586" s="76"/>
      <c r="V586" s="76"/>
      <c r="W586" s="76"/>
      <c r="X586" s="76"/>
      <c r="Y586" s="76"/>
      <c r="Z586" s="76"/>
      <c r="AA586" s="76"/>
      <c r="AB586" s="76"/>
      <c r="AC586" s="76"/>
    </row>
    <row r="587" spans="1:29">
      <c r="A587" s="35"/>
      <c r="B587" s="20"/>
      <c r="C587" s="16"/>
      <c r="D587" s="16"/>
      <c r="E587" s="16"/>
      <c r="F587" s="20"/>
      <c r="G587" s="16"/>
      <c r="H587" s="26"/>
      <c r="I587" s="8"/>
      <c r="J587" s="51"/>
      <c r="K587" s="103"/>
      <c r="L587" s="104"/>
      <c r="M587" s="104"/>
      <c r="N587" s="104"/>
      <c r="O587" s="104"/>
      <c r="P587" s="54"/>
      <c r="Q587" s="20"/>
      <c r="R587" s="76"/>
      <c r="S587" s="76"/>
      <c r="T587" s="76"/>
      <c r="U587" s="76"/>
      <c r="V587" s="76"/>
      <c r="W587" s="76"/>
      <c r="X587" s="76"/>
      <c r="Y587" s="76"/>
      <c r="Z587" s="76"/>
      <c r="AA587" s="76"/>
      <c r="AB587" s="76"/>
      <c r="AC587" s="76"/>
    </row>
    <row r="588" spans="1:29">
      <c r="A588" s="35"/>
      <c r="B588" s="20"/>
      <c r="C588" s="16"/>
      <c r="D588" s="16"/>
      <c r="E588" s="16"/>
      <c r="F588" s="20"/>
      <c r="G588" s="16"/>
      <c r="H588" s="26"/>
      <c r="I588" s="8"/>
      <c r="J588" s="51"/>
      <c r="K588" s="103"/>
      <c r="L588" s="104"/>
      <c r="M588" s="104"/>
      <c r="N588" s="104"/>
      <c r="O588" s="104"/>
      <c r="P588" s="54"/>
      <c r="Q588" s="20"/>
      <c r="R588" s="76"/>
      <c r="S588" s="76"/>
      <c r="T588" s="76"/>
      <c r="U588" s="76"/>
      <c r="V588" s="76"/>
      <c r="W588" s="76"/>
      <c r="X588" s="76"/>
      <c r="Y588" s="76"/>
      <c r="Z588" s="76"/>
      <c r="AA588" s="76"/>
      <c r="AB588" s="76"/>
      <c r="AC588" s="76"/>
    </row>
    <row r="589" spans="1:29">
      <c r="A589" s="35"/>
      <c r="B589" s="20"/>
      <c r="C589" s="16"/>
      <c r="D589" s="16"/>
      <c r="E589" s="16"/>
      <c r="F589" s="20"/>
      <c r="G589" s="16"/>
      <c r="H589" s="26"/>
      <c r="I589" s="8"/>
      <c r="J589" s="51"/>
      <c r="K589" s="103"/>
      <c r="L589" s="104"/>
      <c r="M589" s="104"/>
      <c r="N589" s="104"/>
      <c r="O589" s="104"/>
      <c r="P589" s="54"/>
      <c r="Q589" s="20"/>
      <c r="R589" s="76"/>
      <c r="S589" s="76"/>
      <c r="T589" s="76"/>
      <c r="U589" s="76"/>
      <c r="V589" s="76"/>
      <c r="W589" s="76"/>
      <c r="X589" s="76"/>
      <c r="Y589" s="76"/>
      <c r="Z589" s="76"/>
      <c r="AA589" s="76"/>
      <c r="AB589" s="76"/>
      <c r="AC589" s="76"/>
    </row>
    <row r="590" spans="1:29">
      <c r="A590" s="35"/>
      <c r="B590" s="20"/>
      <c r="C590" s="16"/>
      <c r="D590" s="16"/>
      <c r="E590" s="16"/>
      <c r="F590" s="20"/>
      <c r="G590" s="16"/>
      <c r="H590" s="26"/>
      <c r="I590" s="8"/>
      <c r="J590" s="51"/>
      <c r="K590" s="103"/>
      <c r="L590" s="104"/>
      <c r="M590" s="104"/>
      <c r="N590" s="104"/>
      <c r="O590" s="104"/>
      <c r="P590" s="54"/>
      <c r="Q590" s="20"/>
      <c r="R590" s="76"/>
      <c r="S590" s="76"/>
      <c r="T590" s="76"/>
      <c r="U590" s="76"/>
      <c r="V590" s="76"/>
      <c r="W590" s="76"/>
      <c r="X590" s="76"/>
      <c r="Y590" s="76"/>
      <c r="Z590" s="76"/>
      <c r="AA590" s="76"/>
      <c r="AB590" s="76"/>
      <c r="AC590" s="76"/>
    </row>
    <row r="591" spans="1:29">
      <c r="A591" s="35"/>
      <c r="B591" s="20"/>
      <c r="C591" s="16"/>
      <c r="D591" s="16"/>
      <c r="E591" s="16"/>
      <c r="F591" s="20"/>
      <c r="G591" s="16"/>
      <c r="H591" s="26"/>
      <c r="I591" s="8"/>
      <c r="J591" s="51"/>
      <c r="K591" s="103"/>
      <c r="L591" s="104"/>
      <c r="M591" s="104"/>
      <c r="N591" s="104"/>
      <c r="O591" s="104"/>
      <c r="P591" s="54"/>
      <c r="Q591" s="20"/>
      <c r="R591" s="76"/>
      <c r="S591" s="76"/>
      <c r="T591" s="76"/>
      <c r="U591" s="76"/>
      <c r="V591" s="76"/>
      <c r="W591" s="76"/>
      <c r="X591" s="76"/>
      <c r="Y591" s="76"/>
      <c r="Z591" s="76"/>
      <c r="AA591" s="76"/>
      <c r="AB591" s="76"/>
      <c r="AC591" s="76"/>
    </row>
    <row r="592" spans="1:29">
      <c r="A592" s="35"/>
      <c r="B592" s="20"/>
      <c r="C592" s="16"/>
      <c r="D592" s="16"/>
      <c r="E592" s="16"/>
      <c r="F592" s="20"/>
      <c r="G592" s="16"/>
      <c r="H592" s="26"/>
      <c r="I592" s="8"/>
      <c r="J592" s="51"/>
      <c r="K592" s="103"/>
      <c r="L592" s="104"/>
      <c r="M592" s="104"/>
      <c r="N592" s="104"/>
      <c r="O592" s="104"/>
      <c r="P592" s="54"/>
      <c r="Q592" s="20"/>
      <c r="R592" s="76"/>
      <c r="S592" s="76"/>
      <c r="T592" s="76"/>
      <c r="U592" s="76"/>
      <c r="V592" s="76"/>
      <c r="W592" s="76"/>
      <c r="X592" s="76"/>
      <c r="Y592" s="76"/>
      <c r="Z592" s="76"/>
      <c r="AA592" s="76"/>
      <c r="AB592" s="76"/>
      <c r="AC592" s="76"/>
    </row>
    <row r="593" spans="1:29">
      <c r="A593" s="35"/>
      <c r="B593" s="20"/>
      <c r="C593" s="16"/>
      <c r="D593" s="16"/>
      <c r="E593" s="16"/>
      <c r="F593" s="20"/>
      <c r="G593" s="16"/>
      <c r="H593" s="26"/>
      <c r="I593" s="8"/>
      <c r="J593" s="51"/>
      <c r="K593" s="103"/>
      <c r="L593" s="104"/>
      <c r="M593" s="104"/>
      <c r="N593" s="104"/>
      <c r="O593" s="104"/>
      <c r="P593" s="54"/>
      <c r="Q593" s="20"/>
      <c r="R593" s="76"/>
      <c r="S593" s="76"/>
      <c r="T593" s="76"/>
      <c r="U593" s="76"/>
      <c r="V593" s="76"/>
      <c r="W593" s="76"/>
      <c r="X593" s="76"/>
      <c r="Y593" s="76"/>
      <c r="Z593" s="76"/>
      <c r="AA593" s="76"/>
      <c r="AB593" s="76"/>
      <c r="AC593" s="76"/>
    </row>
    <row r="594" spans="1:29">
      <c r="A594" s="35"/>
      <c r="B594" s="20"/>
      <c r="C594" s="16"/>
      <c r="D594" s="16"/>
      <c r="E594" s="16"/>
      <c r="F594" s="20"/>
      <c r="G594" s="16"/>
      <c r="H594" s="26"/>
      <c r="I594" s="8"/>
      <c r="J594" s="51"/>
      <c r="K594" s="103"/>
      <c r="L594" s="104"/>
      <c r="M594" s="104"/>
      <c r="N594" s="104"/>
      <c r="O594" s="104"/>
      <c r="P594" s="54"/>
      <c r="Q594" s="20"/>
      <c r="R594" s="76"/>
      <c r="S594" s="76"/>
      <c r="T594" s="76"/>
      <c r="U594" s="76"/>
      <c r="V594" s="76"/>
      <c r="W594" s="76"/>
      <c r="X594" s="76"/>
      <c r="Y594" s="76"/>
      <c r="Z594" s="76"/>
      <c r="AA594" s="76"/>
      <c r="AB594" s="76"/>
      <c r="AC594" s="76"/>
    </row>
    <row r="595" spans="1:29">
      <c r="A595" s="35"/>
      <c r="B595" s="20"/>
      <c r="C595" s="16"/>
      <c r="D595" s="16"/>
      <c r="E595" s="16"/>
      <c r="F595" s="20"/>
      <c r="G595" s="16"/>
      <c r="H595" s="26"/>
      <c r="I595" s="8"/>
      <c r="J595" s="51"/>
      <c r="K595" s="103"/>
      <c r="L595" s="104"/>
      <c r="M595" s="104"/>
      <c r="N595" s="104"/>
      <c r="O595" s="104"/>
      <c r="P595" s="54"/>
      <c r="Q595" s="20"/>
      <c r="R595" s="76"/>
      <c r="S595" s="76"/>
      <c r="T595" s="76"/>
      <c r="U595" s="76"/>
      <c r="V595" s="76"/>
      <c r="W595" s="76"/>
      <c r="X595" s="76"/>
      <c r="Y595" s="76"/>
      <c r="Z595" s="76"/>
      <c r="AA595" s="76"/>
      <c r="AB595" s="76"/>
      <c r="AC595" s="76"/>
    </row>
    <row r="596" spans="1:29">
      <c r="A596" s="35"/>
      <c r="B596" s="20"/>
      <c r="C596" s="16"/>
      <c r="D596" s="16"/>
      <c r="E596" s="16"/>
      <c r="F596" s="20"/>
      <c r="G596" s="16"/>
      <c r="H596" s="26"/>
      <c r="I596" s="8"/>
      <c r="J596" s="51"/>
      <c r="K596" s="103"/>
      <c r="L596" s="104"/>
      <c r="M596" s="104"/>
      <c r="N596" s="104"/>
      <c r="O596" s="104"/>
      <c r="P596" s="54"/>
      <c r="Q596" s="20"/>
      <c r="R596" s="76"/>
      <c r="S596" s="76"/>
      <c r="T596" s="76"/>
      <c r="U596" s="76"/>
      <c r="V596" s="76"/>
      <c r="W596" s="76"/>
      <c r="X596" s="76"/>
      <c r="Y596" s="76"/>
      <c r="Z596" s="76"/>
      <c r="AA596" s="76"/>
      <c r="AB596" s="76"/>
      <c r="AC596" s="76"/>
    </row>
    <row r="597" spans="1:29">
      <c r="A597" s="35"/>
      <c r="B597" s="20"/>
      <c r="C597" s="16"/>
      <c r="D597" s="16"/>
      <c r="E597" s="16"/>
      <c r="F597" s="20"/>
      <c r="G597" s="16"/>
      <c r="H597" s="26"/>
      <c r="I597" s="8"/>
      <c r="J597" s="51"/>
      <c r="K597" s="103"/>
      <c r="L597" s="104"/>
      <c r="M597" s="104"/>
      <c r="N597" s="104"/>
      <c r="O597" s="104"/>
      <c r="P597" s="54"/>
      <c r="Q597" s="20"/>
      <c r="R597" s="76"/>
      <c r="S597" s="76"/>
      <c r="T597" s="76"/>
      <c r="U597" s="76"/>
      <c r="V597" s="76"/>
      <c r="W597" s="76"/>
      <c r="X597" s="76"/>
      <c r="Y597" s="76"/>
      <c r="Z597" s="76"/>
      <c r="AA597" s="76"/>
      <c r="AB597" s="76"/>
      <c r="AC597" s="76"/>
    </row>
    <row r="598" spans="1:29">
      <c r="A598" s="35"/>
      <c r="B598" s="20"/>
      <c r="C598" s="16"/>
      <c r="D598" s="16"/>
      <c r="E598" s="16"/>
      <c r="F598" s="20"/>
      <c r="G598" s="16"/>
      <c r="H598" s="26"/>
      <c r="I598" s="8"/>
      <c r="J598" s="51"/>
      <c r="K598" s="103"/>
      <c r="L598" s="104"/>
      <c r="M598" s="104"/>
      <c r="N598" s="104"/>
      <c r="O598" s="104"/>
      <c r="P598" s="54"/>
      <c r="Q598" s="20"/>
      <c r="R598" s="76"/>
      <c r="S598" s="76"/>
      <c r="T598" s="76"/>
      <c r="U598" s="76"/>
      <c r="V598" s="76"/>
      <c r="W598" s="76"/>
      <c r="X598" s="76"/>
      <c r="Y598" s="76"/>
      <c r="Z598" s="76"/>
      <c r="AA598" s="76"/>
      <c r="AB598" s="76"/>
      <c r="AC598" s="76"/>
    </row>
    <row r="599" spans="1:29">
      <c r="A599" s="35"/>
      <c r="B599" s="20"/>
      <c r="C599" s="16"/>
      <c r="D599" s="16"/>
      <c r="E599" s="16"/>
      <c r="F599" s="20"/>
      <c r="G599" s="16"/>
      <c r="H599" s="26"/>
      <c r="I599" s="8"/>
      <c r="J599" s="51"/>
      <c r="K599" s="103"/>
      <c r="L599" s="104"/>
      <c r="M599" s="104"/>
      <c r="N599" s="104"/>
      <c r="O599" s="104"/>
      <c r="P599" s="54"/>
      <c r="Q599" s="20"/>
      <c r="R599" s="76"/>
      <c r="S599" s="76"/>
      <c r="T599" s="76"/>
      <c r="U599" s="76"/>
      <c r="V599" s="76"/>
      <c r="W599" s="76"/>
      <c r="X599" s="76"/>
      <c r="Y599" s="76"/>
      <c r="Z599" s="76"/>
      <c r="AA599" s="76"/>
      <c r="AB599" s="76"/>
      <c r="AC599" s="76"/>
    </row>
    <row r="600" spans="1:29">
      <c r="A600" s="35"/>
      <c r="B600" s="20"/>
      <c r="C600" s="16"/>
      <c r="D600" s="16"/>
      <c r="E600" s="16"/>
      <c r="F600" s="20"/>
      <c r="G600" s="16"/>
      <c r="H600" s="26"/>
      <c r="I600" s="8"/>
      <c r="J600" s="51"/>
      <c r="K600" s="103"/>
      <c r="L600" s="104"/>
      <c r="M600" s="104"/>
      <c r="N600" s="104"/>
      <c r="O600" s="104"/>
      <c r="P600" s="54"/>
      <c r="Q600" s="20"/>
      <c r="R600" s="76"/>
      <c r="S600" s="76"/>
      <c r="T600" s="76"/>
      <c r="U600" s="76"/>
      <c r="V600" s="76"/>
      <c r="W600" s="76"/>
      <c r="X600" s="76"/>
      <c r="Y600" s="76"/>
      <c r="Z600" s="76"/>
      <c r="AA600" s="76"/>
      <c r="AB600" s="76"/>
      <c r="AC600" s="76"/>
    </row>
    <row r="601" spans="1:29">
      <c r="A601" s="35"/>
      <c r="B601" s="20"/>
      <c r="C601" s="16"/>
      <c r="D601" s="16"/>
      <c r="E601" s="16"/>
      <c r="F601" s="20"/>
      <c r="G601" s="16"/>
      <c r="H601" s="26"/>
      <c r="I601" s="8"/>
      <c r="J601" s="51"/>
      <c r="K601" s="103"/>
      <c r="L601" s="104"/>
      <c r="M601" s="104"/>
      <c r="N601" s="104"/>
      <c r="O601" s="104"/>
      <c r="P601" s="54"/>
      <c r="Q601" s="20"/>
      <c r="R601" s="76"/>
      <c r="S601" s="76"/>
      <c r="T601" s="76"/>
      <c r="U601" s="76"/>
      <c r="V601" s="76"/>
      <c r="W601" s="76"/>
      <c r="X601" s="76"/>
      <c r="Y601" s="76"/>
      <c r="Z601" s="76"/>
      <c r="AA601" s="76"/>
      <c r="AB601" s="76"/>
      <c r="AC601" s="76"/>
    </row>
    <row r="602" spans="1:29">
      <c r="A602" s="35"/>
      <c r="B602" s="20"/>
      <c r="C602" s="16"/>
      <c r="D602" s="16"/>
      <c r="E602" s="16"/>
      <c r="F602" s="20"/>
      <c r="G602" s="16"/>
      <c r="H602" s="26"/>
      <c r="I602" s="8"/>
      <c r="J602" s="51"/>
      <c r="K602" s="103"/>
      <c r="L602" s="104"/>
      <c r="M602" s="104"/>
      <c r="N602" s="104"/>
      <c r="O602" s="104"/>
      <c r="P602" s="54"/>
      <c r="Q602" s="20"/>
      <c r="R602" s="76"/>
      <c r="S602" s="76"/>
      <c r="T602" s="76"/>
      <c r="U602" s="76"/>
      <c r="V602" s="76"/>
      <c r="W602" s="76"/>
      <c r="X602" s="76"/>
      <c r="Y602" s="76"/>
      <c r="Z602" s="76"/>
      <c r="AA602" s="76"/>
      <c r="AB602" s="76"/>
      <c r="AC602" s="76"/>
    </row>
    <row r="603" spans="1:29">
      <c r="A603" s="35"/>
      <c r="B603" s="20"/>
      <c r="C603" s="16"/>
      <c r="D603" s="16"/>
      <c r="E603" s="16"/>
      <c r="F603" s="20"/>
      <c r="G603" s="16"/>
      <c r="H603" s="26"/>
      <c r="I603" s="8"/>
      <c r="J603" s="51"/>
      <c r="K603" s="103"/>
      <c r="L603" s="104"/>
      <c r="M603" s="104"/>
      <c r="N603" s="104"/>
      <c r="O603" s="104"/>
      <c r="P603" s="54"/>
      <c r="Q603" s="20"/>
      <c r="R603" s="76"/>
      <c r="S603" s="76"/>
      <c r="T603" s="76"/>
      <c r="U603" s="76"/>
      <c r="V603" s="76"/>
      <c r="W603" s="76"/>
      <c r="X603" s="76"/>
      <c r="Y603" s="76"/>
      <c r="Z603" s="76"/>
      <c r="AA603" s="76"/>
      <c r="AB603" s="76"/>
      <c r="AC603" s="76"/>
    </row>
    <row r="604" spans="1:29">
      <c r="A604" s="35"/>
      <c r="B604" s="20"/>
      <c r="C604" s="16"/>
      <c r="D604" s="16"/>
      <c r="E604" s="16"/>
      <c r="F604" s="20"/>
      <c r="G604" s="16"/>
      <c r="H604" s="26"/>
      <c r="I604" s="8"/>
      <c r="J604" s="51"/>
      <c r="K604" s="103"/>
      <c r="L604" s="104"/>
      <c r="M604" s="104"/>
      <c r="N604" s="104"/>
      <c r="O604" s="104"/>
      <c r="P604" s="54"/>
      <c r="Q604" s="20"/>
      <c r="R604" s="76"/>
      <c r="S604" s="76"/>
      <c r="T604" s="76"/>
      <c r="U604" s="76"/>
      <c r="V604" s="76"/>
      <c r="W604" s="76"/>
      <c r="X604" s="76"/>
      <c r="Y604" s="76"/>
      <c r="Z604" s="76"/>
      <c r="AA604" s="76"/>
      <c r="AB604" s="76"/>
      <c r="AC604" s="76"/>
    </row>
    <row r="605" spans="1:29">
      <c r="A605" s="35"/>
      <c r="B605" s="20"/>
      <c r="C605" s="16"/>
      <c r="D605" s="16"/>
      <c r="E605" s="16"/>
      <c r="F605" s="20"/>
      <c r="G605" s="16"/>
      <c r="H605" s="26"/>
      <c r="I605" s="8"/>
      <c r="J605" s="51"/>
      <c r="K605" s="103"/>
      <c r="L605" s="104"/>
      <c r="M605" s="104"/>
      <c r="N605" s="104"/>
      <c r="O605" s="104"/>
      <c r="P605" s="54"/>
      <c r="Q605" s="20"/>
      <c r="R605" s="76"/>
      <c r="S605" s="76"/>
      <c r="T605" s="76"/>
      <c r="U605" s="76"/>
      <c r="V605" s="76"/>
      <c r="W605" s="76"/>
      <c r="X605" s="76"/>
      <c r="Y605" s="76"/>
      <c r="Z605" s="76"/>
      <c r="AA605" s="76"/>
      <c r="AB605" s="76"/>
      <c r="AC605" s="76"/>
    </row>
    <row r="606" spans="1:29">
      <c r="A606" s="35"/>
      <c r="B606" s="20"/>
      <c r="C606" s="16"/>
      <c r="D606" s="16"/>
      <c r="E606" s="16"/>
      <c r="F606" s="20"/>
      <c r="G606" s="16"/>
      <c r="H606" s="26"/>
      <c r="I606" s="8"/>
      <c r="J606" s="51"/>
      <c r="K606" s="103"/>
      <c r="L606" s="104"/>
      <c r="M606" s="104"/>
      <c r="N606" s="104"/>
      <c r="O606" s="104"/>
      <c r="P606" s="54"/>
      <c r="Q606" s="20"/>
      <c r="R606" s="76"/>
      <c r="S606" s="76"/>
      <c r="T606" s="76"/>
      <c r="U606" s="76"/>
      <c r="V606" s="76"/>
      <c r="W606" s="76"/>
      <c r="X606" s="76"/>
      <c r="Y606" s="76"/>
      <c r="Z606" s="76"/>
      <c r="AA606" s="76"/>
      <c r="AB606" s="76"/>
      <c r="AC606" s="76"/>
    </row>
    <row r="607" spans="1:29">
      <c r="A607" s="35"/>
      <c r="B607" s="20"/>
      <c r="C607" s="16"/>
      <c r="D607" s="16"/>
      <c r="E607" s="16"/>
      <c r="F607" s="20"/>
      <c r="G607" s="16"/>
      <c r="H607" s="26"/>
      <c r="I607" s="8"/>
      <c r="J607" s="51"/>
      <c r="K607" s="103"/>
      <c r="L607" s="104"/>
      <c r="M607" s="104"/>
      <c r="N607" s="104"/>
      <c r="O607" s="104"/>
      <c r="P607" s="54"/>
      <c r="Q607" s="20"/>
      <c r="R607" s="76"/>
      <c r="S607" s="76"/>
      <c r="T607" s="76"/>
      <c r="U607" s="76"/>
      <c r="V607" s="76"/>
      <c r="W607" s="76"/>
      <c r="X607" s="76"/>
      <c r="Y607" s="76"/>
      <c r="Z607" s="76"/>
      <c r="AA607" s="76"/>
      <c r="AB607" s="76"/>
      <c r="AC607" s="76"/>
    </row>
    <row r="608" spans="1:29">
      <c r="A608" s="35"/>
      <c r="B608" s="20"/>
      <c r="C608" s="16"/>
      <c r="D608" s="16"/>
      <c r="E608" s="16"/>
      <c r="F608" s="20"/>
      <c r="G608" s="16"/>
      <c r="H608" s="26"/>
      <c r="I608" s="8"/>
      <c r="J608" s="51"/>
      <c r="K608" s="103"/>
      <c r="L608" s="104"/>
      <c r="M608" s="104"/>
      <c r="N608" s="104"/>
      <c r="O608" s="104"/>
      <c r="P608" s="54"/>
      <c r="Q608" s="20"/>
      <c r="R608" s="76"/>
      <c r="S608" s="76"/>
      <c r="T608" s="76"/>
      <c r="U608" s="76"/>
      <c r="V608" s="76"/>
      <c r="W608" s="76"/>
      <c r="X608" s="76"/>
      <c r="Y608" s="76"/>
      <c r="Z608" s="76"/>
      <c r="AA608" s="76"/>
      <c r="AB608" s="76"/>
      <c r="AC608" s="76"/>
    </row>
    <row r="609" spans="1:29">
      <c r="A609" s="35"/>
      <c r="B609" s="20"/>
      <c r="C609" s="16"/>
      <c r="D609" s="16"/>
      <c r="E609" s="16"/>
      <c r="F609" s="20"/>
      <c r="G609" s="16"/>
      <c r="H609" s="26"/>
      <c r="I609" s="8"/>
      <c r="J609" s="51"/>
      <c r="K609" s="103"/>
      <c r="L609" s="104"/>
      <c r="M609" s="104"/>
      <c r="N609" s="104"/>
      <c r="O609" s="104"/>
      <c r="P609" s="54"/>
      <c r="Q609" s="20"/>
      <c r="R609" s="76"/>
      <c r="S609" s="76"/>
      <c r="T609" s="76"/>
      <c r="U609" s="76"/>
      <c r="V609" s="76"/>
      <c r="W609" s="76"/>
      <c r="X609" s="76"/>
      <c r="Y609" s="76"/>
      <c r="Z609" s="76"/>
      <c r="AA609" s="76"/>
      <c r="AB609" s="76"/>
      <c r="AC609" s="76"/>
    </row>
    <row r="610" spans="1:29">
      <c r="A610" s="35"/>
      <c r="B610" s="20"/>
      <c r="C610" s="16"/>
      <c r="D610" s="16"/>
      <c r="E610" s="16"/>
      <c r="F610" s="20"/>
      <c r="G610" s="16"/>
      <c r="H610" s="26"/>
      <c r="I610" s="8"/>
      <c r="J610" s="51"/>
      <c r="K610" s="103"/>
      <c r="L610" s="104"/>
      <c r="M610" s="104"/>
      <c r="N610" s="104"/>
      <c r="O610" s="104"/>
      <c r="P610" s="54"/>
      <c r="Q610" s="20"/>
      <c r="R610" s="76"/>
      <c r="S610" s="76"/>
      <c r="T610" s="76"/>
      <c r="U610" s="76"/>
      <c r="V610" s="76"/>
      <c r="W610" s="76"/>
      <c r="X610" s="76"/>
      <c r="Y610" s="76"/>
      <c r="Z610" s="76"/>
      <c r="AA610" s="76"/>
      <c r="AB610" s="76"/>
      <c r="AC610" s="76"/>
    </row>
    <row r="611" spans="1:29">
      <c r="A611" s="35"/>
      <c r="B611" s="20"/>
      <c r="C611" s="16"/>
      <c r="D611" s="16"/>
      <c r="E611" s="16"/>
      <c r="F611" s="20"/>
      <c r="G611" s="16"/>
      <c r="H611" s="26"/>
      <c r="I611" s="8"/>
      <c r="J611" s="51"/>
      <c r="K611" s="103"/>
      <c r="L611" s="104"/>
      <c r="M611" s="104"/>
      <c r="N611" s="104"/>
      <c r="O611" s="104"/>
      <c r="P611" s="54"/>
      <c r="Q611" s="20"/>
      <c r="R611" s="76"/>
      <c r="S611" s="76"/>
      <c r="T611" s="76"/>
      <c r="U611" s="76"/>
      <c r="V611" s="76"/>
      <c r="W611" s="76"/>
      <c r="X611" s="76"/>
      <c r="Y611" s="76"/>
      <c r="Z611" s="76"/>
      <c r="AA611" s="76"/>
      <c r="AB611" s="76"/>
      <c r="AC611" s="76"/>
    </row>
    <row r="612" spans="1:29">
      <c r="A612" s="35"/>
      <c r="B612" s="20"/>
      <c r="C612" s="16"/>
      <c r="D612" s="16"/>
      <c r="E612" s="16"/>
      <c r="F612" s="20"/>
      <c r="G612" s="16"/>
      <c r="H612" s="26"/>
      <c r="I612" s="8"/>
      <c r="J612" s="51"/>
      <c r="K612" s="103"/>
      <c r="L612" s="104"/>
      <c r="M612" s="104"/>
      <c r="N612" s="104"/>
      <c r="O612" s="104"/>
      <c r="P612" s="54"/>
      <c r="Q612" s="20"/>
      <c r="R612" s="76"/>
      <c r="S612" s="76"/>
      <c r="T612" s="76"/>
      <c r="U612" s="76"/>
      <c r="V612" s="76"/>
      <c r="W612" s="76"/>
      <c r="X612" s="76"/>
      <c r="Y612" s="76"/>
      <c r="Z612" s="76"/>
      <c r="AA612" s="76"/>
      <c r="AB612" s="76"/>
      <c r="AC612" s="76"/>
    </row>
    <row r="613" spans="1:29">
      <c r="A613" s="35"/>
      <c r="B613" s="20"/>
      <c r="C613" s="16"/>
      <c r="D613" s="16"/>
      <c r="E613" s="16"/>
      <c r="F613" s="20"/>
      <c r="G613" s="16"/>
      <c r="H613" s="26"/>
      <c r="I613" s="8"/>
      <c r="J613" s="51"/>
      <c r="K613" s="103"/>
      <c r="L613" s="104"/>
      <c r="M613" s="104"/>
      <c r="N613" s="104"/>
      <c r="O613" s="104"/>
      <c r="P613" s="54"/>
      <c r="Q613" s="20"/>
      <c r="R613" s="76"/>
      <c r="S613" s="76"/>
      <c r="T613" s="76"/>
      <c r="U613" s="76"/>
      <c r="V613" s="76"/>
      <c r="W613" s="76"/>
      <c r="X613" s="76"/>
      <c r="Y613" s="76"/>
      <c r="Z613" s="76"/>
      <c r="AA613" s="76"/>
      <c r="AB613" s="76"/>
      <c r="AC613" s="76"/>
    </row>
    <row r="614" spans="1:29">
      <c r="A614" s="35"/>
      <c r="B614" s="20"/>
      <c r="C614" s="16"/>
      <c r="D614" s="16"/>
      <c r="E614" s="16"/>
      <c r="F614" s="20"/>
      <c r="G614" s="16"/>
      <c r="H614" s="26"/>
      <c r="I614" s="8"/>
      <c r="J614" s="51"/>
      <c r="K614" s="103"/>
      <c r="L614" s="104"/>
      <c r="M614" s="104"/>
      <c r="N614" s="104"/>
      <c r="O614" s="104"/>
      <c r="P614" s="54"/>
      <c r="Q614" s="20"/>
      <c r="R614" s="76"/>
      <c r="S614" s="76"/>
      <c r="T614" s="76"/>
      <c r="U614" s="76"/>
      <c r="V614" s="76"/>
      <c r="W614" s="76"/>
      <c r="X614" s="76"/>
      <c r="Y614" s="76"/>
      <c r="Z614" s="76"/>
      <c r="AA614" s="76"/>
      <c r="AB614" s="76"/>
      <c r="AC614" s="76"/>
    </row>
    <row r="615" spans="1:29">
      <c r="A615" s="35"/>
      <c r="B615" s="20"/>
      <c r="C615" s="16"/>
      <c r="D615" s="16"/>
      <c r="E615" s="16"/>
      <c r="F615" s="20"/>
      <c r="G615" s="16"/>
      <c r="H615" s="26"/>
      <c r="I615" s="8"/>
      <c r="J615" s="51"/>
      <c r="K615" s="103"/>
      <c r="L615" s="104"/>
      <c r="M615" s="104"/>
      <c r="N615" s="104"/>
      <c r="O615" s="104"/>
      <c r="P615" s="54"/>
      <c r="Q615" s="20"/>
      <c r="R615" s="76"/>
      <c r="S615" s="76"/>
      <c r="T615" s="76"/>
      <c r="U615" s="76"/>
      <c r="V615" s="76"/>
      <c r="W615" s="76"/>
      <c r="X615" s="76"/>
      <c r="Y615" s="76"/>
      <c r="Z615" s="76"/>
      <c r="AA615" s="76"/>
      <c r="AB615" s="76"/>
      <c r="AC615" s="76"/>
    </row>
    <row r="616" spans="1:29">
      <c r="A616" s="35"/>
      <c r="B616" s="20"/>
      <c r="C616" s="16"/>
      <c r="D616" s="16"/>
      <c r="E616" s="16"/>
      <c r="F616" s="20"/>
      <c r="G616" s="16"/>
      <c r="H616" s="26"/>
      <c r="I616" s="8"/>
      <c r="J616" s="51"/>
      <c r="K616" s="103"/>
      <c r="L616" s="104"/>
      <c r="M616" s="104"/>
      <c r="N616" s="104"/>
      <c r="O616" s="104"/>
      <c r="P616" s="54"/>
      <c r="Q616" s="20"/>
      <c r="R616" s="76"/>
      <c r="S616" s="76"/>
      <c r="T616" s="76"/>
      <c r="U616" s="76"/>
      <c r="V616" s="76"/>
      <c r="W616" s="76"/>
      <c r="X616" s="76"/>
      <c r="Y616" s="76"/>
      <c r="Z616" s="76"/>
      <c r="AA616" s="76"/>
      <c r="AB616" s="76"/>
      <c r="AC616" s="76"/>
    </row>
    <row r="617" spans="1:29">
      <c r="A617" s="35"/>
      <c r="B617" s="20"/>
      <c r="C617" s="16"/>
      <c r="D617" s="16"/>
      <c r="E617" s="16"/>
      <c r="F617" s="20"/>
      <c r="G617" s="16"/>
      <c r="H617" s="26"/>
      <c r="I617" s="8"/>
      <c r="J617" s="51"/>
      <c r="K617" s="103"/>
      <c r="L617" s="104"/>
      <c r="M617" s="104"/>
      <c r="N617" s="104"/>
      <c r="O617" s="104"/>
      <c r="P617" s="54"/>
      <c r="Q617" s="20"/>
      <c r="R617" s="76"/>
      <c r="S617" s="76"/>
      <c r="T617" s="76"/>
      <c r="U617" s="76"/>
      <c r="V617" s="76"/>
      <c r="W617" s="76"/>
      <c r="X617" s="76"/>
      <c r="Y617" s="76"/>
      <c r="Z617" s="76"/>
      <c r="AA617" s="76"/>
      <c r="AB617" s="76"/>
      <c r="AC617" s="76"/>
    </row>
    <row r="618" spans="1:29">
      <c r="A618" s="35"/>
      <c r="B618" s="20"/>
      <c r="C618" s="16"/>
      <c r="D618" s="16"/>
      <c r="E618" s="16"/>
      <c r="F618" s="20"/>
      <c r="G618" s="16"/>
      <c r="H618" s="26"/>
      <c r="I618" s="8"/>
      <c r="J618" s="51"/>
      <c r="K618" s="103"/>
      <c r="L618" s="104"/>
      <c r="M618" s="104"/>
      <c r="N618" s="104"/>
      <c r="O618" s="104"/>
      <c r="P618" s="54"/>
      <c r="Q618" s="20"/>
      <c r="R618" s="76"/>
      <c r="S618" s="76"/>
      <c r="T618" s="76"/>
      <c r="U618" s="76"/>
      <c r="V618" s="76"/>
      <c r="W618" s="76"/>
      <c r="X618" s="76"/>
      <c r="Y618" s="76"/>
      <c r="Z618" s="76"/>
      <c r="AA618" s="76"/>
      <c r="AB618" s="76"/>
      <c r="AC618" s="76"/>
    </row>
    <row r="619" spans="1:29">
      <c r="A619" s="35"/>
      <c r="B619" s="20"/>
      <c r="C619" s="16"/>
      <c r="D619" s="16"/>
      <c r="E619" s="16"/>
      <c r="F619" s="20"/>
      <c r="G619" s="16"/>
      <c r="H619" s="26"/>
      <c r="I619" s="8"/>
      <c r="J619" s="51"/>
      <c r="K619" s="103"/>
      <c r="L619" s="104"/>
      <c r="M619" s="104"/>
      <c r="N619" s="104"/>
      <c r="O619" s="104"/>
      <c r="P619" s="54"/>
      <c r="Q619" s="20"/>
      <c r="R619" s="76"/>
      <c r="S619" s="76"/>
      <c r="T619" s="76"/>
      <c r="U619" s="76"/>
      <c r="V619" s="76"/>
      <c r="W619" s="76"/>
      <c r="X619" s="76"/>
      <c r="Y619" s="76"/>
      <c r="Z619" s="76"/>
      <c r="AA619" s="76"/>
      <c r="AB619" s="76"/>
      <c r="AC619" s="76"/>
    </row>
    <row r="620" spans="1:29">
      <c r="A620" s="35"/>
      <c r="B620" s="20"/>
      <c r="C620" s="16"/>
      <c r="D620" s="16"/>
      <c r="E620" s="16"/>
      <c r="F620" s="20"/>
      <c r="G620" s="16"/>
      <c r="H620" s="26"/>
      <c r="I620" s="8"/>
      <c r="J620" s="51"/>
      <c r="K620" s="103"/>
      <c r="L620" s="104"/>
      <c r="M620" s="104"/>
      <c r="N620" s="104"/>
      <c r="O620" s="104"/>
      <c r="P620" s="54"/>
      <c r="Q620" s="20"/>
      <c r="R620" s="76"/>
      <c r="S620" s="76"/>
      <c r="T620" s="76"/>
      <c r="U620" s="76"/>
      <c r="V620" s="76"/>
      <c r="W620" s="76"/>
      <c r="X620" s="76"/>
      <c r="Y620" s="76"/>
      <c r="Z620" s="76"/>
      <c r="AA620" s="76"/>
      <c r="AB620" s="76"/>
      <c r="AC620" s="76"/>
    </row>
    <row r="621" spans="1:29">
      <c r="A621" s="35"/>
      <c r="B621" s="20"/>
      <c r="C621" s="16"/>
      <c r="D621" s="16"/>
      <c r="E621" s="16"/>
      <c r="F621" s="20"/>
      <c r="G621" s="16"/>
      <c r="H621" s="26"/>
      <c r="I621" s="8"/>
      <c r="J621" s="51"/>
      <c r="K621" s="103"/>
      <c r="L621" s="104"/>
      <c r="M621" s="104"/>
      <c r="N621" s="104"/>
      <c r="O621" s="104"/>
      <c r="P621" s="54"/>
      <c r="Q621" s="20"/>
      <c r="R621" s="76"/>
      <c r="S621" s="76"/>
      <c r="T621" s="76"/>
      <c r="U621" s="76"/>
      <c r="V621" s="76"/>
      <c r="W621" s="76"/>
      <c r="X621" s="76"/>
      <c r="Y621" s="76"/>
      <c r="Z621" s="76"/>
      <c r="AA621" s="76"/>
      <c r="AB621" s="76"/>
      <c r="AC621" s="76"/>
    </row>
    <row r="622" spans="1:29">
      <c r="A622" s="35"/>
      <c r="B622" s="20"/>
      <c r="C622" s="16"/>
      <c r="D622" s="16"/>
      <c r="E622" s="16"/>
      <c r="F622" s="20"/>
      <c r="G622" s="16"/>
      <c r="H622" s="26"/>
      <c r="I622" s="8"/>
      <c r="J622" s="51"/>
      <c r="K622" s="103"/>
      <c r="L622" s="104"/>
      <c r="M622" s="104"/>
      <c r="N622" s="104"/>
      <c r="O622" s="104"/>
      <c r="P622" s="54"/>
      <c r="Q622" s="20"/>
      <c r="R622" s="76"/>
      <c r="S622" s="76"/>
      <c r="T622" s="76"/>
      <c r="U622" s="76"/>
      <c r="V622" s="76"/>
      <c r="W622" s="76"/>
      <c r="X622" s="76"/>
      <c r="Y622" s="76"/>
      <c r="Z622" s="76"/>
      <c r="AA622" s="76"/>
      <c r="AB622" s="76"/>
      <c r="AC622" s="76"/>
    </row>
    <row r="623" spans="1:29">
      <c r="A623" s="35"/>
      <c r="B623" s="20"/>
      <c r="C623" s="16"/>
      <c r="D623" s="16"/>
      <c r="E623" s="16"/>
      <c r="F623" s="20"/>
      <c r="G623" s="16"/>
      <c r="H623" s="26"/>
      <c r="I623" s="8"/>
      <c r="J623" s="51"/>
      <c r="K623" s="103"/>
      <c r="L623" s="104"/>
      <c r="M623" s="104"/>
      <c r="N623" s="104"/>
      <c r="O623" s="104"/>
      <c r="P623" s="54"/>
      <c r="Q623" s="20"/>
      <c r="R623" s="76"/>
      <c r="S623" s="76"/>
      <c r="T623" s="76"/>
      <c r="U623" s="76"/>
      <c r="V623" s="76"/>
      <c r="W623" s="76"/>
      <c r="X623" s="76"/>
      <c r="Y623" s="76"/>
      <c r="Z623" s="76"/>
      <c r="AA623" s="76"/>
      <c r="AB623" s="76"/>
      <c r="AC623" s="76"/>
    </row>
    <row r="624" spans="1:29">
      <c r="A624" s="35"/>
      <c r="B624" s="20"/>
      <c r="C624" s="16"/>
      <c r="D624" s="16"/>
      <c r="E624" s="16"/>
      <c r="F624" s="20"/>
      <c r="G624" s="16"/>
      <c r="H624" s="26"/>
      <c r="I624" s="8"/>
      <c r="J624" s="51"/>
      <c r="K624" s="103"/>
      <c r="L624" s="104"/>
      <c r="M624" s="104"/>
      <c r="N624" s="104"/>
      <c r="O624" s="104"/>
      <c r="P624" s="54"/>
      <c r="Q624" s="20"/>
      <c r="R624" s="76"/>
      <c r="S624" s="76"/>
      <c r="T624" s="76"/>
      <c r="U624" s="76"/>
      <c r="V624" s="76"/>
      <c r="W624" s="76"/>
      <c r="X624" s="76"/>
      <c r="Y624" s="76"/>
      <c r="Z624" s="76"/>
      <c r="AA624" s="76"/>
      <c r="AB624" s="76"/>
      <c r="AC624" s="76"/>
    </row>
    <row r="625" spans="1:29">
      <c r="A625" s="35"/>
      <c r="B625" s="20"/>
      <c r="C625" s="16"/>
      <c r="D625" s="16"/>
      <c r="E625" s="16"/>
      <c r="F625" s="20"/>
      <c r="G625" s="16"/>
      <c r="H625" s="26"/>
      <c r="I625" s="8"/>
      <c r="J625" s="51"/>
      <c r="K625" s="103"/>
      <c r="L625" s="104"/>
      <c r="M625" s="104"/>
      <c r="N625" s="104"/>
      <c r="O625" s="104"/>
      <c r="P625" s="54"/>
      <c r="Q625" s="20"/>
      <c r="R625" s="76"/>
      <c r="S625" s="76"/>
      <c r="T625" s="76"/>
      <c r="U625" s="76"/>
      <c r="V625" s="76"/>
      <c r="W625" s="76"/>
      <c r="X625" s="76"/>
      <c r="Y625" s="76"/>
      <c r="Z625" s="76"/>
      <c r="AA625" s="76"/>
      <c r="AB625" s="76"/>
      <c r="AC625" s="76"/>
    </row>
    <row r="626" spans="1:29">
      <c r="A626" s="35"/>
      <c r="B626" s="20"/>
      <c r="C626" s="16"/>
      <c r="D626" s="16"/>
      <c r="E626" s="16"/>
      <c r="F626" s="20"/>
      <c r="G626" s="16"/>
      <c r="H626" s="26"/>
      <c r="I626" s="8"/>
      <c r="J626" s="51"/>
      <c r="K626" s="103"/>
      <c r="L626" s="104"/>
      <c r="M626" s="104"/>
      <c r="N626" s="104"/>
      <c r="O626" s="104"/>
      <c r="P626" s="54"/>
      <c r="Q626" s="20"/>
      <c r="R626" s="76"/>
      <c r="S626" s="76"/>
      <c r="T626" s="76"/>
      <c r="U626" s="76"/>
      <c r="V626" s="76"/>
      <c r="W626" s="76"/>
      <c r="X626" s="76"/>
      <c r="Y626" s="76"/>
      <c r="Z626" s="76"/>
      <c r="AA626" s="76"/>
      <c r="AB626" s="76"/>
      <c r="AC626" s="76"/>
    </row>
    <row r="627" spans="1:29">
      <c r="A627" s="35"/>
      <c r="B627" s="20"/>
      <c r="C627" s="16"/>
      <c r="D627" s="16"/>
      <c r="E627" s="16"/>
      <c r="F627" s="20"/>
      <c r="G627" s="16"/>
      <c r="H627" s="26"/>
      <c r="I627" s="8"/>
      <c r="J627" s="51"/>
      <c r="K627" s="103"/>
      <c r="L627" s="104"/>
      <c r="M627" s="104"/>
      <c r="N627" s="104"/>
      <c r="O627" s="104"/>
      <c r="P627" s="54"/>
      <c r="Q627" s="20"/>
      <c r="R627" s="76"/>
      <c r="S627" s="76"/>
      <c r="T627" s="76"/>
      <c r="U627" s="76"/>
      <c r="V627" s="76"/>
      <c r="W627" s="76"/>
      <c r="X627" s="76"/>
      <c r="Y627" s="76"/>
      <c r="Z627" s="76"/>
      <c r="AA627" s="76"/>
      <c r="AB627" s="76"/>
      <c r="AC627" s="76"/>
    </row>
    <row r="628" spans="1:29">
      <c r="A628" s="35"/>
      <c r="B628" s="20"/>
      <c r="C628" s="16"/>
      <c r="D628" s="16"/>
      <c r="E628" s="16"/>
      <c r="F628" s="20"/>
      <c r="G628" s="16"/>
      <c r="H628" s="26"/>
      <c r="I628" s="8"/>
      <c r="J628" s="51"/>
      <c r="K628" s="103"/>
      <c r="L628" s="104"/>
      <c r="M628" s="104"/>
      <c r="N628" s="104"/>
      <c r="O628" s="104"/>
      <c r="P628" s="54"/>
      <c r="Q628" s="20"/>
      <c r="R628" s="76"/>
      <c r="S628" s="76"/>
      <c r="T628" s="76"/>
      <c r="U628" s="76"/>
      <c r="V628" s="76"/>
      <c r="W628" s="76"/>
      <c r="X628" s="76"/>
      <c r="Y628" s="76"/>
      <c r="Z628" s="76"/>
      <c r="AA628" s="76"/>
      <c r="AB628" s="76"/>
      <c r="AC628" s="76"/>
    </row>
    <row r="629" spans="1:29">
      <c r="A629" s="35"/>
      <c r="B629" s="20"/>
      <c r="C629" s="16"/>
      <c r="D629" s="16"/>
      <c r="E629" s="16"/>
      <c r="F629" s="20"/>
      <c r="G629" s="16"/>
      <c r="H629" s="26"/>
      <c r="I629" s="8"/>
      <c r="J629" s="51"/>
      <c r="K629" s="103"/>
      <c r="L629" s="104"/>
      <c r="M629" s="104"/>
      <c r="N629" s="104"/>
      <c r="O629" s="104"/>
      <c r="P629" s="54"/>
      <c r="Q629" s="20"/>
      <c r="R629" s="76"/>
      <c r="S629" s="76"/>
      <c r="T629" s="76"/>
      <c r="U629" s="76"/>
      <c r="V629" s="76"/>
      <c r="W629" s="76"/>
      <c r="X629" s="76"/>
      <c r="Y629" s="76"/>
      <c r="Z629" s="76"/>
      <c r="AA629" s="76"/>
      <c r="AB629" s="76"/>
      <c r="AC629" s="76"/>
    </row>
    <row r="630" spans="1:29">
      <c r="A630" s="35"/>
      <c r="B630" s="20"/>
      <c r="C630" s="16"/>
      <c r="D630" s="16"/>
      <c r="E630" s="16"/>
      <c r="F630" s="20"/>
      <c r="G630" s="16"/>
      <c r="H630" s="26"/>
      <c r="I630" s="8"/>
      <c r="J630" s="51"/>
      <c r="K630" s="103"/>
      <c r="L630" s="104"/>
      <c r="M630" s="104"/>
      <c r="N630" s="104"/>
      <c r="O630" s="104"/>
      <c r="P630" s="54"/>
      <c r="Q630" s="20"/>
      <c r="R630" s="76"/>
      <c r="S630" s="76"/>
      <c r="T630" s="76"/>
      <c r="U630" s="76"/>
      <c r="V630" s="76"/>
      <c r="W630" s="76"/>
      <c r="X630" s="76"/>
      <c r="Y630" s="76"/>
      <c r="Z630" s="76"/>
      <c r="AA630" s="76"/>
      <c r="AB630" s="76"/>
      <c r="AC630" s="76"/>
    </row>
    <row r="631" spans="1:29">
      <c r="A631" s="35"/>
      <c r="B631" s="20"/>
      <c r="C631" s="16"/>
      <c r="D631" s="16"/>
      <c r="E631" s="16"/>
      <c r="F631" s="20"/>
      <c r="G631" s="16"/>
      <c r="H631" s="26"/>
      <c r="I631" s="8"/>
      <c r="J631" s="51"/>
      <c r="K631" s="103"/>
      <c r="L631" s="104"/>
      <c r="M631" s="104"/>
      <c r="N631" s="104"/>
      <c r="O631" s="104"/>
      <c r="P631" s="54"/>
      <c r="Q631" s="20"/>
      <c r="R631" s="76"/>
      <c r="S631" s="76"/>
      <c r="T631" s="76"/>
      <c r="U631" s="76"/>
      <c r="V631" s="76"/>
      <c r="W631" s="76"/>
      <c r="X631" s="76"/>
      <c r="Y631" s="76"/>
      <c r="Z631" s="76"/>
      <c r="AA631" s="76"/>
      <c r="AB631" s="76"/>
      <c r="AC631" s="76"/>
    </row>
    <row r="632" spans="1:29">
      <c r="A632" s="35"/>
      <c r="B632" s="20"/>
      <c r="C632" s="16"/>
      <c r="D632" s="16"/>
      <c r="E632" s="16"/>
      <c r="F632" s="20"/>
      <c r="G632" s="16"/>
      <c r="H632" s="26"/>
      <c r="I632" s="8"/>
      <c r="J632" s="51"/>
      <c r="K632" s="103"/>
      <c r="L632" s="104"/>
      <c r="M632" s="104"/>
      <c r="N632" s="104"/>
      <c r="O632" s="104"/>
      <c r="P632" s="54"/>
      <c r="Q632" s="20"/>
      <c r="R632" s="76"/>
      <c r="S632" s="76"/>
      <c r="T632" s="76"/>
      <c r="U632" s="76"/>
      <c r="V632" s="76"/>
      <c r="W632" s="76"/>
      <c r="X632" s="76"/>
      <c r="Y632" s="76"/>
      <c r="Z632" s="76"/>
      <c r="AA632" s="76"/>
      <c r="AB632" s="76"/>
      <c r="AC632" s="76"/>
    </row>
    <row r="633" spans="1:29">
      <c r="A633" s="35"/>
      <c r="B633" s="20"/>
      <c r="C633" s="16"/>
      <c r="D633" s="16"/>
      <c r="E633" s="16"/>
      <c r="F633" s="20"/>
      <c r="G633" s="16"/>
      <c r="H633" s="26"/>
      <c r="I633" s="8"/>
      <c r="J633" s="51"/>
      <c r="K633" s="103"/>
      <c r="L633" s="104"/>
      <c r="M633" s="104"/>
      <c r="N633" s="104"/>
      <c r="O633" s="104"/>
      <c r="P633" s="54"/>
      <c r="Q633" s="20"/>
      <c r="R633" s="76"/>
      <c r="S633" s="76"/>
      <c r="T633" s="76"/>
      <c r="U633" s="76"/>
      <c r="V633" s="76"/>
      <c r="W633" s="76"/>
      <c r="X633" s="76"/>
      <c r="Y633" s="76"/>
      <c r="Z633" s="76"/>
      <c r="AA633" s="76"/>
      <c r="AB633" s="76"/>
      <c r="AC633" s="76"/>
    </row>
    <row r="634" spans="1:29">
      <c r="A634" s="35"/>
      <c r="B634" s="20"/>
      <c r="C634" s="16"/>
      <c r="D634" s="16"/>
      <c r="E634" s="16"/>
      <c r="F634" s="20"/>
      <c r="G634" s="16"/>
      <c r="H634" s="26"/>
      <c r="I634" s="8"/>
      <c r="J634" s="51"/>
      <c r="K634" s="103"/>
      <c r="L634" s="104"/>
      <c r="M634" s="104"/>
      <c r="N634" s="104"/>
      <c r="O634" s="104"/>
      <c r="P634" s="54"/>
      <c r="Q634" s="20"/>
      <c r="R634" s="76"/>
      <c r="S634" s="76"/>
      <c r="T634" s="76"/>
      <c r="U634" s="76"/>
      <c r="V634" s="76"/>
      <c r="W634" s="76"/>
      <c r="X634" s="76"/>
      <c r="Y634" s="76"/>
      <c r="Z634" s="76"/>
      <c r="AA634" s="76"/>
      <c r="AB634" s="76"/>
      <c r="AC634" s="76"/>
    </row>
    <row r="635" spans="1:29">
      <c r="A635" s="35"/>
      <c r="B635" s="20"/>
      <c r="C635" s="16"/>
      <c r="D635" s="16"/>
      <c r="E635" s="16"/>
      <c r="F635" s="20"/>
      <c r="G635" s="16"/>
      <c r="H635" s="26"/>
      <c r="I635" s="8"/>
      <c r="J635" s="51"/>
      <c r="K635" s="103"/>
      <c r="L635" s="104"/>
      <c r="M635" s="104"/>
      <c r="N635" s="104"/>
      <c r="O635" s="104"/>
      <c r="P635" s="54"/>
      <c r="Q635" s="20"/>
      <c r="R635" s="76"/>
      <c r="S635" s="76"/>
      <c r="T635" s="76"/>
      <c r="U635" s="76"/>
      <c r="V635" s="76"/>
      <c r="W635" s="76"/>
      <c r="X635" s="76"/>
      <c r="Y635" s="76"/>
      <c r="Z635" s="76"/>
      <c r="AA635" s="76"/>
      <c r="AB635" s="76"/>
      <c r="AC635" s="76"/>
    </row>
    <row r="636" spans="1:29">
      <c r="A636" s="35"/>
      <c r="B636" s="20"/>
      <c r="C636" s="16"/>
      <c r="D636" s="16"/>
      <c r="E636" s="16"/>
      <c r="F636" s="20"/>
      <c r="G636" s="16"/>
      <c r="H636" s="26"/>
      <c r="I636" s="8"/>
      <c r="J636" s="51"/>
      <c r="K636" s="103"/>
      <c r="L636" s="104"/>
      <c r="M636" s="104"/>
      <c r="N636" s="104"/>
      <c r="O636" s="104"/>
      <c r="P636" s="54"/>
      <c r="Q636" s="20"/>
      <c r="R636" s="76"/>
      <c r="S636" s="76"/>
      <c r="T636" s="76"/>
      <c r="U636" s="76"/>
      <c r="V636" s="76"/>
      <c r="W636" s="76"/>
      <c r="X636" s="76"/>
      <c r="Y636" s="76"/>
      <c r="Z636" s="76"/>
      <c r="AA636" s="76"/>
      <c r="AB636" s="76"/>
      <c r="AC636" s="76"/>
    </row>
    <row r="637" spans="1:29">
      <c r="A637" s="35"/>
      <c r="B637" s="20"/>
      <c r="C637" s="16"/>
      <c r="D637" s="16"/>
      <c r="E637" s="16"/>
      <c r="F637" s="20"/>
      <c r="G637" s="16"/>
      <c r="H637" s="26"/>
      <c r="I637" s="8"/>
      <c r="J637" s="51"/>
      <c r="K637" s="103"/>
      <c r="L637" s="104"/>
      <c r="M637" s="104"/>
      <c r="N637" s="104"/>
      <c r="O637" s="104"/>
      <c r="P637" s="54"/>
      <c r="Q637" s="20"/>
      <c r="R637" s="76"/>
      <c r="S637" s="76"/>
      <c r="T637" s="76"/>
      <c r="U637" s="76"/>
      <c r="V637" s="76"/>
      <c r="W637" s="76"/>
      <c r="X637" s="76"/>
      <c r="Y637" s="76"/>
      <c r="Z637" s="76"/>
      <c r="AA637" s="76"/>
      <c r="AB637" s="76"/>
      <c r="AC637" s="76"/>
    </row>
    <row r="638" spans="1:29">
      <c r="A638" s="35"/>
      <c r="B638" s="20"/>
      <c r="C638" s="16"/>
      <c r="D638" s="16"/>
      <c r="E638" s="16"/>
      <c r="F638" s="20"/>
      <c r="G638" s="16"/>
      <c r="H638" s="26"/>
      <c r="I638" s="8"/>
      <c r="J638" s="51"/>
      <c r="K638" s="103"/>
      <c r="L638" s="104"/>
      <c r="M638" s="104"/>
      <c r="N638" s="104"/>
      <c r="O638" s="104"/>
      <c r="P638" s="54"/>
      <c r="Q638" s="20"/>
      <c r="R638" s="76"/>
      <c r="S638" s="76"/>
      <c r="T638" s="76"/>
      <c r="U638" s="76"/>
      <c r="V638" s="76"/>
      <c r="W638" s="76"/>
      <c r="X638" s="76"/>
      <c r="Y638" s="76"/>
      <c r="Z638" s="76"/>
      <c r="AA638" s="76"/>
      <c r="AB638" s="76"/>
      <c r="AC638" s="76"/>
    </row>
    <row r="639" spans="1:29">
      <c r="A639" s="35"/>
      <c r="B639" s="20"/>
      <c r="C639" s="16"/>
      <c r="D639" s="16"/>
      <c r="E639" s="16"/>
      <c r="F639" s="20"/>
      <c r="G639" s="16"/>
      <c r="H639" s="26"/>
      <c r="I639" s="8"/>
      <c r="J639" s="51"/>
      <c r="K639" s="103"/>
      <c r="L639" s="104"/>
      <c r="M639" s="104"/>
      <c r="N639" s="104"/>
      <c r="O639" s="104"/>
      <c r="P639" s="54"/>
      <c r="Q639" s="20"/>
      <c r="R639" s="76"/>
      <c r="S639" s="76"/>
      <c r="T639" s="76"/>
      <c r="U639" s="76"/>
      <c r="V639" s="76"/>
      <c r="W639" s="76"/>
      <c r="X639" s="76"/>
      <c r="Y639" s="76"/>
      <c r="Z639" s="76"/>
      <c r="AA639" s="76"/>
      <c r="AB639" s="76"/>
      <c r="AC639" s="76"/>
    </row>
    <row r="640" spans="1:29">
      <c r="A640" s="35"/>
      <c r="B640" s="20"/>
      <c r="C640" s="16"/>
      <c r="D640" s="16"/>
      <c r="E640" s="16"/>
      <c r="F640" s="20"/>
      <c r="G640" s="16"/>
      <c r="H640" s="26"/>
      <c r="I640" s="8"/>
      <c r="J640" s="51"/>
      <c r="K640" s="103"/>
      <c r="L640" s="104"/>
      <c r="M640" s="104"/>
      <c r="N640" s="104"/>
      <c r="O640" s="104"/>
      <c r="P640" s="54"/>
      <c r="Q640" s="20"/>
      <c r="R640" s="76"/>
      <c r="S640" s="76"/>
      <c r="T640" s="76"/>
      <c r="U640" s="76"/>
      <c r="V640" s="76"/>
      <c r="W640" s="76"/>
      <c r="X640" s="76"/>
      <c r="Y640" s="76"/>
      <c r="Z640" s="76"/>
      <c r="AA640" s="76"/>
      <c r="AB640" s="76"/>
      <c r="AC640" s="76"/>
    </row>
    <row r="641" spans="1:29">
      <c r="A641" s="35"/>
      <c r="B641" s="20"/>
      <c r="C641" s="16"/>
      <c r="D641" s="16"/>
      <c r="E641" s="16"/>
      <c r="F641" s="20"/>
      <c r="G641" s="16"/>
      <c r="H641" s="26"/>
      <c r="I641" s="8"/>
      <c r="J641" s="51"/>
      <c r="K641" s="103"/>
      <c r="L641" s="104"/>
      <c r="M641" s="104"/>
      <c r="N641" s="104"/>
      <c r="O641" s="104"/>
      <c r="P641" s="54"/>
      <c r="Q641" s="20"/>
      <c r="R641" s="76"/>
      <c r="S641" s="76"/>
      <c r="T641" s="76"/>
      <c r="U641" s="76"/>
      <c r="V641" s="76"/>
      <c r="W641" s="76"/>
      <c r="X641" s="76"/>
      <c r="Y641" s="76"/>
      <c r="Z641" s="76"/>
      <c r="AA641" s="76"/>
      <c r="AB641" s="76"/>
      <c r="AC641" s="76"/>
    </row>
    <row r="642" spans="1:29">
      <c r="A642" s="35"/>
      <c r="B642" s="20"/>
      <c r="C642" s="16"/>
      <c r="D642" s="16"/>
      <c r="E642" s="16"/>
      <c r="F642" s="20"/>
      <c r="G642" s="16"/>
      <c r="H642" s="26"/>
      <c r="I642" s="8"/>
      <c r="J642" s="51"/>
      <c r="K642" s="103"/>
      <c r="L642" s="104"/>
      <c r="M642" s="104"/>
      <c r="N642" s="104"/>
      <c r="O642" s="104"/>
      <c r="P642" s="54"/>
      <c r="Q642" s="20"/>
      <c r="R642" s="76"/>
      <c r="S642" s="76"/>
      <c r="T642" s="76"/>
      <c r="U642" s="76"/>
      <c r="V642" s="76"/>
      <c r="W642" s="76"/>
      <c r="X642" s="76"/>
      <c r="Y642" s="76"/>
      <c r="Z642" s="76"/>
      <c r="AA642" s="76"/>
      <c r="AB642" s="76"/>
      <c r="AC642" s="76"/>
    </row>
    <row r="643" spans="1:29">
      <c r="A643" s="35"/>
      <c r="B643" s="20"/>
      <c r="C643" s="16"/>
      <c r="D643" s="16"/>
      <c r="E643" s="16"/>
      <c r="F643" s="20"/>
      <c r="G643" s="16"/>
      <c r="H643" s="26"/>
      <c r="I643" s="8"/>
      <c r="J643" s="51"/>
      <c r="K643" s="103"/>
      <c r="L643" s="104"/>
      <c r="M643" s="104"/>
      <c r="N643" s="104"/>
      <c r="O643" s="104"/>
      <c r="P643" s="54"/>
      <c r="Q643" s="20"/>
      <c r="R643" s="76"/>
      <c r="S643" s="76"/>
      <c r="T643" s="76"/>
      <c r="U643" s="76"/>
      <c r="V643" s="76"/>
      <c r="W643" s="76"/>
      <c r="X643" s="76"/>
      <c r="Y643" s="76"/>
      <c r="Z643" s="76"/>
      <c r="AA643" s="76"/>
      <c r="AB643" s="76"/>
      <c r="AC643" s="76"/>
    </row>
    <row r="644" spans="1:29">
      <c r="A644" s="35"/>
      <c r="B644" s="20"/>
      <c r="C644" s="16"/>
      <c r="D644" s="16"/>
      <c r="E644" s="16"/>
      <c r="F644" s="20"/>
      <c r="G644" s="16"/>
      <c r="H644" s="26"/>
      <c r="I644" s="8"/>
      <c r="J644" s="51"/>
      <c r="K644" s="103"/>
      <c r="L644" s="104"/>
      <c r="M644" s="104"/>
      <c r="N644" s="104"/>
      <c r="O644" s="104"/>
      <c r="P644" s="54"/>
      <c r="Q644" s="20"/>
      <c r="R644" s="76"/>
      <c r="S644" s="76"/>
      <c r="T644" s="76"/>
      <c r="U644" s="76"/>
      <c r="V644" s="76"/>
      <c r="W644" s="76"/>
      <c r="X644" s="76"/>
      <c r="Y644" s="76"/>
      <c r="Z644" s="76"/>
      <c r="AA644" s="76"/>
      <c r="AB644" s="76"/>
      <c r="AC644" s="76"/>
    </row>
    <row r="645" spans="1:29">
      <c r="A645" s="35"/>
      <c r="B645" s="20"/>
      <c r="C645" s="16"/>
      <c r="D645" s="16"/>
      <c r="E645" s="16"/>
      <c r="F645" s="20"/>
      <c r="G645" s="16"/>
      <c r="H645" s="26"/>
      <c r="I645" s="8"/>
      <c r="J645" s="51"/>
      <c r="K645" s="103"/>
      <c r="L645" s="104"/>
      <c r="M645" s="104"/>
      <c r="N645" s="104"/>
      <c r="O645" s="104"/>
      <c r="P645" s="54"/>
      <c r="Q645" s="20"/>
      <c r="R645" s="76"/>
      <c r="S645" s="76"/>
      <c r="T645" s="76"/>
      <c r="U645" s="76"/>
      <c r="V645" s="76"/>
      <c r="W645" s="76"/>
      <c r="X645" s="76"/>
      <c r="Y645" s="76"/>
      <c r="Z645" s="76"/>
      <c r="AA645" s="76"/>
      <c r="AB645" s="76"/>
      <c r="AC645" s="76"/>
    </row>
    <row r="646" spans="1:29">
      <c r="A646" s="35"/>
      <c r="B646" s="20"/>
      <c r="C646" s="16"/>
      <c r="D646" s="16"/>
      <c r="E646" s="16"/>
      <c r="F646" s="20"/>
      <c r="G646" s="16"/>
      <c r="H646" s="26"/>
      <c r="I646" s="8"/>
      <c r="J646" s="51"/>
      <c r="K646" s="103"/>
      <c r="L646" s="104"/>
      <c r="M646" s="104"/>
      <c r="N646" s="104"/>
      <c r="O646" s="104"/>
      <c r="P646" s="54"/>
      <c r="Q646" s="20"/>
      <c r="R646" s="76"/>
      <c r="S646" s="76"/>
      <c r="T646" s="76"/>
      <c r="U646" s="76"/>
      <c r="V646" s="76"/>
      <c r="W646" s="76"/>
      <c r="X646" s="76"/>
      <c r="Y646" s="76"/>
      <c r="Z646" s="76"/>
      <c r="AA646" s="76"/>
      <c r="AB646" s="76"/>
      <c r="AC646" s="76"/>
    </row>
    <row r="647" spans="1:29">
      <c r="A647" s="35"/>
      <c r="B647" s="20"/>
      <c r="C647" s="16"/>
      <c r="D647" s="16"/>
      <c r="E647" s="16"/>
      <c r="F647" s="20"/>
      <c r="G647" s="16"/>
      <c r="H647" s="26"/>
      <c r="I647" s="8"/>
      <c r="J647" s="51"/>
      <c r="K647" s="103"/>
      <c r="L647" s="104"/>
      <c r="M647" s="104"/>
      <c r="N647" s="104"/>
      <c r="O647" s="104"/>
      <c r="P647" s="54"/>
      <c r="Q647" s="20"/>
      <c r="R647" s="76"/>
      <c r="S647" s="76"/>
      <c r="T647" s="76"/>
      <c r="U647" s="76"/>
      <c r="V647" s="76"/>
      <c r="W647" s="76"/>
      <c r="X647" s="76"/>
      <c r="Y647" s="76"/>
      <c r="Z647" s="76"/>
      <c r="AA647" s="76"/>
      <c r="AB647" s="76"/>
      <c r="AC647" s="76"/>
    </row>
    <row r="648" spans="1:29">
      <c r="A648" s="35"/>
      <c r="B648" s="20"/>
      <c r="C648" s="16"/>
      <c r="D648" s="16"/>
      <c r="E648" s="16"/>
      <c r="F648" s="20"/>
      <c r="G648" s="16"/>
      <c r="H648" s="26"/>
      <c r="I648" s="8"/>
      <c r="J648" s="51"/>
      <c r="K648" s="103"/>
      <c r="L648" s="104"/>
      <c r="M648" s="104"/>
      <c r="N648" s="104"/>
      <c r="O648" s="104"/>
      <c r="P648" s="54"/>
      <c r="Q648" s="20"/>
      <c r="R648" s="76"/>
      <c r="S648" s="76"/>
      <c r="T648" s="76"/>
      <c r="U648" s="76"/>
      <c r="V648" s="76"/>
      <c r="W648" s="76"/>
      <c r="X648" s="76"/>
      <c r="Y648" s="76"/>
      <c r="Z648" s="76"/>
      <c r="AA648" s="76"/>
      <c r="AB648" s="76"/>
      <c r="AC648" s="76"/>
    </row>
    <row r="649" spans="1:29">
      <c r="A649" s="35"/>
      <c r="B649" s="20"/>
      <c r="C649" s="16"/>
      <c r="D649" s="16"/>
      <c r="E649" s="16"/>
      <c r="F649" s="20"/>
      <c r="G649" s="16"/>
      <c r="H649" s="26"/>
      <c r="I649" s="8"/>
      <c r="J649" s="51"/>
      <c r="K649" s="103"/>
      <c r="L649" s="104"/>
      <c r="M649" s="104"/>
      <c r="N649" s="104"/>
      <c r="O649" s="104"/>
      <c r="P649" s="54"/>
      <c r="Q649" s="20"/>
      <c r="R649" s="76"/>
      <c r="S649" s="76"/>
      <c r="T649" s="76"/>
      <c r="U649" s="76"/>
      <c r="V649" s="76"/>
      <c r="W649" s="76"/>
      <c r="X649" s="76"/>
      <c r="Y649" s="76"/>
      <c r="Z649" s="76"/>
      <c r="AA649" s="76"/>
      <c r="AB649" s="76"/>
      <c r="AC649" s="76"/>
    </row>
    <row r="650" spans="1:29">
      <c r="A650" s="35"/>
      <c r="B650" s="20"/>
      <c r="C650" s="16"/>
      <c r="D650" s="16"/>
      <c r="E650" s="16"/>
      <c r="F650" s="20"/>
      <c r="G650" s="16"/>
      <c r="H650" s="26"/>
      <c r="I650" s="8"/>
      <c r="J650" s="51"/>
      <c r="K650" s="103"/>
      <c r="L650" s="104"/>
      <c r="M650" s="104"/>
      <c r="N650" s="104"/>
      <c r="O650" s="104"/>
      <c r="P650" s="54"/>
      <c r="Q650" s="20"/>
      <c r="R650" s="76"/>
      <c r="S650" s="76"/>
      <c r="T650" s="76"/>
      <c r="U650" s="76"/>
      <c r="V650" s="76"/>
      <c r="W650" s="76"/>
      <c r="X650" s="76"/>
      <c r="Y650" s="76"/>
      <c r="Z650" s="76"/>
      <c r="AA650" s="76"/>
      <c r="AB650" s="76"/>
      <c r="AC650" s="76"/>
    </row>
    <row r="651" spans="1:29">
      <c r="A651" s="35"/>
      <c r="B651" s="20"/>
      <c r="C651" s="16"/>
      <c r="D651" s="16"/>
      <c r="E651" s="16"/>
      <c r="F651" s="20"/>
      <c r="G651" s="16"/>
      <c r="H651" s="26"/>
      <c r="I651" s="8"/>
      <c r="J651" s="51"/>
      <c r="K651" s="103"/>
      <c r="L651" s="104"/>
      <c r="M651" s="104"/>
      <c r="N651" s="104"/>
      <c r="O651" s="104"/>
      <c r="P651" s="54"/>
      <c r="Q651" s="20"/>
      <c r="R651" s="76"/>
      <c r="S651" s="76"/>
      <c r="T651" s="76"/>
      <c r="U651" s="76"/>
      <c r="V651" s="76"/>
      <c r="W651" s="76"/>
      <c r="X651" s="76"/>
      <c r="Y651" s="76"/>
      <c r="Z651" s="76"/>
      <c r="AA651" s="76"/>
      <c r="AB651" s="76"/>
      <c r="AC651" s="76"/>
    </row>
    <row r="652" spans="1:29">
      <c r="A652" s="35"/>
      <c r="B652" s="20"/>
      <c r="C652" s="16"/>
      <c r="D652" s="16"/>
      <c r="E652" s="16"/>
      <c r="F652" s="20"/>
      <c r="G652" s="16"/>
      <c r="H652" s="26"/>
      <c r="I652" s="8"/>
      <c r="J652" s="51"/>
      <c r="K652" s="103"/>
      <c r="L652" s="104"/>
      <c r="M652" s="104"/>
      <c r="N652" s="104"/>
      <c r="O652" s="104"/>
      <c r="P652" s="54"/>
      <c r="Q652" s="20"/>
      <c r="R652" s="76"/>
      <c r="S652" s="76"/>
      <c r="T652" s="76"/>
      <c r="U652" s="76"/>
      <c r="V652" s="76"/>
      <c r="W652" s="76"/>
      <c r="X652" s="76"/>
      <c r="Y652" s="76"/>
      <c r="Z652" s="76"/>
      <c r="AA652" s="76"/>
      <c r="AB652" s="76"/>
      <c r="AC652" s="76"/>
    </row>
    <row r="653" spans="1:29">
      <c r="A653" s="35"/>
      <c r="B653" s="20"/>
      <c r="C653" s="16"/>
      <c r="D653" s="16"/>
      <c r="E653" s="16"/>
      <c r="F653" s="20"/>
      <c r="G653" s="16"/>
      <c r="H653" s="26"/>
      <c r="I653" s="8"/>
      <c r="J653" s="51"/>
      <c r="K653" s="103"/>
      <c r="L653" s="104"/>
      <c r="M653" s="104"/>
      <c r="N653" s="104"/>
      <c r="O653" s="104"/>
      <c r="P653" s="54"/>
      <c r="Q653" s="20"/>
      <c r="R653" s="76"/>
      <c r="S653" s="76"/>
      <c r="T653" s="76"/>
      <c r="U653" s="76"/>
      <c r="V653" s="76"/>
      <c r="W653" s="76"/>
      <c r="X653" s="76"/>
      <c r="Y653" s="76"/>
      <c r="Z653" s="76"/>
      <c r="AA653" s="76"/>
      <c r="AB653" s="76"/>
      <c r="AC653" s="76"/>
    </row>
    <row r="654" spans="1:29">
      <c r="A654" s="35"/>
      <c r="B654" s="20"/>
      <c r="C654" s="16"/>
      <c r="D654" s="16"/>
      <c r="E654" s="16"/>
      <c r="F654" s="20"/>
      <c r="G654" s="16"/>
      <c r="H654" s="26"/>
      <c r="I654" s="8"/>
      <c r="J654" s="51"/>
      <c r="K654" s="103"/>
      <c r="L654" s="104"/>
      <c r="M654" s="104"/>
      <c r="N654" s="104"/>
      <c r="O654" s="104"/>
      <c r="P654" s="54"/>
      <c r="Q654" s="20"/>
      <c r="R654" s="76"/>
      <c r="S654" s="76"/>
      <c r="T654" s="76"/>
      <c r="U654" s="76"/>
      <c r="V654" s="76"/>
      <c r="W654" s="76"/>
      <c r="X654" s="76"/>
      <c r="Y654" s="76"/>
      <c r="Z654" s="76"/>
      <c r="AA654" s="76"/>
      <c r="AB654" s="76"/>
      <c r="AC654" s="76"/>
    </row>
    <row r="655" spans="1:29">
      <c r="A655" s="35"/>
      <c r="B655" s="20"/>
      <c r="C655" s="16"/>
      <c r="D655" s="16"/>
      <c r="E655" s="16"/>
      <c r="F655" s="20"/>
      <c r="G655" s="16"/>
      <c r="H655" s="26"/>
      <c r="I655" s="8"/>
      <c r="J655" s="51"/>
      <c r="K655" s="103"/>
      <c r="L655" s="104"/>
      <c r="M655" s="104"/>
      <c r="N655" s="104"/>
      <c r="O655" s="104"/>
      <c r="P655" s="54"/>
      <c r="Q655" s="20"/>
      <c r="R655" s="76"/>
      <c r="S655" s="76"/>
      <c r="T655" s="76"/>
      <c r="U655" s="76"/>
      <c r="V655" s="76"/>
      <c r="W655" s="76"/>
      <c r="X655" s="76"/>
      <c r="Y655" s="76"/>
      <c r="Z655" s="76"/>
      <c r="AA655" s="76"/>
      <c r="AB655" s="76"/>
      <c r="AC655" s="76"/>
    </row>
    <row r="656" spans="1:29">
      <c r="A656" s="35"/>
      <c r="B656" s="20"/>
      <c r="C656" s="16"/>
      <c r="D656" s="16"/>
      <c r="E656" s="16"/>
      <c r="F656" s="20"/>
      <c r="G656" s="16"/>
      <c r="H656" s="26"/>
      <c r="I656" s="8"/>
      <c r="J656" s="51"/>
      <c r="K656" s="103"/>
      <c r="L656" s="104"/>
      <c r="M656" s="104"/>
      <c r="N656" s="104"/>
      <c r="O656" s="104"/>
      <c r="P656" s="54"/>
      <c r="Q656" s="20"/>
      <c r="R656" s="76"/>
      <c r="S656" s="76"/>
      <c r="T656" s="76"/>
      <c r="U656" s="76"/>
      <c r="V656" s="76"/>
      <c r="W656" s="76"/>
      <c r="X656" s="76"/>
      <c r="Y656" s="76"/>
      <c r="Z656" s="76"/>
      <c r="AA656" s="76"/>
      <c r="AB656" s="76"/>
      <c r="AC656" s="76"/>
    </row>
    <row r="657" spans="1:29">
      <c r="A657" s="35"/>
      <c r="B657" s="20"/>
      <c r="C657" s="16"/>
      <c r="D657" s="16"/>
      <c r="E657" s="16"/>
      <c r="F657" s="20"/>
      <c r="G657" s="16"/>
      <c r="H657" s="26"/>
      <c r="I657" s="8"/>
      <c r="J657" s="51"/>
      <c r="K657" s="103"/>
      <c r="L657" s="104"/>
      <c r="M657" s="104"/>
      <c r="N657" s="104"/>
      <c r="O657" s="104"/>
      <c r="P657" s="54"/>
      <c r="Q657" s="20"/>
      <c r="R657" s="76"/>
      <c r="S657" s="76"/>
      <c r="T657" s="76"/>
      <c r="U657" s="76"/>
      <c r="V657" s="76"/>
      <c r="W657" s="76"/>
      <c r="X657" s="76"/>
      <c r="Y657" s="76"/>
      <c r="Z657" s="76"/>
      <c r="AA657" s="76"/>
      <c r="AB657" s="76"/>
      <c r="AC657" s="76"/>
    </row>
    <row r="658" spans="1:29">
      <c r="A658" s="35"/>
      <c r="B658" s="20"/>
      <c r="C658" s="16"/>
      <c r="D658" s="16"/>
      <c r="E658" s="16"/>
      <c r="F658" s="20"/>
      <c r="G658" s="16"/>
      <c r="H658" s="26"/>
      <c r="I658" s="8"/>
      <c r="J658" s="51"/>
      <c r="K658" s="103"/>
      <c r="L658" s="104"/>
      <c r="M658" s="104"/>
      <c r="N658" s="104"/>
      <c r="O658" s="104"/>
      <c r="P658" s="54"/>
      <c r="Q658" s="20"/>
      <c r="R658" s="76"/>
      <c r="S658" s="76"/>
      <c r="T658" s="76"/>
      <c r="U658" s="76"/>
      <c r="V658" s="76"/>
      <c r="W658" s="76"/>
      <c r="X658" s="76"/>
      <c r="Y658" s="76"/>
      <c r="Z658" s="76"/>
      <c r="AA658" s="76"/>
      <c r="AB658" s="76"/>
      <c r="AC658" s="76"/>
    </row>
    <row r="659" spans="1:29">
      <c r="A659" s="35"/>
      <c r="B659" s="20"/>
      <c r="C659" s="16"/>
      <c r="D659" s="16"/>
      <c r="E659" s="16"/>
      <c r="F659" s="20"/>
      <c r="G659" s="16"/>
      <c r="H659" s="26"/>
      <c r="I659" s="8"/>
      <c r="J659" s="51"/>
      <c r="K659" s="103"/>
      <c r="L659" s="104"/>
      <c r="M659" s="104"/>
      <c r="N659" s="104"/>
      <c r="O659" s="104"/>
      <c r="P659" s="54"/>
      <c r="Q659" s="20"/>
      <c r="R659" s="76"/>
      <c r="S659" s="76"/>
      <c r="T659" s="76"/>
      <c r="U659" s="76"/>
      <c r="V659" s="76"/>
      <c r="W659" s="76"/>
      <c r="X659" s="76"/>
      <c r="Y659" s="76"/>
      <c r="Z659" s="76"/>
      <c r="AA659" s="76"/>
      <c r="AB659" s="76"/>
      <c r="AC659" s="76"/>
    </row>
    <row r="660" spans="1:29">
      <c r="A660" s="35"/>
      <c r="B660" s="20"/>
      <c r="C660" s="16"/>
      <c r="D660" s="16"/>
      <c r="E660" s="16"/>
      <c r="F660" s="20"/>
      <c r="G660" s="16"/>
      <c r="H660" s="26"/>
      <c r="I660" s="8"/>
      <c r="J660" s="51"/>
      <c r="K660" s="103"/>
      <c r="L660" s="104"/>
      <c r="M660" s="104"/>
      <c r="N660" s="104"/>
      <c r="O660" s="104"/>
      <c r="P660" s="54"/>
      <c r="Q660" s="20"/>
      <c r="R660" s="76"/>
      <c r="S660" s="76"/>
      <c r="T660" s="76"/>
      <c r="U660" s="76"/>
      <c r="V660" s="76"/>
      <c r="W660" s="76"/>
      <c r="X660" s="76"/>
      <c r="Y660" s="76"/>
      <c r="Z660" s="76"/>
      <c r="AA660" s="76"/>
      <c r="AB660" s="76"/>
      <c r="AC660" s="76"/>
    </row>
    <row r="661" spans="1:29">
      <c r="A661" s="35"/>
      <c r="B661" s="20"/>
      <c r="C661" s="16"/>
      <c r="D661" s="16"/>
      <c r="E661" s="16"/>
      <c r="F661" s="20"/>
      <c r="G661" s="16"/>
      <c r="H661" s="26"/>
      <c r="I661" s="8"/>
      <c r="J661" s="51"/>
      <c r="K661" s="103"/>
      <c r="L661" s="104"/>
      <c r="M661" s="104"/>
      <c r="N661" s="104"/>
      <c r="O661" s="104"/>
      <c r="P661" s="54"/>
      <c r="Q661" s="20"/>
      <c r="R661" s="76"/>
      <c r="S661" s="76"/>
      <c r="T661" s="76"/>
      <c r="U661" s="76"/>
      <c r="V661" s="76"/>
      <c r="W661" s="76"/>
      <c r="X661" s="76"/>
      <c r="Y661" s="76"/>
      <c r="Z661" s="76"/>
      <c r="AA661" s="76"/>
      <c r="AB661" s="76"/>
      <c r="AC661" s="76"/>
    </row>
    <row r="662" spans="1:29">
      <c r="A662" s="35"/>
      <c r="B662" s="20"/>
      <c r="C662" s="16"/>
      <c r="D662" s="16"/>
      <c r="E662" s="16"/>
      <c r="F662" s="20"/>
      <c r="G662" s="16"/>
      <c r="H662" s="26"/>
      <c r="I662" s="8"/>
      <c r="J662" s="51"/>
      <c r="K662" s="103"/>
      <c r="L662" s="104"/>
      <c r="M662" s="104"/>
      <c r="N662" s="104"/>
      <c r="O662" s="104"/>
      <c r="P662" s="54"/>
      <c r="Q662" s="20"/>
      <c r="R662" s="76"/>
      <c r="S662" s="76"/>
      <c r="T662" s="76"/>
      <c r="U662" s="76"/>
      <c r="V662" s="76"/>
      <c r="W662" s="76"/>
      <c r="X662" s="76"/>
      <c r="Y662" s="76"/>
      <c r="Z662" s="76"/>
      <c r="AA662" s="76"/>
      <c r="AB662" s="76"/>
      <c r="AC662" s="76"/>
    </row>
    <row r="663" spans="1:29">
      <c r="A663" s="35"/>
      <c r="B663" s="20"/>
      <c r="C663" s="16"/>
      <c r="D663" s="16"/>
      <c r="E663" s="16"/>
      <c r="F663" s="20"/>
      <c r="G663" s="16"/>
      <c r="H663" s="26"/>
      <c r="I663" s="8"/>
      <c r="J663" s="51"/>
      <c r="K663" s="103"/>
      <c r="L663" s="104"/>
      <c r="M663" s="104"/>
      <c r="N663" s="104"/>
      <c r="O663" s="104"/>
      <c r="P663" s="54"/>
      <c r="Q663" s="20"/>
      <c r="R663" s="76"/>
      <c r="S663" s="76"/>
      <c r="T663" s="76"/>
      <c r="U663" s="76"/>
      <c r="V663" s="76"/>
      <c r="W663" s="76"/>
      <c r="X663" s="76"/>
      <c r="Y663" s="76"/>
      <c r="Z663" s="76"/>
      <c r="AA663" s="76"/>
      <c r="AB663" s="76"/>
      <c r="AC663" s="76"/>
    </row>
    <row r="664" spans="1:29">
      <c r="A664" s="35"/>
      <c r="B664" s="20"/>
      <c r="C664" s="16"/>
      <c r="D664" s="16"/>
      <c r="E664" s="16"/>
      <c r="F664" s="20"/>
      <c r="G664" s="16"/>
      <c r="H664" s="26"/>
      <c r="I664" s="8"/>
      <c r="J664" s="51"/>
      <c r="K664" s="103"/>
      <c r="L664" s="104"/>
      <c r="M664" s="104"/>
      <c r="N664" s="104"/>
      <c r="O664" s="104"/>
      <c r="P664" s="54"/>
      <c r="Q664" s="20"/>
      <c r="R664" s="76"/>
      <c r="S664" s="76"/>
      <c r="T664" s="76"/>
      <c r="U664" s="76"/>
      <c r="V664" s="76"/>
      <c r="W664" s="76"/>
      <c r="X664" s="76"/>
      <c r="Y664" s="76"/>
      <c r="Z664" s="76"/>
      <c r="AA664" s="76"/>
      <c r="AB664" s="76"/>
      <c r="AC664" s="76"/>
    </row>
    <row r="665" spans="1:29">
      <c r="A665" s="35"/>
      <c r="B665" s="20"/>
      <c r="C665" s="16"/>
      <c r="D665" s="16"/>
      <c r="E665" s="16"/>
      <c r="F665" s="20"/>
      <c r="G665" s="16"/>
      <c r="H665" s="26"/>
      <c r="I665" s="8"/>
      <c r="J665" s="51"/>
      <c r="K665" s="103"/>
      <c r="L665" s="104"/>
      <c r="M665" s="104"/>
      <c r="N665" s="104"/>
      <c r="O665" s="104"/>
      <c r="P665" s="54"/>
      <c r="Q665" s="20"/>
      <c r="R665" s="76"/>
      <c r="S665" s="76"/>
      <c r="T665" s="76"/>
      <c r="U665" s="76"/>
      <c r="V665" s="76"/>
      <c r="W665" s="76"/>
      <c r="X665" s="76"/>
      <c r="Y665" s="76"/>
      <c r="Z665" s="76"/>
      <c r="AA665" s="76"/>
      <c r="AB665" s="76"/>
      <c r="AC665" s="76"/>
    </row>
    <row r="666" spans="1:29">
      <c r="A666" s="35"/>
      <c r="B666" s="20"/>
      <c r="C666" s="16"/>
      <c r="D666" s="16"/>
      <c r="E666" s="16"/>
      <c r="F666" s="20"/>
      <c r="G666" s="16"/>
      <c r="H666" s="26"/>
      <c r="I666" s="8"/>
      <c r="J666" s="51"/>
      <c r="K666" s="103"/>
      <c r="L666" s="104"/>
      <c r="M666" s="104"/>
      <c r="N666" s="104"/>
      <c r="O666" s="104"/>
      <c r="P666" s="54"/>
      <c r="Q666" s="20"/>
      <c r="R666" s="76"/>
      <c r="S666" s="76"/>
      <c r="T666" s="76"/>
      <c r="U666" s="76"/>
      <c r="V666" s="76"/>
      <c r="W666" s="76"/>
      <c r="X666" s="76"/>
      <c r="Y666" s="76"/>
      <c r="Z666" s="76"/>
      <c r="AA666" s="76"/>
      <c r="AB666" s="76"/>
      <c r="AC666" s="76"/>
    </row>
    <row r="667" spans="1:29">
      <c r="A667" s="35"/>
      <c r="B667" s="20"/>
      <c r="C667" s="16"/>
      <c r="D667" s="16"/>
      <c r="E667" s="16"/>
      <c r="F667" s="20"/>
      <c r="G667" s="16"/>
      <c r="H667" s="26"/>
      <c r="I667" s="8"/>
      <c r="J667" s="51"/>
      <c r="K667" s="103"/>
      <c r="L667" s="104"/>
      <c r="M667" s="104"/>
      <c r="N667" s="104"/>
      <c r="O667" s="104"/>
      <c r="P667" s="54"/>
      <c r="Q667" s="20"/>
      <c r="R667" s="76"/>
      <c r="S667" s="76"/>
      <c r="T667" s="76"/>
      <c r="U667" s="76"/>
      <c r="V667" s="76"/>
      <c r="W667" s="76"/>
      <c r="X667" s="76"/>
      <c r="Y667" s="76"/>
      <c r="Z667" s="76"/>
      <c r="AA667" s="76"/>
      <c r="AB667" s="76"/>
      <c r="AC667" s="76"/>
    </row>
    <row r="668" spans="1:29">
      <c r="A668" s="35"/>
      <c r="B668" s="20"/>
      <c r="C668" s="16"/>
      <c r="D668" s="16"/>
      <c r="E668" s="16"/>
      <c r="F668" s="20"/>
      <c r="G668" s="16"/>
      <c r="H668" s="26"/>
      <c r="I668" s="8"/>
      <c r="J668" s="51"/>
      <c r="K668" s="103"/>
      <c r="L668" s="104"/>
      <c r="M668" s="104"/>
      <c r="N668" s="104"/>
      <c r="O668" s="104"/>
      <c r="P668" s="54"/>
      <c r="Q668" s="20"/>
      <c r="R668" s="76"/>
      <c r="S668" s="76"/>
      <c r="T668" s="76"/>
      <c r="U668" s="76"/>
      <c r="V668" s="76"/>
      <c r="W668" s="76"/>
      <c r="X668" s="76"/>
      <c r="Y668" s="76"/>
      <c r="Z668" s="76"/>
      <c r="AA668" s="76"/>
      <c r="AB668" s="76"/>
      <c r="AC668" s="76"/>
    </row>
    <row r="669" spans="1:29">
      <c r="A669" s="35"/>
      <c r="B669" s="20"/>
      <c r="C669" s="16"/>
      <c r="D669" s="16"/>
      <c r="E669" s="16"/>
      <c r="F669" s="20"/>
      <c r="G669" s="16"/>
      <c r="H669" s="26"/>
      <c r="I669" s="8"/>
      <c r="J669" s="51"/>
      <c r="K669" s="103"/>
      <c r="L669" s="104"/>
      <c r="M669" s="104"/>
      <c r="N669" s="104"/>
      <c r="O669" s="104"/>
      <c r="P669" s="54"/>
      <c r="Q669" s="20"/>
      <c r="R669" s="76"/>
      <c r="S669" s="76"/>
      <c r="T669" s="76"/>
      <c r="U669" s="76"/>
      <c r="V669" s="76"/>
      <c r="W669" s="76"/>
      <c r="X669" s="76"/>
      <c r="Y669" s="76"/>
      <c r="Z669" s="76"/>
      <c r="AA669" s="76"/>
      <c r="AB669" s="76"/>
      <c r="AC669" s="76"/>
    </row>
    <row r="670" spans="1:29">
      <c r="A670" s="35"/>
      <c r="B670" s="20"/>
      <c r="C670" s="16"/>
      <c r="D670" s="16"/>
      <c r="E670" s="16"/>
      <c r="F670" s="20"/>
      <c r="G670" s="16"/>
      <c r="H670" s="26"/>
      <c r="I670" s="8"/>
      <c r="J670" s="51"/>
      <c r="K670" s="103"/>
      <c r="L670" s="104"/>
      <c r="M670" s="104"/>
      <c r="N670" s="104"/>
      <c r="O670" s="104"/>
      <c r="P670" s="54"/>
      <c r="Q670" s="20"/>
      <c r="R670" s="76"/>
      <c r="S670" s="76"/>
      <c r="T670" s="76"/>
      <c r="U670" s="76"/>
      <c r="V670" s="76"/>
      <c r="W670" s="76"/>
      <c r="X670" s="76"/>
      <c r="Y670" s="76"/>
      <c r="Z670" s="76"/>
      <c r="AA670" s="76"/>
      <c r="AB670" s="76"/>
      <c r="AC670" s="76"/>
    </row>
    <row r="671" spans="1:29">
      <c r="A671" s="35"/>
      <c r="B671" s="20"/>
      <c r="C671" s="16"/>
      <c r="D671" s="16"/>
      <c r="E671" s="16"/>
      <c r="F671" s="20"/>
      <c r="G671" s="16"/>
      <c r="H671" s="26"/>
      <c r="I671" s="8"/>
      <c r="J671" s="51"/>
      <c r="K671" s="103"/>
      <c r="L671" s="104"/>
      <c r="M671" s="104"/>
      <c r="N671" s="104"/>
      <c r="O671" s="104"/>
      <c r="P671" s="54"/>
      <c r="Q671" s="20"/>
      <c r="R671" s="76"/>
      <c r="S671" s="76"/>
      <c r="T671" s="76"/>
      <c r="U671" s="76"/>
      <c r="V671" s="76"/>
      <c r="W671" s="76"/>
      <c r="X671" s="76"/>
      <c r="Y671" s="76"/>
      <c r="Z671" s="76"/>
      <c r="AA671" s="76"/>
      <c r="AB671" s="76"/>
      <c r="AC671" s="76"/>
    </row>
    <row r="672" spans="1:29">
      <c r="A672" s="35"/>
      <c r="B672" s="20"/>
      <c r="C672" s="16"/>
      <c r="D672" s="16"/>
      <c r="E672" s="16"/>
      <c r="F672" s="20"/>
      <c r="G672" s="16"/>
      <c r="H672" s="26"/>
      <c r="I672" s="8"/>
      <c r="J672" s="51"/>
      <c r="K672" s="103"/>
      <c r="L672" s="104"/>
      <c r="M672" s="104"/>
      <c r="N672" s="104"/>
      <c r="O672" s="104"/>
      <c r="P672" s="54"/>
      <c r="Q672" s="20"/>
      <c r="R672" s="76"/>
      <c r="S672" s="76"/>
      <c r="T672" s="76"/>
      <c r="U672" s="76"/>
      <c r="V672" s="76"/>
      <c r="W672" s="76"/>
      <c r="X672" s="76"/>
      <c r="Y672" s="76"/>
      <c r="Z672" s="76"/>
      <c r="AA672" s="76"/>
      <c r="AB672" s="76"/>
      <c r="AC672" s="76"/>
    </row>
    <row r="673" spans="1:29">
      <c r="A673" s="35"/>
      <c r="B673" s="20"/>
      <c r="C673" s="16"/>
      <c r="D673" s="16"/>
      <c r="E673" s="16"/>
      <c r="F673" s="20"/>
      <c r="G673" s="16"/>
      <c r="H673" s="26"/>
      <c r="I673" s="8"/>
      <c r="J673" s="51"/>
      <c r="K673" s="103"/>
      <c r="L673" s="104"/>
      <c r="M673" s="104"/>
      <c r="N673" s="104"/>
      <c r="O673" s="104"/>
      <c r="P673" s="54"/>
      <c r="Q673" s="20"/>
      <c r="R673" s="76"/>
      <c r="S673" s="76"/>
      <c r="T673" s="76"/>
      <c r="U673" s="76"/>
      <c r="V673" s="76"/>
      <c r="W673" s="76"/>
      <c r="X673" s="76"/>
      <c r="Y673" s="76"/>
      <c r="Z673" s="76"/>
      <c r="AA673" s="76"/>
      <c r="AB673" s="76"/>
      <c r="AC673" s="76"/>
    </row>
    <row r="674" spans="1:29">
      <c r="A674" s="35"/>
      <c r="B674" s="20"/>
      <c r="C674" s="16"/>
      <c r="D674" s="16"/>
      <c r="E674" s="16"/>
      <c r="F674" s="20"/>
      <c r="G674" s="16"/>
      <c r="H674" s="26"/>
      <c r="I674" s="8"/>
      <c r="J674" s="51"/>
      <c r="K674" s="103"/>
      <c r="L674" s="104"/>
      <c r="M674" s="104"/>
      <c r="N674" s="104"/>
      <c r="O674" s="104"/>
      <c r="P674" s="54"/>
      <c r="Q674" s="20"/>
      <c r="R674" s="76"/>
      <c r="S674" s="76"/>
      <c r="T674" s="76"/>
      <c r="U674" s="76"/>
      <c r="V674" s="76"/>
      <c r="W674" s="76"/>
      <c r="X674" s="76"/>
      <c r="Y674" s="76"/>
      <c r="Z674" s="76"/>
      <c r="AA674" s="76"/>
      <c r="AB674" s="76"/>
      <c r="AC674" s="76"/>
    </row>
    <row r="675" spans="1:29">
      <c r="A675" s="35"/>
      <c r="B675" s="20"/>
      <c r="C675" s="16"/>
      <c r="D675" s="16"/>
      <c r="E675" s="16"/>
      <c r="F675" s="20"/>
      <c r="G675" s="16"/>
      <c r="H675" s="26"/>
      <c r="I675" s="8"/>
      <c r="J675" s="51"/>
      <c r="K675" s="103"/>
      <c r="L675" s="104"/>
      <c r="M675" s="104"/>
      <c r="N675" s="104"/>
      <c r="O675" s="104"/>
      <c r="P675" s="54"/>
      <c r="Q675" s="20"/>
      <c r="R675" s="76"/>
      <c r="S675" s="76"/>
      <c r="T675" s="76"/>
      <c r="U675" s="76"/>
      <c r="V675" s="76"/>
      <c r="W675" s="76"/>
      <c r="X675" s="76"/>
      <c r="Y675" s="76"/>
      <c r="Z675" s="76"/>
      <c r="AA675" s="76"/>
      <c r="AB675" s="76"/>
      <c r="AC675" s="76"/>
    </row>
    <row r="676" spans="1:29">
      <c r="A676" s="35"/>
      <c r="B676" s="20"/>
      <c r="C676" s="16"/>
      <c r="D676" s="16"/>
      <c r="E676" s="16"/>
      <c r="F676" s="20"/>
      <c r="G676" s="16"/>
      <c r="H676" s="26"/>
      <c r="I676" s="8"/>
      <c r="J676" s="51"/>
      <c r="K676" s="103"/>
      <c r="L676" s="104"/>
      <c r="M676" s="104"/>
      <c r="N676" s="104"/>
      <c r="O676" s="104"/>
      <c r="P676" s="54"/>
      <c r="Q676" s="20"/>
      <c r="R676" s="76"/>
      <c r="S676" s="76"/>
      <c r="T676" s="76"/>
      <c r="U676" s="76"/>
      <c r="V676" s="76"/>
      <c r="W676" s="76"/>
      <c r="X676" s="76"/>
      <c r="Y676" s="76"/>
      <c r="Z676" s="76"/>
      <c r="AA676" s="76"/>
      <c r="AB676" s="76"/>
      <c r="AC676" s="76"/>
    </row>
    <row r="677" spans="1:29">
      <c r="A677" s="35"/>
      <c r="B677" s="20"/>
      <c r="C677" s="16"/>
      <c r="D677" s="16"/>
      <c r="E677" s="16"/>
      <c r="F677" s="20"/>
      <c r="G677" s="16"/>
      <c r="H677" s="26"/>
      <c r="I677" s="8"/>
      <c r="J677" s="51"/>
      <c r="K677" s="103"/>
      <c r="L677" s="104"/>
      <c r="M677" s="104"/>
      <c r="N677" s="104"/>
      <c r="O677" s="104"/>
      <c r="P677" s="54"/>
      <c r="Q677" s="20"/>
      <c r="R677" s="76"/>
      <c r="S677" s="76"/>
      <c r="T677" s="76"/>
      <c r="U677" s="76"/>
      <c r="V677" s="76"/>
      <c r="W677" s="76"/>
      <c r="X677" s="76"/>
      <c r="Y677" s="76"/>
      <c r="Z677" s="76"/>
      <c r="AA677" s="76"/>
      <c r="AB677" s="76"/>
      <c r="AC677" s="76"/>
    </row>
    <row r="678" spans="1:29">
      <c r="A678" s="35"/>
      <c r="B678" s="20"/>
      <c r="C678" s="16"/>
      <c r="D678" s="16"/>
      <c r="E678" s="16"/>
      <c r="F678" s="20"/>
      <c r="G678" s="16"/>
      <c r="H678" s="26"/>
      <c r="I678" s="8"/>
      <c r="J678" s="51"/>
      <c r="K678" s="103"/>
      <c r="L678" s="104"/>
      <c r="M678" s="104"/>
      <c r="N678" s="104"/>
      <c r="O678" s="104"/>
      <c r="P678" s="54"/>
      <c r="Q678" s="20"/>
      <c r="R678" s="76"/>
      <c r="S678" s="76"/>
      <c r="T678" s="76"/>
      <c r="U678" s="76"/>
      <c r="V678" s="76"/>
      <c r="W678" s="76"/>
      <c r="X678" s="76"/>
      <c r="Y678" s="76"/>
      <c r="Z678" s="76"/>
      <c r="AA678" s="76"/>
      <c r="AB678" s="76"/>
      <c r="AC678" s="76"/>
    </row>
    <row r="679" spans="1:29">
      <c r="A679" s="35"/>
      <c r="B679" s="20"/>
      <c r="C679" s="16"/>
      <c r="D679" s="16"/>
      <c r="E679" s="16"/>
      <c r="F679" s="20"/>
      <c r="G679" s="16"/>
      <c r="H679" s="26"/>
      <c r="I679" s="8"/>
      <c r="J679" s="51"/>
      <c r="K679" s="103"/>
      <c r="L679" s="104"/>
      <c r="M679" s="104"/>
      <c r="N679" s="104"/>
      <c r="O679" s="104"/>
      <c r="P679" s="54"/>
      <c r="Q679" s="20"/>
      <c r="R679" s="76"/>
      <c r="S679" s="76"/>
      <c r="T679" s="76"/>
      <c r="U679" s="76"/>
      <c r="V679" s="76"/>
      <c r="W679" s="76"/>
      <c r="X679" s="76"/>
      <c r="Y679" s="76"/>
      <c r="Z679" s="76"/>
      <c r="AA679" s="76"/>
      <c r="AB679" s="76"/>
      <c r="AC679" s="76"/>
    </row>
    <row r="680" spans="1:29">
      <c r="A680" s="35"/>
      <c r="B680" s="20"/>
      <c r="C680" s="16"/>
      <c r="D680" s="16"/>
      <c r="E680" s="16"/>
      <c r="F680" s="20"/>
      <c r="G680" s="16"/>
      <c r="H680" s="26"/>
      <c r="I680" s="8"/>
      <c r="J680" s="51"/>
      <c r="K680" s="103"/>
      <c r="L680" s="104"/>
      <c r="M680" s="104"/>
      <c r="N680" s="104"/>
      <c r="O680" s="104"/>
      <c r="P680" s="54"/>
      <c r="Q680" s="20"/>
      <c r="R680" s="76"/>
      <c r="S680" s="76"/>
      <c r="T680" s="76"/>
      <c r="U680" s="76"/>
      <c r="V680" s="76"/>
      <c r="W680" s="76"/>
      <c r="X680" s="76"/>
      <c r="Y680" s="76"/>
      <c r="Z680" s="76"/>
      <c r="AA680" s="76"/>
      <c r="AB680" s="76"/>
      <c r="AC680" s="76"/>
    </row>
    <row r="681" spans="1:29">
      <c r="A681" s="35"/>
      <c r="B681" s="20"/>
      <c r="C681" s="16"/>
      <c r="D681" s="16"/>
      <c r="E681" s="16"/>
      <c r="F681" s="20"/>
      <c r="G681" s="16"/>
      <c r="H681" s="26"/>
      <c r="I681" s="8"/>
      <c r="J681" s="51"/>
      <c r="K681" s="103"/>
      <c r="L681" s="104"/>
      <c r="M681" s="104"/>
      <c r="N681" s="104"/>
      <c r="O681" s="104"/>
      <c r="P681" s="54"/>
      <c r="Q681" s="20"/>
      <c r="R681" s="76"/>
      <c r="S681" s="76"/>
      <c r="T681" s="76"/>
      <c r="U681" s="76"/>
      <c r="V681" s="76"/>
      <c r="W681" s="76"/>
      <c r="X681" s="76"/>
      <c r="Y681" s="76"/>
      <c r="Z681" s="76"/>
      <c r="AA681" s="76"/>
      <c r="AB681" s="76"/>
      <c r="AC681" s="76"/>
    </row>
    <row r="682" spans="1:29">
      <c r="A682" s="35"/>
      <c r="B682" s="20"/>
      <c r="C682" s="16"/>
      <c r="D682" s="16"/>
      <c r="E682" s="16"/>
      <c r="F682" s="20"/>
      <c r="G682" s="16"/>
      <c r="H682" s="26"/>
      <c r="I682" s="8"/>
      <c r="J682" s="51"/>
      <c r="K682" s="103"/>
      <c r="L682" s="104"/>
      <c r="M682" s="104"/>
      <c r="N682" s="104"/>
      <c r="O682" s="104"/>
      <c r="P682" s="54"/>
      <c r="Q682" s="20"/>
      <c r="R682" s="76"/>
      <c r="S682" s="76"/>
      <c r="T682" s="76"/>
      <c r="U682" s="76"/>
      <c r="V682" s="76"/>
      <c r="W682" s="76"/>
      <c r="X682" s="76"/>
      <c r="Y682" s="76"/>
      <c r="Z682" s="76"/>
      <c r="AA682" s="76"/>
      <c r="AB682" s="76"/>
      <c r="AC682" s="76"/>
    </row>
    <row r="683" spans="1:29">
      <c r="A683" s="35"/>
      <c r="B683" s="20"/>
      <c r="C683" s="16"/>
      <c r="D683" s="16"/>
      <c r="E683" s="16"/>
      <c r="F683" s="20"/>
      <c r="G683" s="16"/>
      <c r="H683" s="26"/>
      <c r="I683" s="8"/>
      <c r="J683" s="51"/>
      <c r="K683" s="103"/>
      <c r="L683" s="104"/>
      <c r="M683" s="104"/>
      <c r="N683" s="104"/>
      <c r="O683" s="104"/>
      <c r="P683" s="54"/>
      <c r="Q683" s="20"/>
      <c r="R683" s="76"/>
      <c r="S683" s="76"/>
      <c r="T683" s="76"/>
      <c r="U683" s="76"/>
      <c r="V683" s="76"/>
      <c r="W683" s="76"/>
      <c r="X683" s="76"/>
      <c r="Y683" s="76"/>
      <c r="Z683" s="76"/>
      <c r="AA683" s="76"/>
      <c r="AB683" s="76"/>
      <c r="AC683" s="76"/>
    </row>
    <row r="684" spans="1:29">
      <c r="A684" s="35"/>
      <c r="B684" s="20"/>
      <c r="C684" s="16"/>
      <c r="D684" s="16"/>
      <c r="E684" s="16"/>
      <c r="F684" s="20"/>
      <c r="G684" s="16"/>
      <c r="H684" s="26"/>
      <c r="I684" s="8"/>
      <c r="J684" s="51"/>
      <c r="K684" s="103"/>
      <c r="L684" s="104"/>
      <c r="M684" s="104"/>
      <c r="N684" s="104"/>
      <c r="O684" s="104"/>
      <c r="P684" s="54"/>
      <c r="Q684" s="20"/>
      <c r="R684" s="76"/>
      <c r="S684" s="76"/>
      <c r="T684" s="76"/>
      <c r="U684" s="76"/>
      <c r="V684" s="76"/>
      <c r="W684" s="76"/>
      <c r="X684" s="76"/>
      <c r="Y684" s="76"/>
      <c r="Z684" s="76"/>
      <c r="AA684" s="76"/>
      <c r="AB684" s="76"/>
      <c r="AC684" s="76"/>
    </row>
    <row r="685" spans="1:29">
      <c r="A685" s="35"/>
      <c r="B685" s="20"/>
      <c r="C685" s="16"/>
      <c r="D685" s="16"/>
      <c r="E685" s="16"/>
      <c r="F685" s="20"/>
      <c r="G685" s="16"/>
      <c r="H685" s="26"/>
      <c r="I685" s="8"/>
      <c r="J685" s="51"/>
      <c r="K685" s="103"/>
      <c r="L685" s="104"/>
      <c r="M685" s="104"/>
      <c r="N685" s="104"/>
      <c r="O685" s="104"/>
      <c r="P685" s="54"/>
      <c r="Q685" s="20"/>
      <c r="R685" s="76"/>
      <c r="S685" s="76"/>
      <c r="T685" s="76"/>
      <c r="U685" s="76"/>
      <c r="V685" s="76"/>
      <c r="W685" s="76"/>
      <c r="X685" s="76"/>
      <c r="Y685" s="76"/>
      <c r="Z685" s="76"/>
      <c r="AA685" s="76"/>
      <c r="AB685" s="76"/>
      <c r="AC685" s="76"/>
    </row>
    <row r="686" spans="1:29">
      <c r="A686" s="35"/>
      <c r="B686" s="20"/>
      <c r="C686" s="16"/>
      <c r="D686" s="16"/>
      <c r="E686" s="16"/>
      <c r="F686" s="20"/>
      <c r="G686" s="16"/>
      <c r="H686" s="26"/>
      <c r="I686" s="8"/>
      <c r="J686" s="51"/>
      <c r="K686" s="103"/>
      <c r="L686" s="104"/>
      <c r="M686" s="104"/>
      <c r="N686" s="104"/>
      <c r="O686" s="104"/>
      <c r="P686" s="54"/>
      <c r="Q686" s="20"/>
      <c r="R686" s="76"/>
      <c r="S686" s="76"/>
      <c r="T686" s="76"/>
      <c r="U686" s="76"/>
      <c r="V686" s="76"/>
      <c r="W686" s="76"/>
      <c r="X686" s="76"/>
      <c r="Y686" s="76"/>
      <c r="Z686" s="76"/>
      <c r="AA686" s="76"/>
      <c r="AB686" s="76"/>
      <c r="AC686" s="76"/>
    </row>
    <row r="687" spans="1:29">
      <c r="A687" s="35"/>
      <c r="B687" s="20"/>
      <c r="C687" s="16"/>
      <c r="D687" s="16"/>
      <c r="E687" s="16"/>
      <c r="F687" s="20"/>
      <c r="G687" s="16"/>
      <c r="H687" s="26"/>
      <c r="I687" s="8"/>
      <c r="J687" s="51"/>
      <c r="K687" s="103"/>
      <c r="L687" s="104"/>
      <c r="M687" s="104"/>
      <c r="N687" s="104"/>
      <c r="O687" s="104"/>
      <c r="P687" s="54"/>
      <c r="Q687" s="20"/>
      <c r="R687" s="76"/>
      <c r="S687" s="76"/>
      <c r="T687" s="76"/>
      <c r="U687" s="76"/>
      <c r="V687" s="76"/>
      <c r="W687" s="76"/>
      <c r="X687" s="76"/>
      <c r="Y687" s="76"/>
      <c r="Z687" s="76"/>
      <c r="AA687" s="76"/>
      <c r="AB687" s="76"/>
      <c r="AC687" s="76"/>
    </row>
    <row r="688" spans="1:29">
      <c r="A688" s="35"/>
      <c r="B688" s="20"/>
      <c r="C688" s="16"/>
      <c r="D688" s="16"/>
      <c r="E688" s="16"/>
      <c r="F688" s="20"/>
      <c r="G688" s="16"/>
      <c r="H688" s="26"/>
      <c r="I688" s="8"/>
      <c r="J688" s="51"/>
      <c r="K688" s="103"/>
      <c r="L688" s="104"/>
      <c r="M688" s="104"/>
      <c r="N688" s="104"/>
      <c r="O688" s="104"/>
      <c r="P688" s="54"/>
      <c r="Q688" s="20"/>
      <c r="R688" s="76"/>
      <c r="S688" s="76"/>
      <c r="T688" s="76"/>
      <c r="U688" s="76"/>
      <c r="V688" s="76"/>
      <c r="W688" s="76"/>
      <c r="X688" s="76"/>
      <c r="Y688" s="76"/>
      <c r="Z688" s="76"/>
      <c r="AA688" s="76"/>
      <c r="AB688" s="76"/>
      <c r="AC688" s="76"/>
    </row>
    <row r="689" spans="1:29">
      <c r="A689" s="35"/>
      <c r="B689" s="20"/>
      <c r="C689" s="16"/>
      <c r="D689" s="16"/>
      <c r="E689" s="16"/>
      <c r="F689" s="20"/>
      <c r="G689" s="16"/>
      <c r="H689" s="26"/>
      <c r="I689" s="8"/>
      <c r="J689" s="51"/>
      <c r="K689" s="103"/>
      <c r="L689" s="104"/>
      <c r="M689" s="104"/>
      <c r="N689" s="104"/>
      <c r="O689" s="104"/>
      <c r="P689" s="54"/>
      <c r="Q689" s="20"/>
      <c r="R689" s="76"/>
      <c r="S689" s="76"/>
      <c r="T689" s="76"/>
      <c r="U689" s="76"/>
      <c r="V689" s="76"/>
      <c r="W689" s="76"/>
      <c r="X689" s="76"/>
      <c r="Y689" s="76"/>
      <c r="Z689" s="76"/>
      <c r="AA689" s="76"/>
      <c r="AB689" s="76"/>
      <c r="AC689" s="76"/>
    </row>
    <row r="690" spans="1:29">
      <c r="A690" s="35"/>
      <c r="B690" s="20"/>
      <c r="C690" s="16"/>
      <c r="D690" s="16"/>
      <c r="E690" s="16"/>
      <c r="F690" s="20"/>
      <c r="G690" s="16"/>
      <c r="H690" s="26"/>
      <c r="I690" s="8"/>
      <c r="J690" s="51"/>
      <c r="K690" s="103"/>
      <c r="L690" s="104"/>
      <c r="M690" s="104"/>
      <c r="N690" s="104"/>
      <c r="O690" s="104"/>
      <c r="P690" s="54"/>
      <c r="Q690" s="20"/>
      <c r="R690" s="76"/>
      <c r="S690" s="76"/>
      <c r="T690" s="76"/>
      <c r="U690" s="76"/>
      <c r="V690" s="76"/>
      <c r="W690" s="76"/>
      <c r="X690" s="76"/>
      <c r="Y690" s="76"/>
      <c r="Z690" s="76"/>
      <c r="AA690" s="76"/>
      <c r="AB690" s="76"/>
      <c r="AC690" s="76"/>
    </row>
    <row r="691" spans="1:29">
      <c r="A691" s="35"/>
      <c r="B691" s="20"/>
      <c r="C691" s="16"/>
      <c r="D691" s="16"/>
      <c r="E691" s="16"/>
      <c r="F691" s="20"/>
      <c r="G691" s="16"/>
      <c r="H691" s="26"/>
      <c r="I691" s="8"/>
      <c r="J691" s="51"/>
      <c r="K691" s="103"/>
      <c r="L691" s="104"/>
      <c r="M691" s="104"/>
      <c r="N691" s="104"/>
      <c r="O691" s="104"/>
      <c r="P691" s="54"/>
      <c r="Q691" s="20"/>
      <c r="R691" s="76"/>
      <c r="S691" s="76"/>
      <c r="T691" s="76"/>
      <c r="U691" s="76"/>
      <c r="V691" s="76"/>
      <c r="W691" s="76"/>
      <c r="X691" s="76"/>
      <c r="Y691" s="76"/>
      <c r="Z691" s="76"/>
      <c r="AA691" s="76"/>
      <c r="AB691" s="76"/>
      <c r="AC691" s="76"/>
    </row>
    <row r="692" spans="1:29">
      <c r="A692" s="35"/>
      <c r="B692" s="20"/>
      <c r="C692" s="16"/>
      <c r="D692" s="16"/>
      <c r="E692" s="16"/>
      <c r="F692" s="20"/>
      <c r="G692" s="16"/>
      <c r="H692" s="26"/>
      <c r="I692" s="8"/>
      <c r="J692" s="51"/>
      <c r="K692" s="103"/>
      <c r="L692" s="104"/>
      <c r="M692" s="104"/>
      <c r="N692" s="104"/>
      <c r="O692" s="104"/>
      <c r="P692" s="54"/>
      <c r="Q692" s="20"/>
      <c r="R692" s="76"/>
      <c r="S692" s="76"/>
      <c r="T692" s="76"/>
      <c r="U692" s="76"/>
      <c r="V692" s="76"/>
      <c r="W692" s="76"/>
      <c r="X692" s="76"/>
      <c r="Y692" s="76"/>
      <c r="Z692" s="76"/>
      <c r="AA692" s="76"/>
      <c r="AB692" s="76"/>
      <c r="AC692" s="76"/>
    </row>
    <row r="693" spans="1:29">
      <c r="A693" s="35"/>
      <c r="B693" s="20"/>
      <c r="C693" s="16"/>
      <c r="D693" s="16"/>
      <c r="E693" s="16"/>
      <c r="F693" s="20"/>
      <c r="G693" s="16"/>
      <c r="H693" s="26"/>
      <c r="I693" s="8"/>
      <c r="J693" s="51"/>
      <c r="K693" s="103"/>
      <c r="L693" s="104"/>
      <c r="M693" s="104"/>
      <c r="N693" s="104"/>
      <c r="O693" s="104"/>
      <c r="P693" s="54"/>
      <c r="Q693" s="20"/>
      <c r="R693" s="76"/>
      <c r="S693" s="76"/>
      <c r="T693" s="76"/>
      <c r="U693" s="76"/>
      <c r="V693" s="76"/>
      <c r="W693" s="76"/>
      <c r="X693" s="76"/>
      <c r="Y693" s="76"/>
      <c r="Z693" s="76"/>
      <c r="AA693" s="76"/>
      <c r="AB693" s="76"/>
      <c r="AC693" s="76"/>
    </row>
    <row r="694" spans="1:29">
      <c r="A694" s="35"/>
      <c r="B694" s="20"/>
      <c r="C694" s="16"/>
      <c r="D694" s="16"/>
      <c r="E694" s="16"/>
      <c r="F694" s="20"/>
      <c r="G694" s="16"/>
      <c r="H694" s="26"/>
      <c r="I694" s="8"/>
      <c r="J694" s="51"/>
      <c r="K694" s="103"/>
      <c r="L694" s="104"/>
      <c r="M694" s="104"/>
      <c r="N694" s="104"/>
      <c r="O694" s="104"/>
      <c r="P694" s="54"/>
      <c r="Q694" s="20"/>
      <c r="R694" s="76"/>
      <c r="S694" s="76"/>
      <c r="T694" s="76"/>
      <c r="U694" s="76"/>
      <c r="V694" s="76"/>
      <c r="W694" s="76"/>
      <c r="X694" s="76"/>
      <c r="Y694" s="76"/>
      <c r="Z694" s="76"/>
      <c r="AA694" s="76"/>
      <c r="AB694" s="76"/>
      <c r="AC694" s="76"/>
    </row>
    <row r="695" spans="1:29">
      <c r="A695" s="35"/>
      <c r="B695" s="20"/>
      <c r="C695" s="16"/>
      <c r="D695" s="16"/>
      <c r="E695" s="16"/>
      <c r="F695" s="20"/>
      <c r="G695" s="16"/>
      <c r="H695" s="26"/>
      <c r="I695" s="8"/>
      <c r="J695" s="51"/>
      <c r="K695" s="103"/>
      <c r="L695" s="104"/>
      <c r="M695" s="104"/>
      <c r="N695" s="104"/>
      <c r="O695" s="104"/>
      <c r="P695" s="54"/>
      <c r="Q695" s="20"/>
      <c r="R695" s="76"/>
      <c r="S695" s="76"/>
      <c r="T695" s="76"/>
      <c r="U695" s="76"/>
      <c r="V695" s="76"/>
      <c r="W695" s="76"/>
      <c r="X695" s="76"/>
      <c r="Y695" s="76"/>
      <c r="Z695" s="76"/>
      <c r="AA695" s="76"/>
      <c r="AB695" s="76"/>
      <c r="AC695" s="76"/>
    </row>
    <row r="696" spans="1:29">
      <c r="A696" s="35"/>
      <c r="B696" s="20"/>
      <c r="C696" s="16"/>
      <c r="D696" s="16"/>
      <c r="E696" s="16"/>
      <c r="F696" s="20"/>
      <c r="G696" s="16"/>
      <c r="H696" s="26"/>
      <c r="I696" s="8"/>
      <c r="J696" s="51"/>
      <c r="K696" s="103"/>
      <c r="L696" s="104"/>
      <c r="M696" s="104"/>
      <c r="N696" s="104"/>
      <c r="O696" s="104"/>
      <c r="P696" s="54"/>
      <c r="Q696" s="20"/>
      <c r="R696" s="76"/>
      <c r="S696" s="76"/>
      <c r="T696" s="76"/>
      <c r="U696" s="76"/>
      <c r="V696" s="76"/>
      <c r="W696" s="76"/>
      <c r="X696" s="76"/>
      <c r="Y696" s="76"/>
      <c r="Z696" s="76"/>
      <c r="AA696" s="76"/>
      <c r="AB696" s="76"/>
      <c r="AC696" s="76"/>
    </row>
    <row r="697" spans="1:29">
      <c r="A697" s="35"/>
      <c r="B697" s="20"/>
      <c r="C697" s="16"/>
      <c r="D697" s="16"/>
      <c r="E697" s="16"/>
      <c r="F697" s="20"/>
      <c r="G697" s="16"/>
      <c r="H697" s="26"/>
      <c r="I697" s="8"/>
      <c r="J697" s="51"/>
      <c r="K697" s="103"/>
      <c r="L697" s="104"/>
      <c r="M697" s="104"/>
      <c r="N697" s="104"/>
      <c r="O697" s="104"/>
      <c r="P697" s="54"/>
      <c r="Q697" s="20"/>
      <c r="R697" s="76"/>
      <c r="S697" s="76"/>
      <c r="T697" s="76"/>
      <c r="U697" s="76"/>
      <c r="V697" s="76"/>
      <c r="W697" s="76"/>
      <c r="X697" s="76"/>
      <c r="Y697" s="76"/>
      <c r="Z697" s="76"/>
      <c r="AA697" s="76"/>
      <c r="AB697" s="76"/>
      <c r="AC697" s="76"/>
    </row>
    <row r="698" spans="1:29">
      <c r="A698" s="35"/>
      <c r="B698" s="20"/>
      <c r="C698" s="16"/>
      <c r="D698" s="16"/>
      <c r="E698" s="16"/>
      <c r="F698" s="20"/>
      <c r="G698" s="16"/>
      <c r="H698" s="26"/>
      <c r="I698" s="8"/>
      <c r="J698" s="51"/>
      <c r="K698" s="103"/>
      <c r="L698" s="104"/>
      <c r="M698" s="104"/>
      <c r="N698" s="104"/>
      <c r="O698" s="104"/>
      <c r="P698" s="54"/>
      <c r="Q698" s="20"/>
      <c r="R698" s="76"/>
      <c r="S698" s="76"/>
      <c r="T698" s="76"/>
      <c r="U698" s="76"/>
      <c r="V698" s="76"/>
      <c r="W698" s="76"/>
      <c r="X698" s="76"/>
      <c r="Y698" s="76"/>
      <c r="Z698" s="76"/>
      <c r="AA698" s="76"/>
      <c r="AB698" s="76"/>
      <c r="AC698" s="76"/>
    </row>
    <row r="699" spans="1:29">
      <c r="A699" s="35"/>
      <c r="B699" s="20"/>
      <c r="C699" s="16"/>
      <c r="D699" s="16"/>
      <c r="E699" s="16"/>
      <c r="F699" s="20"/>
      <c r="G699" s="16"/>
      <c r="H699" s="26"/>
      <c r="I699" s="8"/>
      <c r="J699" s="51"/>
      <c r="K699" s="103"/>
      <c r="L699" s="104"/>
      <c r="M699" s="104"/>
      <c r="N699" s="104"/>
      <c r="O699" s="104"/>
      <c r="P699" s="54"/>
      <c r="Q699" s="20"/>
      <c r="R699" s="76"/>
      <c r="S699" s="76"/>
      <c r="T699" s="76"/>
      <c r="U699" s="76"/>
      <c r="V699" s="76"/>
      <c r="W699" s="76"/>
      <c r="X699" s="76"/>
      <c r="Y699" s="76"/>
      <c r="Z699" s="76"/>
      <c r="AA699" s="76"/>
      <c r="AB699" s="76"/>
      <c r="AC699" s="76"/>
    </row>
    <row r="700" spans="1:29">
      <c r="A700" s="35"/>
      <c r="B700" s="20"/>
      <c r="C700" s="16"/>
      <c r="D700" s="16"/>
      <c r="E700" s="16"/>
      <c r="F700" s="20"/>
      <c r="G700" s="16"/>
      <c r="H700" s="26"/>
      <c r="I700" s="8"/>
      <c r="J700" s="51"/>
      <c r="K700" s="103"/>
      <c r="L700" s="104"/>
      <c r="M700" s="104"/>
      <c r="N700" s="104"/>
      <c r="O700" s="104"/>
      <c r="P700" s="54"/>
      <c r="Q700" s="20"/>
      <c r="R700" s="76"/>
      <c r="S700" s="76"/>
      <c r="T700" s="76"/>
      <c r="U700" s="76"/>
      <c r="V700" s="76"/>
      <c r="W700" s="76"/>
      <c r="X700" s="76"/>
      <c r="Y700" s="76"/>
      <c r="Z700" s="76"/>
      <c r="AA700" s="76"/>
      <c r="AB700" s="76"/>
      <c r="AC700" s="76"/>
    </row>
    <row r="701" spans="1:29">
      <c r="A701" s="35"/>
      <c r="B701" s="20"/>
      <c r="C701" s="16"/>
      <c r="D701" s="16"/>
      <c r="E701" s="16"/>
      <c r="F701" s="20"/>
      <c r="G701" s="16"/>
      <c r="H701" s="26"/>
      <c r="I701" s="8"/>
      <c r="J701" s="51"/>
      <c r="K701" s="103"/>
      <c r="L701" s="104"/>
      <c r="M701" s="104"/>
      <c r="N701" s="104"/>
      <c r="O701" s="104"/>
      <c r="P701" s="54"/>
      <c r="Q701" s="20"/>
      <c r="R701" s="76"/>
      <c r="S701" s="76"/>
      <c r="T701" s="76"/>
      <c r="U701" s="76"/>
      <c r="V701" s="76"/>
      <c r="W701" s="76"/>
      <c r="X701" s="76"/>
      <c r="Y701" s="76"/>
      <c r="Z701" s="76"/>
      <c r="AA701" s="76"/>
      <c r="AB701" s="76"/>
      <c r="AC701" s="76"/>
    </row>
    <row r="702" spans="1:29">
      <c r="A702" s="35"/>
      <c r="B702" s="20"/>
      <c r="C702" s="16"/>
      <c r="D702" s="16"/>
      <c r="E702" s="16"/>
      <c r="F702" s="20"/>
      <c r="G702" s="16"/>
      <c r="H702" s="26"/>
      <c r="I702" s="8"/>
      <c r="J702" s="51"/>
      <c r="K702" s="103"/>
      <c r="L702" s="104"/>
      <c r="M702" s="104"/>
      <c r="N702" s="104"/>
      <c r="O702" s="104"/>
      <c r="P702" s="54"/>
      <c r="Q702" s="20"/>
      <c r="R702" s="76"/>
      <c r="S702" s="76"/>
      <c r="T702" s="76"/>
      <c r="U702" s="76"/>
      <c r="V702" s="76"/>
      <c r="W702" s="76"/>
      <c r="X702" s="76"/>
      <c r="Y702" s="76"/>
      <c r="Z702" s="76"/>
      <c r="AA702" s="76"/>
      <c r="AB702" s="76"/>
      <c r="AC702" s="76"/>
    </row>
    <row r="703" spans="1:29">
      <c r="A703" s="35"/>
      <c r="B703" s="20"/>
      <c r="C703" s="16"/>
      <c r="D703" s="16"/>
      <c r="E703" s="16"/>
      <c r="F703" s="20"/>
      <c r="G703" s="16"/>
      <c r="H703" s="26"/>
      <c r="I703" s="8"/>
      <c r="J703" s="51"/>
      <c r="K703" s="103"/>
      <c r="L703" s="104"/>
      <c r="M703" s="104"/>
      <c r="N703" s="104"/>
      <c r="O703" s="104"/>
      <c r="P703" s="54"/>
      <c r="Q703" s="20"/>
      <c r="R703" s="76"/>
      <c r="S703" s="76"/>
      <c r="T703" s="76"/>
      <c r="U703" s="76"/>
      <c r="V703" s="76"/>
      <c r="W703" s="76"/>
      <c r="X703" s="76"/>
      <c r="Y703" s="76"/>
      <c r="Z703" s="76"/>
      <c r="AA703" s="76"/>
      <c r="AB703" s="76"/>
      <c r="AC703" s="76"/>
    </row>
    <row r="704" spans="1:29">
      <c r="A704" s="35"/>
      <c r="B704" s="20"/>
      <c r="C704" s="16"/>
      <c r="D704" s="16"/>
      <c r="E704" s="16"/>
      <c r="F704" s="20"/>
      <c r="G704" s="16"/>
      <c r="H704" s="26"/>
      <c r="I704" s="8"/>
      <c r="J704" s="51"/>
      <c r="K704" s="103"/>
      <c r="L704" s="104"/>
      <c r="M704" s="104"/>
      <c r="N704" s="104"/>
      <c r="O704" s="104"/>
      <c r="P704" s="54"/>
      <c r="Q704" s="20"/>
      <c r="R704" s="76"/>
      <c r="S704" s="76"/>
      <c r="T704" s="76"/>
      <c r="U704" s="76"/>
      <c r="V704" s="76"/>
      <c r="W704" s="76"/>
      <c r="X704" s="76"/>
      <c r="Y704" s="76"/>
      <c r="Z704" s="76"/>
      <c r="AA704" s="76"/>
      <c r="AB704" s="76"/>
      <c r="AC704" s="76"/>
    </row>
    <row r="705" spans="1:29">
      <c r="A705" s="35"/>
      <c r="B705" s="20"/>
      <c r="C705" s="16"/>
      <c r="D705" s="16"/>
      <c r="E705" s="16"/>
      <c r="F705" s="20"/>
      <c r="G705" s="16"/>
      <c r="H705" s="26"/>
      <c r="I705" s="8"/>
      <c r="J705" s="51"/>
      <c r="K705" s="103"/>
      <c r="L705" s="104"/>
      <c r="M705" s="104"/>
      <c r="N705" s="104"/>
      <c r="O705" s="104"/>
      <c r="P705" s="54"/>
      <c r="Q705" s="20"/>
      <c r="R705" s="76"/>
      <c r="S705" s="76"/>
      <c r="T705" s="76"/>
      <c r="U705" s="76"/>
      <c r="V705" s="76"/>
      <c r="W705" s="76"/>
      <c r="X705" s="76"/>
      <c r="Y705" s="76"/>
      <c r="Z705" s="76"/>
      <c r="AA705" s="76"/>
      <c r="AB705" s="76"/>
      <c r="AC705" s="76"/>
    </row>
    <row r="706" spans="1:29">
      <c r="A706" s="35"/>
      <c r="B706" s="20"/>
      <c r="C706" s="16"/>
      <c r="D706" s="16"/>
      <c r="E706" s="16"/>
      <c r="F706" s="20"/>
      <c r="G706" s="16"/>
      <c r="H706" s="26"/>
      <c r="I706" s="8"/>
      <c r="J706" s="51"/>
      <c r="K706" s="103"/>
      <c r="L706" s="104"/>
      <c r="M706" s="104"/>
      <c r="N706" s="104"/>
      <c r="O706" s="104"/>
      <c r="P706" s="54"/>
      <c r="Q706" s="20"/>
      <c r="R706" s="76"/>
      <c r="S706" s="76"/>
      <c r="T706" s="76"/>
      <c r="U706" s="76"/>
      <c r="V706" s="76"/>
      <c r="W706" s="76"/>
      <c r="X706" s="76"/>
      <c r="Y706" s="76"/>
      <c r="Z706" s="76"/>
      <c r="AA706" s="76"/>
      <c r="AB706" s="76"/>
      <c r="AC706" s="76"/>
    </row>
    <row r="707" spans="1:29">
      <c r="A707" s="35"/>
      <c r="B707" s="20"/>
      <c r="C707" s="16"/>
      <c r="D707" s="16"/>
      <c r="E707" s="16"/>
      <c r="F707" s="20"/>
      <c r="G707" s="16"/>
      <c r="H707" s="26"/>
      <c r="I707" s="8"/>
      <c r="J707" s="51"/>
      <c r="K707" s="103"/>
      <c r="L707" s="104"/>
      <c r="M707" s="104"/>
      <c r="N707" s="104"/>
      <c r="O707" s="104"/>
      <c r="P707" s="54"/>
      <c r="Q707" s="20"/>
      <c r="R707" s="76"/>
      <c r="S707" s="76"/>
      <c r="T707" s="76"/>
      <c r="U707" s="76"/>
      <c r="V707" s="76"/>
      <c r="W707" s="76"/>
      <c r="X707" s="76"/>
      <c r="Y707" s="76"/>
      <c r="Z707" s="76"/>
      <c r="AA707" s="76"/>
      <c r="AB707" s="76"/>
      <c r="AC707" s="76"/>
    </row>
    <row r="708" spans="1:29">
      <c r="A708" s="35"/>
      <c r="B708" s="20"/>
      <c r="C708" s="16"/>
      <c r="D708" s="16"/>
      <c r="E708" s="16"/>
      <c r="F708" s="20"/>
      <c r="G708" s="16"/>
      <c r="H708" s="26"/>
      <c r="I708" s="8"/>
      <c r="J708" s="51"/>
      <c r="K708" s="103"/>
      <c r="L708" s="104"/>
      <c r="M708" s="104"/>
      <c r="N708" s="104"/>
      <c r="O708" s="104"/>
      <c r="P708" s="54"/>
      <c r="Q708" s="20"/>
      <c r="R708" s="76"/>
      <c r="S708" s="76"/>
      <c r="T708" s="76"/>
      <c r="U708" s="76"/>
      <c r="V708" s="76"/>
      <c r="W708" s="76"/>
      <c r="X708" s="76"/>
      <c r="Y708" s="76"/>
      <c r="Z708" s="76"/>
      <c r="AA708" s="76"/>
      <c r="AB708" s="76"/>
      <c r="AC708" s="76"/>
    </row>
    <row r="709" spans="1:29">
      <c r="A709" s="35"/>
      <c r="B709" s="20"/>
      <c r="C709" s="16"/>
      <c r="D709" s="16"/>
      <c r="E709" s="16"/>
      <c r="F709" s="20"/>
      <c r="G709" s="16"/>
      <c r="H709" s="26"/>
      <c r="I709" s="8"/>
      <c r="J709" s="51"/>
      <c r="K709" s="103"/>
      <c r="L709" s="104"/>
      <c r="M709" s="104"/>
      <c r="N709" s="104"/>
      <c r="O709" s="104"/>
      <c r="P709" s="54"/>
      <c r="Q709" s="20"/>
      <c r="R709" s="76"/>
      <c r="S709" s="76"/>
      <c r="T709" s="76"/>
      <c r="U709" s="76"/>
      <c r="V709" s="76"/>
      <c r="W709" s="76"/>
      <c r="X709" s="76"/>
      <c r="Y709" s="76"/>
      <c r="Z709" s="76"/>
      <c r="AA709" s="76"/>
      <c r="AB709" s="76"/>
      <c r="AC709" s="76"/>
    </row>
    <row r="710" spans="1:29">
      <c r="A710" s="35"/>
      <c r="B710" s="20"/>
      <c r="C710" s="16"/>
      <c r="D710" s="16"/>
      <c r="E710" s="16"/>
      <c r="F710" s="20"/>
      <c r="G710" s="16"/>
      <c r="H710" s="26"/>
      <c r="I710" s="8"/>
      <c r="J710" s="51"/>
      <c r="K710" s="103"/>
      <c r="L710" s="104"/>
      <c r="M710" s="104"/>
      <c r="N710" s="104"/>
      <c r="O710" s="104"/>
      <c r="P710" s="54"/>
      <c r="Q710" s="20"/>
      <c r="R710" s="76"/>
      <c r="S710" s="76"/>
      <c r="T710" s="76"/>
      <c r="U710" s="76"/>
      <c r="V710" s="76"/>
      <c r="W710" s="76"/>
      <c r="X710" s="76"/>
      <c r="Y710" s="76"/>
      <c r="Z710" s="76"/>
      <c r="AA710" s="76"/>
      <c r="AB710" s="76"/>
      <c r="AC710" s="76"/>
    </row>
    <row r="711" spans="1:29">
      <c r="A711" s="35"/>
      <c r="B711" s="20"/>
      <c r="C711" s="16"/>
      <c r="D711" s="16"/>
      <c r="E711" s="16"/>
      <c r="F711" s="20"/>
      <c r="G711" s="16"/>
      <c r="H711" s="26"/>
      <c r="I711" s="8"/>
      <c r="J711" s="51"/>
      <c r="K711" s="103"/>
      <c r="L711" s="104"/>
      <c r="M711" s="104"/>
      <c r="N711" s="104"/>
      <c r="O711" s="104"/>
      <c r="P711" s="54"/>
      <c r="Q711" s="20"/>
      <c r="R711" s="76"/>
      <c r="S711" s="76"/>
      <c r="T711" s="76"/>
      <c r="U711" s="76"/>
      <c r="V711" s="76"/>
      <c r="W711" s="76"/>
      <c r="X711" s="76"/>
      <c r="Y711" s="76"/>
      <c r="Z711" s="76"/>
      <c r="AA711" s="76"/>
      <c r="AB711" s="76"/>
      <c r="AC711" s="76"/>
    </row>
    <row r="712" spans="1:29">
      <c r="A712" s="35"/>
      <c r="B712" s="20"/>
      <c r="C712" s="16"/>
      <c r="D712" s="16"/>
      <c r="E712" s="16"/>
      <c r="F712" s="20"/>
      <c r="G712" s="16"/>
      <c r="H712" s="26"/>
      <c r="I712" s="8"/>
      <c r="J712" s="51"/>
      <c r="K712" s="103"/>
      <c r="L712" s="104"/>
      <c r="M712" s="104"/>
      <c r="N712" s="104"/>
      <c r="O712" s="104"/>
      <c r="P712" s="54"/>
      <c r="Q712" s="20"/>
      <c r="R712" s="76"/>
      <c r="S712" s="76"/>
      <c r="T712" s="76"/>
      <c r="U712" s="76"/>
      <c r="V712" s="76"/>
      <c r="W712" s="76"/>
      <c r="X712" s="76"/>
      <c r="Y712" s="76"/>
      <c r="Z712" s="76"/>
      <c r="AA712" s="76"/>
      <c r="AB712" s="76"/>
      <c r="AC712" s="76"/>
    </row>
    <row r="713" spans="1:29">
      <c r="A713" s="35"/>
      <c r="B713" s="20"/>
      <c r="C713" s="16"/>
      <c r="D713" s="16"/>
      <c r="E713" s="16"/>
      <c r="F713" s="20"/>
      <c r="G713" s="16"/>
      <c r="H713" s="26"/>
      <c r="I713" s="8"/>
      <c r="J713" s="51"/>
      <c r="K713" s="103"/>
      <c r="L713" s="104"/>
      <c r="M713" s="104"/>
      <c r="N713" s="104"/>
      <c r="O713" s="104"/>
      <c r="P713" s="54"/>
      <c r="Q713" s="20"/>
      <c r="R713" s="76"/>
      <c r="S713" s="76"/>
      <c r="T713" s="76"/>
      <c r="U713" s="76"/>
      <c r="V713" s="76"/>
      <c r="W713" s="76"/>
      <c r="X713" s="76"/>
      <c r="Y713" s="76"/>
      <c r="Z713" s="76"/>
      <c r="AA713" s="76"/>
      <c r="AB713" s="76"/>
      <c r="AC713" s="76"/>
    </row>
    <row r="714" spans="1:29">
      <c r="A714" s="35"/>
      <c r="B714" s="20"/>
      <c r="C714" s="16"/>
      <c r="D714" s="16"/>
      <c r="E714" s="16"/>
      <c r="F714" s="20"/>
      <c r="G714" s="16"/>
      <c r="H714" s="26"/>
      <c r="I714" s="8"/>
      <c r="J714" s="51"/>
      <c r="K714" s="103"/>
      <c r="L714" s="104"/>
      <c r="M714" s="104"/>
      <c r="N714" s="104"/>
      <c r="O714" s="104"/>
      <c r="P714" s="54"/>
      <c r="Q714" s="20"/>
      <c r="R714" s="76"/>
      <c r="S714" s="76"/>
      <c r="T714" s="76"/>
      <c r="U714" s="76"/>
      <c r="V714" s="76"/>
      <c r="W714" s="76"/>
      <c r="X714" s="76"/>
      <c r="Y714" s="76"/>
      <c r="Z714" s="76"/>
      <c r="AA714" s="76"/>
      <c r="AB714" s="76"/>
      <c r="AC714" s="76"/>
    </row>
    <row r="715" spans="1:29">
      <c r="A715" s="35"/>
      <c r="B715" s="20"/>
      <c r="C715" s="16"/>
      <c r="D715" s="16"/>
      <c r="E715" s="16"/>
      <c r="F715" s="20"/>
      <c r="G715" s="16"/>
      <c r="H715" s="26"/>
      <c r="I715" s="8"/>
      <c r="J715" s="51"/>
      <c r="K715" s="103"/>
      <c r="L715" s="104"/>
      <c r="M715" s="104"/>
      <c r="N715" s="104"/>
      <c r="O715" s="104"/>
      <c r="P715" s="54"/>
      <c r="Q715" s="20"/>
      <c r="R715" s="76"/>
      <c r="S715" s="76"/>
      <c r="T715" s="76"/>
      <c r="U715" s="76"/>
      <c r="V715" s="76"/>
      <c r="W715" s="76"/>
      <c r="X715" s="76"/>
      <c r="Y715" s="76"/>
      <c r="Z715" s="76"/>
      <c r="AA715" s="76"/>
      <c r="AB715" s="76"/>
      <c r="AC715" s="76"/>
    </row>
    <row r="716" spans="1:29">
      <c r="A716" s="35"/>
      <c r="B716" s="20"/>
      <c r="C716" s="16"/>
      <c r="D716" s="16"/>
      <c r="E716" s="16"/>
      <c r="F716" s="20"/>
      <c r="G716" s="16"/>
      <c r="H716" s="26"/>
      <c r="I716" s="8"/>
      <c r="J716" s="51"/>
      <c r="K716" s="103"/>
      <c r="L716" s="104"/>
      <c r="M716" s="104"/>
      <c r="N716" s="104"/>
      <c r="O716" s="104"/>
      <c r="P716" s="54"/>
      <c r="Q716" s="20"/>
      <c r="R716" s="76"/>
      <c r="S716" s="76"/>
      <c r="T716" s="76"/>
      <c r="U716" s="76"/>
      <c r="V716" s="76"/>
      <c r="W716" s="76"/>
      <c r="X716" s="76"/>
      <c r="Y716" s="76"/>
      <c r="Z716" s="76"/>
      <c r="AA716" s="76"/>
      <c r="AB716" s="76"/>
      <c r="AC716" s="76"/>
    </row>
    <row r="717" spans="1:29">
      <c r="A717" s="35"/>
      <c r="B717" s="20"/>
      <c r="C717" s="16"/>
      <c r="D717" s="16"/>
      <c r="E717" s="16"/>
      <c r="F717" s="20"/>
      <c r="G717" s="16"/>
      <c r="H717" s="26"/>
      <c r="I717" s="8"/>
      <c r="J717" s="51"/>
      <c r="K717" s="103"/>
      <c r="L717" s="104"/>
      <c r="M717" s="104"/>
      <c r="N717" s="104"/>
      <c r="O717" s="104"/>
      <c r="P717" s="54"/>
      <c r="Q717" s="20"/>
      <c r="R717" s="76"/>
      <c r="S717" s="76"/>
      <c r="T717" s="76"/>
      <c r="U717" s="76"/>
      <c r="V717" s="76"/>
      <c r="W717" s="76"/>
      <c r="X717" s="76"/>
      <c r="Y717" s="76"/>
      <c r="Z717" s="76"/>
      <c r="AA717" s="76"/>
      <c r="AB717" s="76"/>
      <c r="AC717" s="76"/>
    </row>
    <row r="718" spans="1:29">
      <c r="A718" s="35"/>
      <c r="B718" s="20"/>
      <c r="C718" s="16"/>
      <c r="D718" s="16"/>
      <c r="E718" s="16"/>
      <c r="F718" s="20"/>
      <c r="G718" s="16"/>
      <c r="H718" s="26"/>
      <c r="I718" s="8"/>
      <c r="J718" s="51"/>
      <c r="K718" s="103"/>
      <c r="L718" s="104"/>
      <c r="M718" s="104"/>
      <c r="N718" s="104"/>
      <c r="O718" s="104"/>
      <c r="P718" s="54"/>
      <c r="Q718" s="20"/>
      <c r="R718" s="76"/>
      <c r="S718" s="76"/>
      <c r="T718" s="76"/>
      <c r="U718" s="76"/>
      <c r="V718" s="76"/>
      <c r="W718" s="76"/>
      <c r="X718" s="76"/>
      <c r="Y718" s="76"/>
      <c r="Z718" s="76"/>
      <c r="AA718" s="76"/>
      <c r="AB718" s="76"/>
      <c r="AC718" s="76"/>
    </row>
    <row r="719" spans="1:29">
      <c r="A719" s="35"/>
      <c r="B719" s="20"/>
      <c r="C719" s="16"/>
      <c r="D719" s="16"/>
      <c r="E719" s="16"/>
      <c r="F719" s="20"/>
      <c r="G719" s="16"/>
      <c r="H719" s="26"/>
      <c r="I719" s="8"/>
      <c r="J719" s="51"/>
      <c r="K719" s="103"/>
      <c r="L719" s="104"/>
      <c r="M719" s="104"/>
      <c r="N719" s="104"/>
      <c r="O719" s="104"/>
      <c r="P719" s="54"/>
      <c r="Q719" s="20"/>
      <c r="R719" s="76"/>
      <c r="S719" s="76"/>
      <c r="T719" s="76"/>
      <c r="U719" s="76"/>
      <c r="V719" s="76"/>
      <c r="W719" s="76"/>
      <c r="X719" s="76"/>
      <c r="Y719" s="76"/>
      <c r="Z719" s="76"/>
      <c r="AA719" s="76"/>
      <c r="AB719" s="76"/>
      <c r="AC719" s="76"/>
    </row>
    <row r="720" spans="1:29">
      <c r="A720" s="35"/>
      <c r="B720" s="20"/>
      <c r="C720" s="16"/>
      <c r="D720" s="16"/>
      <c r="E720" s="16"/>
      <c r="F720" s="20"/>
      <c r="G720" s="16"/>
      <c r="H720" s="26"/>
      <c r="I720" s="8"/>
      <c r="J720" s="51"/>
      <c r="K720" s="103"/>
      <c r="L720" s="104"/>
      <c r="M720" s="104"/>
      <c r="N720" s="104"/>
      <c r="O720" s="104"/>
      <c r="P720" s="54"/>
      <c r="Q720" s="20"/>
      <c r="R720" s="76"/>
      <c r="S720" s="76"/>
      <c r="T720" s="76"/>
      <c r="U720" s="76"/>
      <c r="V720" s="76"/>
      <c r="W720" s="76"/>
      <c r="X720" s="76"/>
      <c r="Y720" s="76"/>
      <c r="Z720" s="76"/>
      <c r="AA720" s="76"/>
      <c r="AB720" s="76"/>
      <c r="AC720" s="76"/>
    </row>
    <row r="721" spans="1:29">
      <c r="A721" s="35"/>
      <c r="B721" s="20"/>
      <c r="C721" s="16"/>
      <c r="D721" s="16"/>
      <c r="E721" s="16"/>
      <c r="F721" s="20"/>
      <c r="G721" s="16"/>
      <c r="H721" s="26"/>
      <c r="I721" s="8"/>
      <c r="J721" s="51"/>
      <c r="K721" s="103"/>
      <c r="L721" s="104"/>
      <c r="M721" s="104"/>
      <c r="N721" s="104"/>
      <c r="O721" s="104"/>
      <c r="P721" s="54"/>
      <c r="Q721" s="20"/>
      <c r="R721" s="76"/>
      <c r="S721" s="76"/>
      <c r="T721" s="76"/>
      <c r="U721" s="76"/>
      <c r="V721" s="76"/>
      <c r="W721" s="76"/>
      <c r="X721" s="76"/>
      <c r="Y721" s="76"/>
      <c r="Z721" s="76"/>
      <c r="AA721" s="76"/>
      <c r="AB721" s="76"/>
      <c r="AC721" s="76"/>
    </row>
    <row r="722" spans="1:29">
      <c r="A722" s="35"/>
      <c r="B722" s="20"/>
      <c r="C722" s="16"/>
      <c r="D722" s="16"/>
      <c r="E722" s="16"/>
      <c r="F722" s="20"/>
      <c r="G722" s="16"/>
      <c r="H722" s="26"/>
      <c r="I722" s="8"/>
      <c r="J722" s="51"/>
      <c r="K722" s="103"/>
      <c r="L722" s="104"/>
      <c r="M722" s="104"/>
      <c r="N722" s="104"/>
      <c r="O722" s="104"/>
      <c r="P722" s="54"/>
      <c r="Q722" s="20"/>
      <c r="R722" s="76"/>
      <c r="S722" s="76"/>
      <c r="T722" s="76"/>
      <c r="U722" s="76"/>
      <c r="V722" s="76"/>
      <c r="W722" s="76"/>
      <c r="X722" s="76"/>
      <c r="Y722" s="76"/>
      <c r="Z722" s="76"/>
      <c r="AA722" s="76"/>
      <c r="AB722" s="76"/>
      <c r="AC722" s="76"/>
    </row>
    <row r="723" spans="1:29">
      <c r="A723" s="35"/>
      <c r="B723" s="20"/>
      <c r="C723" s="16"/>
      <c r="D723" s="16"/>
      <c r="E723" s="16"/>
      <c r="F723" s="20"/>
      <c r="G723" s="16"/>
      <c r="H723" s="26"/>
      <c r="I723" s="8"/>
      <c r="J723" s="51"/>
      <c r="K723" s="103"/>
      <c r="L723" s="104"/>
      <c r="M723" s="104"/>
      <c r="N723" s="104"/>
      <c r="O723" s="104"/>
      <c r="P723" s="54"/>
      <c r="Q723" s="20"/>
      <c r="R723" s="76"/>
      <c r="S723" s="76"/>
      <c r="T723" s="76"/>
      <c r="U723" s="76"/>
      <c r="V723" s="76"/>
      <c r="W723" s="76"/>
      <c r="X723" s="76"/>
      <c r="Y723" s="76"/>
      <c r="Z723" s="76"/>
      <c r="AA723" s="76"/>
      <c r="AB723" s="76"/>
      <c r="AC723" s="76"/>
    </row>
    <row r="724" spans="1:29">
      <c r="A724" s="35"/>
      <c r="B724" s="20"/>
      <c r="C724" s="16"/>
      <c r="D724" s="16"/>
      <c r="E724" s="16"/>
      <c r="F724" s="20"/>
      <c r="G724" s="16"/>
      <c r="H724" s="26"/>
      <c r="I724" s="8"/>
      <c r="J724" s="51"/>
      <c r="K724" s="103"/>
      <c r="L724" s="104"/>
      <c r="M724" s="104"/>
      <c r="N724" s="104"/>
      <c r="O724" s="104"/>
      <c r="P724" s="54"/>
      <c r="Q724" s="20"/>
      <c r="R724" s="76"/>
      <c r="S724" s="76"/>
      <c r="T724" s="76"/>
      <c r="U724" s="76"/>
      <c r="V724" s="76"/>
      <c r="W724" s="76"/>
      <c r="X724" s="76"/>
      <c r="Y724" s="76"/>
      <c r="Z724" s="76"/>
      <c r="AA724" s="76"/>
      <c r="AB724" s="76"/>
      <c r="AC724" s="76"/>
    </row>
    <row r="725" spans="1:29">
      <c r="A725" s="35"/>
      <c r="B725" s="20"/>
      <c r="C725" s="16"/>
      <c r="D725" s="16"/>
      <c r="E725" s="16"/>
      <c r="F725" s="20"/>
      <c r="G725" s="16"/>
      <c r="H725" s="26"/>
      <c r="I725" s="8"/>
      <c r="J725" s="51"/>
      <c r="K725" s="103"/>
      <c r="L725" s="104"/>
      <c r="M725" s="104"/>
      <c r="N725" s="104"/>
      <c r="O725" s="104"/>
      <c r="P725" s="54"/>
      <c r="Q725" s="20"/>
      <c r="R725" s="76"/>
      <c r="S725" s="76"/>
      <c r="T725" s="76"/>
      <c r="U725" s="76"/>
      <c r="V725" s="76"/>
      <c r="W725" s="76"/>
      <c r="X725" s="76"/>
      <c r="Y725" s="76"/>
      <c r="Z725" s="76"/>
      <c r="AA725" s="76"/>
      <c r="AB725" s="76"/>
      <c r="AC725" s="76"/>
    </row>
    <row r="726" spans="1:29">
      <c r="A726" s="35"/>
      <c r="B726" s="20"/>
      <c r="C726" s="16"/>
      <c r="D726" s="16"/>
      <c r="E726" s="16"/>
      <c r="F726" s="20"/>
      <c r="G726" s="16"/>
      <c r="H726" s="26"/>
      <c r="I726" s="8"/>
      <c r="J726" s="51"/>
      <c r="K726" s="103"/>
      <c r="L726" s="104"/>
      <c r="M726" s="104"/>
      <c r="N726" s="104"/>
      <c r="O726" s="104"/>
      <c r="P726" s="54"/>
      <c r="Q726" s="20"/>
      <c r="R726" s="76"/>
      <c r="S726" s="76"/>
      <c r="T726" s="76"/>
      <c r="U726" s="76"/>
      <c r="V726" s="76"/>
      <c r="W726" s="76"/>
      <c r="X726" s="76"/>
      <c r="Y726" s="76"/>
      <c r="Z726" s="76"/>
      <c r="AA726" s="76"/>
      <c r="AB726" s="76"/>
      <c r="AC726" s="76"/>
    </row>
    <row r="727" spans="1:29">
      <c r="A727" s="35"/>
      <c r="B727" s="20"/>
      <c r="C727" s="16"/>
      <c r="D727" s="16"/>
      <c r="E727" s="16"/>
      <c r="F727" s="20"/>
      <c r="G727" s="16"/>
      <c r="H727" s="26"/>
      <c r="I727" s="8"/>
      <c r="J727" s="51"/>
      <c r="K727" s="103"/>
      <c r="L727" s="104"/>
      <c r="M727" s="104"/>
      <c r="N727" s="104"/>
      <c r="O727" s="104"/>
      <c r="P727" s="54"/>
      <c r="Q727" s="20"/>
      <c r="R727" s="76"/>
      <c r="S727" s="76"/>
      <c r="T727" s="76"/>
      <c r="U727" s="76"/>
      <c r="V727" s="76"/>
      <c r="W727" s="76"/>
      <c r="X727" s="76"/>
      <c r="Y727" s="76"/>
      <c r="Z727" s="76"/>
      <c r="AA727" s="76"/>
      <c r="AB727" s="76"/>
      <c r="AC727" s="76"/>
    </row>
    <row r="728" spans="1:29">
      <c r="A728" s="35"/>
      <c r="B728" s="20"/>
      <c r="C728" s="16"/>
      <c r="D728" s="16"/>
      <c r="E728" s="16"/>
      <c r="F728" s="20"/>
      <c r="G728" s="16"/>
      <c r="H728" s="26"/>
      <c r="I728" s="8"/>
      <c r="J728" s="51"/>
      <c r="K728" s="103"/>
      <c r="L728" s="104"/>
      <c r="M728" s="104"/>
      <c r="N728" s="104"/>
      <c r="O728" s="104"/>
      <c r="P728" s="54"/>
      <c r="Q728" s="20"/>
      <c r="R728" s="76"/>
      <c r="S728" s="76"/>
      <c r="T728" s="76"/>
      <c r="U728" s="76"/>
      <c r="V728" s="76"/>
      <c r="W728" s="76"/>
      <c r="X728" s="76"/>
      <c r="Y728" s="76"/>
      <c r="Z728" s="76"/>
      <c r="AA728" s="76"/>
      <c r="AB728" s="76"/>
      <c r="AC728" s="76"/>
    </row>
    <row r="729" spans="1:29">
      <c r="A729" s="35"/>
      <c r="B729" s="20"/>
      <c r="C729" s="16"/>
      <c r="D729" s="16"/>
      <c r="E729" s="16"/>
      <c r="F729" s="20"/>
      <c r="G729" s="16"/>
      <c r="H729" s="26"/>
      <c r="I729" s="8"/>
      <c r="J729" s="51"/>
      <c r="K729" s="103"/>
      <c r="L729" s="104"/>
      <c r="M729" s="104"/>
      <c r="N729" s="104"/>
      <c r="O729" s="104"/>
      <c r="P729" s="54"/>
      <c r="Q729" s="20"/>
      <c r="R729" s="76"/>
      <c r="S729" s="76"/>
      <c r="T729" s="76"/>
      <c r="U729" s="76"/>
      <c r="V729" s="76"/>
      <c r="W729" s="76"/>
      <c r="X729" s="76"/>
      <c r="Y729" s="76"/>
      <c r="Z729" s="76"/>
      <c r="AA729" s="76"/>
      <c r="AB729" s="76"/>
      <c r="AC729" s="76"/>
    </row>
    <row r="730" spans="1:29">
      <c r="A730" s="35"/>
      <c r="B730" s="20"/>
      <c r="C730" s="16"/>
      <c r="D730" s="16"/>
      <c r="E730" s="16"/>
      <c r="F730" s="20"/>
      <c r="G730" s="16"/>
      <c r="H730" s="26"/>
      <c r="I730" s="8"/>
      <c r="J730" s="51"/>
      <c r="K730" s="103"/>
      <c r="L730" s="104"/>
      <c r="M730" s="104"/>
      <c r="N730" s="104"/>
      <c r="O730" s="104"/>
      <c r="P730" s="54"/>
      <c r="Q730" s="20"/>
      <c r="R730" s="76"/>
      <c r="S730" s="76"/>
      <c r="T730" s="76"/>
      <c r="U730" s="76"/>
      <c r="V730" s="76"/>
      <c r="W730" s="76"/>
      <c r="X730" s="76"/>
      <c r="Y730" s="76"/>
      <c r="Z730" s="76"/>
      <c r="AA730" s="76"/>
      <c r="AB730" s="76"/>
      <c r="AC730" s="76"/>
    </row>
    <row r="731" spans="1:29">
      <c r="A731" s="35"/>
      <c r="B731" s="20"/>
      <c r="C731" s="16"/>
      <c r="D731" s="16"/>
      <c r="E731" s="16"/>
      <c r="F731" s="20"/>
      <c r="G731" s="16"/>
      <c r="H731" s="26"/>
      <c r="I731" s="8"/>
      <c r="J731" s="51"/>
      <c r="K731" s="103"/>
      <c r="L731" s="104"/>
      <c r="M731" s="104"/>
      <c r="N731" s="104"/>
      <c r="O731" s="104"/>
      <c r="P731" s="54"/>
      <c r="Q731" s="20"/>
      <c r="R731" s="76"/>
      <c r="S731" s="76"/>
      <c r="T731" s="76"/>
      <c r="U731" s="76"/>
      <c r="V731" s="76"/>
      <c r="W731" s="76"/>
      <c r="X731" s="76"/>
      <c r="Y731" s="76"/>
      <c r="Z731" s="76"/>
      <c r="AA731" s="76"/>
      <c r="AB731" s="76"/>
      <c r="AC731" s="76"/>
    </row>
    <row r="732" spans="1:29">
      <c r="A732" s="35"/>
      <c r="B732" s="20"/>
      <c r="C732" s="16"/>
      <c r="D732" s="16"/>
      <c r="E732" s="16"/>
      <c r="F732" s="20"/>
      <c r="G732" s="16"/>
      <c r="H732" s="26"/>
      <c r="I732" s="8"/>
      <c r="J732" s="51"/>
      <c r="K732" s="103"/>
      <c r="L732" s="104"/>
      <c r="M732" s="104"/>
      <c r="N732" s="104"/>
      <c r="O732" s="104"/>
      <c r="P732" s="54"/>
      <c r="Q732" s="20"/>
      <c r="R732" s="76"/>
      <c r="S732" s="76"/>
      <c r="T732" s="76"/>
      <c r="U732" s="76"/>
      <c r="V732" s="76"/>
      <c r="W732" s="76"/>
      <c r="X732" s="76"/>
      <c r="Y732" s="76"/>
      <c r="Z732" s="76"/>
      <c r="AA732" s="76"/>
      <c r="AB732" s="76"/>
      <c r="AC732" s="76"/>
    </row>
    <row r="733" spans="1:29">
      <c r="A733" s="35"/>
      <c r="B733" s="20"/>
      <c r="C733" s="16"/>
      <c r="D733" s="16"/>
      <c r="E733" s="16"/>
      <c r="F733" s="20"/>
      <c r="G733" s="16"/>
      <c r="H733" s="26"/>
      <c r="I733" s="8"/>
      <c r="J733" s="51"/>
      <c r="K733" s="103"/>
      <c r="L733" s="104"/>
      <c r="M733" s="104"/>
      <c r="N733" s="104"/>
      <c r="O733" s="104"/>
      <c r="P733" s="54"/>
      <c r="Q733" s="20"/>
      <c r="R733" s="76"/>
      <c r="S733" s="76"/>
      <c r="T733" s="76"/>
      <c r="U733" s="76"/>
      <c r="V733" s="76"/>
      <c r="W733" s="76"/>
      <c r="X733" s="76"/>
      <c r="Y733" s="76"/>
      <c r="Z733" s="76"/>
      <c r="AA733" s="76"/>
      <c r="AB733" s="76"/>
      <c r="AC733" s="76"/>
    </row>
    <row r="734" spans="1:29">
      <c r="A734" s="35"/>
      <c r="B734" s="20"/>
      <c r="C734" s="16"/>
      <c r="D734" s="16"/>
      <c r="E734" s="16"/>
      <c r="F734" s="20"/>
      <c r="G734" s="16"/>
      <c r="H734" s="26"/>
      <c r="I734" s="8"/>
      <c r="J734" s="51"/>
      <c r="K734" s="103"/>
      <c r="L734" s="104"/>
      <c r="M734" s="104"/>
      <c r="N734" s="104"/>
      <c r="O734" s="104"/>
      <c r="P734" s="54"/>
      <c r="Q734" s="20"/>
      <c r="R734" s="76"/>
      <c r="S734" s="76"/>
      <c r="T734" s="76"/>
      <c r="U734" s="76"/>
      <c r="V734" s="76"/>
      <c r="W734" s="76"/>
      <c r="X734" s="76"/>
      <c r="Y734" s="76"/>
      <c r="Z734" s="76"/>
      <c r="AA734" s="76"/>
      <c r="AB734" s="76"/>
      <c r="AC734" s="76"/>
    </row>
    <row r="735" spans="1:29">
      <c r="A735" s="35"/>
      <c r="B735" s="20"/>
      <c r="C735" s="16"/>
      <c r="D735" s="16"/>
      <c r="E735" s="16"/>
      <c r="F735" s="20"/>
      <c r="G735" s="16"/>
      <c r="H735" s="26"/>
      <c r="I735" s="8"/>
      <c r="J735" s="51"/>
      <c r="K735" s="103"/>
      <c r="L735" s="104"/>
      <c r="M735" s="104"/>
      <c r="N735" s="104"/>
      <c r="O735" s="104"/>
      <c r="P735" s="54"/>
      <c r="Q735" s="20"/>
      <c r="R735" s="76"/>
      <c r="S735" s="76"/>
      <c r="T735" s="76"/>
      <c r="U735" s="76"/>
      <c r="V735" s="76"/>
      <c r="W735" s="76"/>
      <c r="X735" s="76"/>
      <c r="Y735" s="76"/>
      <c r="Z735" s="76"/>
      <c r="AA735" s="76"/>
      <c r="AB735" s="76"/>
      <c r="AC735" s="76"/>
    </row>
    <row r="736" spans="1:29">
      <c r="A736" s="35"/>
      <c r="B736" s="20"/>
      <c r="C736" s="16"/>
      <c r="D736" s="16"/>
      <c r="E736" s="16"/>
      <c r="F736" s="20"/>
      <c r="G736" s="16"/>
      <c r="H736" s="26"/>
      <c r="I736" s="8"/>
      <c r="J736" s="51"/>
      <c r="K736" s="103"/>
      <c r="L736" s="104"/>
      <c r="M736" s="104"/>
      <c r="N736" s="104"/>
      <c r="O736" s="104"/>
      <c r="P736" s="54"/>
      <c r="Q736" s="20"/>
      <c r="R736" s="76"/>
      <c r="S736" s="76"/>
      <c r="T736" s="76"/>
      <c r="U736" s="76"/>
      <c r="V736" s="76"/>
      <c r="W736" s="76"/>
      <c r="X736" s="76"/>
      <c r="Y736" s="76"/>
      <c r="Z736" s="76"/>
      <c r="AA736" s="76"/>
      <c r="AB736" s="76"/>
      <c r="AC736" s="76"/>
    </row>
    <row r="737" spans="1:29">
      <c r="A737" s="35"/>
      <c r="B737" s="20"/>
      <c r="C737" s="16"/>
      <c r="D737" s="16"/>
      <c r="E737" s="16"/>
      <c r="F737" s="20"/>
      <c r="G737" s="16"/>
      <c r="H737" s="26"/>
      <c r="I737" s="8"/>
      <c r="J737" s="51"/>
      <c r="K737" s="103"/>
      <c r="L737" s="104"/>
      <c r="M737" s="104"/>
      <c r="N737" s="104"/>
      <c r="O737" s="104"/>
      <c r="P737" s="54"/>
      <c r="Q737" s="20"/>
      <c r="R737" s="76"/>
      <c r="S737" s="76"/>
      <c r="T737" s="76"/>
      <c r="U737" s="76"/>
      <c r="V737" s="76"/>
      <c r="W737" s="76"/>
      <c r="X737" s="76"/>
      <c r="Y737" s="76"/>
      <c r="Z737" s="76"/>
      <c r="AA737" s="76"/>
      <c r="AB737" s="76"/>
      <c r="AC737" s="76"/>
    </row>
    <row r="738" spans="1:29">
      <c r="A738" s="35"/>
      <c r="B738" s="20"/>
      <c r="C738" s="16"/>
      <c r="D738" s="16"/>
      <c r="E738" s="16"/>
      <c r="F738" s="20"/>
      <c r="G738" s="16"/>
      <c r="H738" s="26"/>
      <c r="I738" s="8"/>
      <c r="J738" s="51"/>
      <c r="K738" s="103"/>
      <c r="L738" s="104"/>
      <c r="M738" s="104"/>
      <c r="N738" s="104"/>
      <c r="O738" s="104"/>
      <c r="P738" s="54"/>
      <c r="Q738" s="20"/>
      <c r="R738" s="76"/>
      <c r="S738" s="76"/>
      <c r="T738" s="76"/>
      <c r="U738" s="76"/>
      <c r="V738" s="76"/>
      <c r="W738" s="76"/>
      <c r="X738" s="76"/>
      <c r="Y738" s="76"/>
      <c r="Z738" s="76"/>
      <c r="AA738" s="76"/>
      <c r="AB738" s="76"/>
      <c r="AC738" s="76"/>
    </row>
    <row r="739" spans="1:29">
      <c r="A739" s="35"/>
      <c r="B739" s="20"/>
      <c r="C739" s="16"/>
      <c r="D739" s="16"/>
      <c r="E739" s="16"/>
      <c r="F739" s="20"/>
      <c r="G739" s="16"/>
      <c r="H739" s="26"/>
      <c r="I739" s="8"/>
      <c r="J739" s="51"/>
      <c r="K739" s="103"/>
      <c r="L739" s="104"/>
      <c r="M739" s="104"/>
      <c r="N739" s="104"/>
      <c r="O739" s="104"/>
      <c r="P739" s="54"/>
      <c r="Q739" s="20"/>
      <c r="R739" s="76"/>
      <c r="S739" s="76"/>
      <c r="T739" s="76"/>
      <c r="U739" s="76"/>
      <c r="V739" s="76"/>
      <c r="W739" s="76"/>
      <c r="X739" s="76"/>
      <c r="Y739" s="76"/>
      <c r="Z739" s="76"/>
      <c r="AA739" s="76"/>
      <c r="AB739" s="76"/>
      <c r="AC739" s="76"/>
    </row>
    <row r="740" spans="1:29">
      <c r="A740" s="35"/>
      <c r="B740" s="20"/>
      <c r="C740" s="16"/>
      <c r="D740" s="16"/>
      <c r="E740" s="16"/>
      <c r="F740" s="20"/>
      <c r="G740" s="16"/>
      <c r="H740" s="26"/>
      <c r="I740" s="8"/>
      <c r="J740" s="51"/>
      <c r="K740" s="103"/>
      <c r="L740" s="104"/>
      <c r="M740" s="104"/>
      <c r="N740" s="104"/>
      <c r="O740" s="104"/>
      <c r="P740" s="54"/>
      <c r="Q740" s="20"/>
      <c r="R740" s="76"/>
      <c r="S740" s="76"/>
      <c r="T740" s="76"/>
      <c r="U740" s="76"/>
      <c r="V740" s="76"/>
      <c r="W740" s="76"/>
      <c r="X740" s="76"/>
      <c r="Y740" s="76"/>
      <c r="Z740" s="76"/>
      <c r="AA740" s="76"/>
      <c r="AB740" s="76"/>
      <c r="AC740" s="76"/>
    </row>
    <row r="741" spans="1:29">
      <c r="A741" s="35"/>
      <c r="B741" s="20"/>
      <c r="C741" s="16"/>
      <c r="D741" s="16"/>
      <c r="E741" s="16"/>
      <c r="F741" s="20"/>
      <c r="G741" s="16"/>
      <c r="H741" s="26"/>
      <c r="I741" s="8"/>
      <c r="J741" s="51"/>
      <c r="K741" s="103"/>
      <c r="L741" s="104"/>
      <c r="M741" s="104"/>
      <c r="N741" s="104"/>
      <c r="O741" s="104"/>
      <c r="P741" s="54"/>
      <c r="Q741" s="20"/>
      <c r="R741" s="76"/>
      <c r="S741" s="76"/>
      <c r="T741" s="76"/>
      <c r="U741" s="76"/>
      <c r="V741" s="76"/>
      <c r="W741" s="76"/>
      <c r="X741" s="76"/>
      <c r="Y741" s="76"/>
      <c r="Z741" s="76"/>
      <c r="AA741" s="76"/>
      <c r="AB741" s="76"/>
      <c r="AC741" s="76"/>
    </row>
    <row r="742" spans="1:29">
      <c r="A742" s="35"/>
      <c r="B742" s="20"/>
      <c r="C742" s="16"/>
      <c r="D742" s="16"/>
      <c r="E742" s="16"/>
      <c r="F742" s="20"/>
      <c r="G742" s="16"/>
      <c r="H742" s="26"/>
      <c r="I742" s="8"/>
      <c r="J742" s="51"/>
      <c r="K742" s="103"/>
      <c r="L742" s="104"/>
      <c r="M742" s="104"/>
      <c r="N742" s="104"/>
      <c r="O742" s="104"/>
      <c r="P742" s="54"/>
      <c r="Q742" s="20"/>
      <c r="R742" s="76"/>
      <c r="S742" s="76"/>
      <c r="T742" s="76"/>
      <c r="U742" s="76"/>
      <c r="V742" s="76"/>
      <c r="W742" s="76"/>
      <c r="X742" s="76"/>
      <c r="Y742" s="76"/>
      <c r="Z742" s="76"/>
      <c r="AA742" s="76"/>
      <c r="AB742" s="76"/>
      <c r="AC742" s="76"/>
    </row>
    <row r="743" spans="1:29">
      <c r="A743" s="35"/>
      <c r="B743" s="20"/>
      <c r="C743" s="16"/>
      <c r="D743" s="16"/>
      <c r="E743" s="16"/>
      <c r="F743" s="20"/>
      <c r="G743" s="16"/>
      <c r="H743" s="26"/>
      <c r="I743" s="8"/>
      <c r="J743" s="51"/>
      <c r="K743" s="103"/>
      <c r="L743" s="104"/>
      <c r="M743" s="104"/>
      <c r="N743" s="104"/>
      <c r="O743" s="104"/>
      <c r="P743" s="54"/>
      <c r="Q743" s="20"/>
      <c r="R743" s="76"/>
      <c r="S743" s="76"/>
      <c r="T743" s="76"/>
      <c r="U743" s="76"/>
      <c r="V743" s="76"/>
      <c r="W743" s="76"/>
      <c r="X743" s="76"/>
      <c r="Y743" s="76"/>
      <c r="Z743" s="76"/>
      <c r="AA743" s="76"/>
      <c r="AB743" s="76"/>
      <c r="AC743" s="76"/>
    </row>
    <row r="744" spans="1:29">
      <c r="A744" s="35"/>
      <c r="B744" s="20"/>
      <c r="C744" s="16"/>
      <c r="D744" s="16"/>
      <c r="E744" s="16"/>
      <c r="F744" s="20"/>
      <c r="G744" s="16"/>
      <c r="H744" s="26"/>
      <c r="I744" s="8"/>
      <c r="J744" s="51"/>
      <c r="K744" s="103"/>
      <c r="L744" s="104"/>
      <c r="M744" s="104"/>
      <c r="N744" s="104"/>
      <c r="O744" s="104"/>
      <c r="P744" s="54"/>
      <c r="Q744" s="20"/>
      <c r="R744" s="76"/>
      <c r="S744" s="76"/>
      <c r="T744" s="76"/>
      <c r="U744" s="76"/>
      <c r="V744" s="76"/>
      <c r="W744" s="76"/>
      <c r="X744" s="76"/>
      <c r="Y744" s="76"/>
      <c r="Z744" s="76"/>
      <c r="AA744" s="76"/>
      <c r="AB744" s="76"/>
      <c r="AC744" s="76"/>
    </row>
    <row r="745" spans="1:29">
      <c r="A745" s="35"/>
      <c r="B745" s="20"/>
      <c r="C745" s="16"/>
      <c r="D745" s="16"/>
      <c r="E745" s="16"/>
      <c r="F745" s="20"/>
      <c r="G745" s="16"/>
      <c r="H745" s="26"/>
      <c r="I745" s="8"/>
      <c r="J745" s="51"/>
      <c r="K745" s="103"/>
      <c r="L745" s="104"/>
      <c r="M745" s="104"/>
      <c r="N745" s="104"/>
      <c r="O745" s="104"/>
      <c r="P745" s="54"/>
      <c r="Q745" s="20"/>
      <c r="R745" s="76"/>
      <c r="S745" s="76"/>
      <c r="T745" s="76"/>
      <c r="U745" s="76"/>
      <c r="V745" s="76"/>
      <c r="W745" s="76"/>
      <c r="X745" s="76"/>
      <c r="Y745" s="76"/>
      <c r="Z745" s="76"/>
      <c r="AA745" s="76"/>
      <c r="AB745" s="76"/>
      <c r="AC745" s="76"/>
    </row>
    <row r="746" spans="1:29">
      <c r="A746" s="35"/>
      <c r="B746" s="20"/>
      <c r="C746" s="16"/>
      <c r="D746" s="16"/>
      <c r="E746" s="16"/>
      <c r="F746" s="20"/>
      <c r="G746" s="16"/>
      <c r="H746" s="26"/>
      <c r="I746" s="8"/>
      <c r="J746" s="51"/>
      <c r="K746" s="103"/>
      <c r="L746" s="104"/>
      <c r="M746" s="104"/>
      <c r="N746" s="104"/>
      <c r="O746" s="104"/>
      <c r="P746" s="54"/>
      <c r="Q746" s="20"/>
      <c r="R746" s="76"/>
      <c r="S746" s="76"/>
      <c r="T746" s="76"/>
      <c r="U746" s="76"/>
      <c r="V746" s="76"/>
      <c r="W746" s="76"/>
      <c r="X746" s="76"/>
      <c r="Y746" s="76"/>
      <c r="Z746" s="76"/>
      <c r="AA746" s="76"/>
      <c r="AB746" s="76"/>
      <c r="AC746" s="76"/>
    </row>
    <row r="747" spans="1:29">
      <c r="A747" s="35"/>
      <c r="B747" s="20"/>
      <c r="C747" s="16"/>
      <c r="D747" s="16"/>
      <c r="E747" s="16"/>
      <c r="F747" s="20"/>
      <c r="G747" s="16"/>
      <c r="H747" s="26"/>
      <c r="I747" s="8"/>
      <c r="J747" s="51"/>
      <c r="K747" s="103"/>
      <c r="L747" s="104"/>
      <c r="M747" s="104"/>
      <c r="N747" s="104"/>
      <c r="O747" s="104"/>
      <c r="P747" s="54"/>
      <c r="Q747" s="20"/>
      <c r="R747" s="76"/>
      <c r="S747" s="76"/>
      <c r="T747" s="76"/>
      <c r="U747" s="76"/>
      <c r="V747" s="76"/>
      <c r="W747" s="76"/>
      <c r="X747" s="76"/>
      <c r="Y747" s="76"/>
      <c r="Z747" s="76"/>
      <c r="AA747" s="76"/>
      <c r="AB747" s="76"/>
      <c r="AC747" s="76"/>
    </row>
    <row r="748" spans="1:29">
      <c r="A748" s="35"/>
      <c r="B748" s="20"/>
      <c r="C748" s="16"/>
      <c r="D748" s="16"/>
      <c r="E748" s="16"/>
      <c r="F748" s="20"/>
      <c r="G748" s="16"/>
      <c r="H748" s="26"/>
      <c r="I748" s="8"/>
      <c r="J748" s="51"/>
      <c r="K748" s="103"/>
      <c r="L748" s="104"/>
      <c r="M748" s="104"/>
      <c r="N748" s="104"/>
      <c r="O748" s="104"/>
      <c r="P748" s="54"/>
      <c r="Q748" s="20"/>
      <c r="R748" s="76"/>
      <c r="S748" s="76"/>
      <c r="T748" s="76"/>
      <c r="U748" s="76"/>
      <c r="V748" s="76"/>
      <c r="W748" s="76"/>
      <c r="X748" s="76"/>
      <c r="Y748" s="76"/>
      <c r="Z748" s="76"/>
      <c r="AA748" s="76"/>
      <c r="AB748" s="76"/>
      <c r="AC748" s="76"/>
    </row>
    <row r="749" spans="1:29">
      <c r="A749" s="35"/>
      <c r="B749" s="20"/>
      <c r="C749" s="16"/>
      <c r="D749" s="16"/>
      <c r="E749" s="16"/>
      <c r="F749" s="20"/>
      <c r="G749" s="16"/>
      <c r="H749" s="26"/>
      <c r="I749" s="8"/>
      <c r="J749" s="51"/>
      <c r="K749" s="103"/>
      <c r="L749" s="104"/>
      <c r="M749" s="104"/>
      <c r="N749" s="104"/>
      <c r="O749" s="104"/>
      <c r="P749" s="54"/>
      <c r="Q749" s="20"/>
      <c r="R749" s="76"/>
      <c r="S749" s="76"/>
      <c r="T749" s="76"/>
      <c r="U749" s="76"/>
      <c r="V749" s="76"/>
      <c r="W749" s="76"/>
      <c r="X749" s="76"/>
      <c r="Y749" s="76"/>
      <c r="Z749" s="76"/>
      <c r="AA749" s="76"/>
      <c r="AB749" s="76"/>
      <c r="AC749" s="76"/>
    </row>
    <row r="750" spans="1:29">
      <c r="A750" s="35"/>
      <c r="B750" s="20"/>
      <c r="C750" s="16"/>
      <c r="D750" s="16"/>
      <c r="E750" s="16"/>
      <c r="F750" s="20"/>
      <c r="G750" s="16"/>
      <c r="H750" s="26"/>
      <c r="I750" s="8"/>
      <c r="J750" s="51"/>
      <c r="K750" s="103"/>
      <c r="L750" s="104"/>
      <c r="M750" s="104"/>
      <c r="N750" s="104"/>
      <c r="O750" s="104"/>
      <c r="P750" s="54"/>
      <c r="Q750" s="20"/>
      <c r="R750" s="76"/>
      <c r="S750" s="76"/>
      <c r="T750" s="76"/>
      <c r="U750" s="76"/>
      <c r="V750" s="76"/>
      <c r="W750" s="76"/>
      <c r="X750" s="76"/>
      <c r="Y750" s="76"/>
      <c r="Z750" s="76"/>
      <c r="AA750" s="76"/>
      <c r="AB750" s="76"/>
      <c r="AC750" s="76"/>
    </row>
    <row r="751" spans="1:29">
      <c r="A751" s="35"/>
      <c r="B751" s="20"/>
      <c r="C751" s="16"/>
      <c r="D751" s="16"/>
      <c r="E751" s="16"/>
      <c r="F751" s="20"/>
      <c r="G751" s="16"/>
      <c r="H751" s="26"/>
      <c r="I751" s="8"/>
      <c r="J751" s="51"/>
      <c r="K751" s="103"/>
      <c r="L751" s="104"/>
      <c r="M751" s="104"/>
      <c r="N751" s="104"/>
      <c r="O751" s="104"/>
      <c r="P751" s="54"/>
      <c r="Q751" s="20"/>
      <c r="R751" s="76"/>
      <c r="S751" s="76"/>
      <c r="T751" s="76"/>
      <c r="U751" s="76"/>
      <c r="V751" s="76"/>
      <c r="W751" s="76"/>
      <c r="X751" s="76"/>
      <c r="Y751" s="76"/>
      <c r="Z751" s="76"/>
      <c r="AA751" s="76"/>
      <c r="AB751" s="76"/>
      <c r="AC751" s="76"/>
    </row>
    <row r="752" spans="1:29">
      <c r="A752" s="35"/>
      <c r="B752" s="20"/>
      <c r="C752" s="16"/>
      <c r="D752" s="16"/>
      <c r="E752" s="16"/>
      <c r="F752" s="20"/>
      <c r="G752" s="16"/>
      <c r="H752" s="26"/>
      <c r="I752" s="8"/>
      <c r="J752" s="51"/>
      <c r="K752" s="103"/>
      <c r="L752" s="104"/>
      <c r="M752" s="104"/>
      <c r="N752" s="104"/>
      <c r="O752" s="104"/>
      <c r="P752" s="54"/>
      <c r="Q752" s="20"/>
      <c r="R752" s="76"/>
      <c r="S752" s="76"/>
      <c r="T752" s="76"/>
      <c r="U752" s="76"/>
      <c r="V752" s="76"/>
      <c r="W752" s="76"/>
      <c r="X752" s="76"/>
      <c r="Y752" s="76"/>
      <c r="Z752" s="76"/>
      <c r="AA752" s="76"/>
      <c r="AB752" s="76"/>
      <c r="AC752" s="76"/>
    </row>
    <row r="753" spans="1:29">
      <c r="A753" s="35"/>
      <c r="B753" s="20"/>
      <c r="C753" s="16"/>
      <c r="D753" s="16"/>
      <c r="E753" s="16"/>
      <c r="F753" s="20"/>
      <c r="G753" s="16"/>
      <c r="H753" s="26"/>
      <c r="I753" s="8"/>
      <c r="J753" s="51"/>
      <c r="K753" s="103"/>
      <c r="L753" s="104"/>
      <c r="M753" s="104"/>
      <c r="N753" s="104"/>
      <c r="O753" s="104"/>
      <c r="P753" s="54"/>
      <c r="Q753" s="20"/>
      <c r="R753" s="76"/>
      <c r="S753" s="76"/>
      <c r="T753" s="76"/>
      <c r="U753" s="76"/>
      <c r="V753" s="76"/>
      <c r="W753" s="76"/>
      <c r="X753" s="76"/>
      <c r="Y753" s="76"/>
      <c r="Z753" s="76"/>
      <c r="AA753" s="76"/>
      <c r="AB753" s="76"/>
      <c r="AC753" s="76"/>
    </row>
    <row r="754" spans="1:29">
      <c r="A754" s="35"/>
      <c r="B754" s="20"/>
      <c r="C754" s="16"/>
      <c r="D754" s="16"/>
      <c r="E754" s="16"/>
      <c r="F754" s="20"/>
      <c r="G754" s="16"/>
      <c r="H754" s="26"/>
      <c r="I754" s="8"/>
      <c r="J754" s="51"/>
      <c r="K754" s="103"/>
      <c r="L754" s="104"/>
      <c r="M754" s="104"/>
      <c r="N754" s="104"/>
      <c r="O754" s="104"/>
      <c r="P754" s="54"/>
      <c r="Q754" s="20"/>
      <c r="R754" s="76"/>
      <c r="S754" s="76"/>
      <c r="T754" s="76"/>
      <c r="U754" s="76"/>
      <c r="V754" s="76"/>
      <c r="W754" s="76"/>
      <c r="X754" s="76"/>
      <c r="Y754" s="76"/>
      <c r="Z754" s="76"/>
      <c r="AA754" s="76"/>
      <c r="AB754" s="76"/>
      <c r="AC754" s="76"/>
    </row>
    <row r="755" spans="1:29">
      <c r="A755" s="35"/>
      <c r="B755" s="20"/>
      <c r="C755" s="16"/>
      <c r="D755" s="16"/>
      <c r="E755" s="16"/>
      <c r="F755" s="20"/>
      <c r="G755" s="16"/>
      <c r="H755" s="26"/>
      <c r="I755" s="8"/>
      <c r="J755" s="51"/>
      <c r="K755" s="103"/>
      <c r="L755" s="104"/>
      <c r="M755" s="104"/>
      <c r="N755" s="104"/>
      <c r="O755" s="104"/>
      <c r="P755" s="54"/>
      <c r="Q755" s="20"/>
      <c r="R755" s="76"/>
      <c r="S755" s="76"/>
      <c r="T755" s="76"/>
      <c r="U755" s="76"/>
      <c r="V755" s="76"/>
      <c r="W755" s="76"/>
      <c r="X755" s="76"/>
      <c r="Y755" s="76"/>
      <c r="Z755" s="76"/>
      <c r="AA755" s="76"/>
      <c r="AB755" s="76"/>
      <c r="AC755" s="76"/>
    </row>
    <row r="756" spans="1:29">
      <c r="A756" s="35"/>
      <c r="B756" s="20"/>
      <c r="C756" s="16"/>
      <c r="D756" s="16"/>
      <c r="E756" s="16"/>
      <c r="F756" s="20"/>
      <c r="G756" s="16"/>
      <c r="H756" s="26"/>
      <c r="I756" s="8"/>
      <c r="J756" s="51"/>
      <c r="K756" s="103"/>
      <c r="L756" s="104"/>
      <c r="M756" s="104"/>
      <c r="N756" s="104"/>
      <c r="O756" s="104"/>
      <c r="P756" s="54"/>
      <c r="Q756" s="20"/>
      <c r="R756" s="76"/>
      <c r="S756" s="76"/>
      <c r="T756" s="76"/>
      <c r="U756" s="76"/>
      <c r="V756" s="76"/>
      <c r="W756" s="76"/>
      <c r="X756" s="76"/>
      <c r="Y756" s="76"/>
      <c r="Z756" s="76"/>
      <c r="AA756" s="76"/>
      <c r="AB756" s="76"/>
      <c r="AC756" s="76"/>
    </row>
    <row r="757" spans="1:29">
      <c r="A757" s="35"/>
      <c r="B757" s="20"/>
      <c r="C757" s="16"/>
      <c r="D757" s="16"/>
      <c r="E757" s="16"/>
      <c r="F757" s="20"/>
      <c r="G757" s="16"/>
      <c r="H757" s="26"/>
      <c r="I757" s="8"/>
      <c r="J757" s="51"/>
      <c r="K757" s="103"/>
      <c r="L757" s="104"/>
      <c r="M757" s="104"/>
      <c r="N757" s="104"/>
      <c r="O757" s="104"/>
      <c r="P757" s="54"/>
      <c r="Q757" s="20"/>
      <c r="R757" s="76"/>
      <c r="S757" s="76"/>
      <c r="T757" s="76"/>
      <c r="U757" s="76"/>
      <c r="V757" s="76"/>
      <c r="W757" s="76"/>
      <c r="X757" s="76"/>
      <c r="Y757" s="76"/>
      <c r="Z757" s="76"/>
      <c r="AA757" s="76"/>
      <c r="AB757" s="76"/>
      <c r="AC757" s="76"/>
    </row>
    <row r="758" spans="1:29">
      <c r="A758" s="35"/>
      <c r="B758" s="20"/>
      <c r="C758" s="16"/>
      <c r="D758" s="16"/>
      <c r="E758" s="16"/>
      <c r="F758" s="20"/>
      <c r="G758" s="16"/>
      <c r="H758" s="26"/>
      <c r="I758" s="8"/>
      <c r="J758" s="51"/>
      <c r="K758" s="103"/>
      <c r="L758" s="104"/>
      <c r="M758" s="104"/>
      <c r="N758" s="104"/>
      <c r="O758" s="104"/>
      <c r="P758" s="54"/>
      <c r="Q758" s="20"/>
      <c r="R758" s="76"/>
      <c r="S758" s="76"/>
      <c r="T758" s="76"/>
      <c r="U758" s="76"/>
      <c r="V758" s="76"/>
      <c r="W758" s="76"/>
      <c r="X758" s="76"/>
      <c r="Y758" s="76"/>
      <c r="Z758" s="76"/>
      <c r="AA758" s="76"/>
      <c r="AB758" s="76"/>
      <c r="AC758" s="76"/>
    </row>
    <row r="759" spans="1:29">
      <c r="A759" s="35"/>
      <c r="B759" s="20"/>
      <c r="C759" s="16"/>
      <c r="D759" s="16"/>
      <c r="E759" s="16"/>
      <c r="F759" s="20"/>
      <c r="G759" s="16"/>
      <c r="H759" s="26"/>
      <c r="I759" s="8"/>
      <c r="J759" s="51"/>
      <c r="K759" s="103"/>
      <c r="L759" s="104"/>
      <c r="M759" s="104"/>
      <c r="N759" s="104"/>
      <c r="O759" s="104"/>
      <c r="P759" s="54"/>
      <c r="Q759" s="20"/>
      <c r="R759" s="76"/>
      <c r="S759" s="76"/>
      <c r="T759" s="76"/>
      <c r="U759" s="76"/>
      <c r="V759" s="76"/>
      <c r="W759" s="76"/>
      <c r="X759" s="76"/>
      <c r="Y759" s="76"/>
      <c r="Z759" s="76"/>
      <c r="AA759" s="76"/>
      <c r="AB759" s="76"/>
      <c r="AC759" s="76"/>
    </row>
    <row r="760" spans="1:29">
      <c r="A760" s="35"/>
      <c r="B760" s="20"/>
      <c r="C760" s="16"/>
      <c r="D760" s="16"/>
      <c r="E760" s="16"/>
      <c r="F760" s="20"/>
      <c r="G760" s="16"/>
      <c r="H760" s="26"/>
      <c r="I760" s="8"/>
      <c r="J760" s="51"/>
      <c r="K760" s="103"/>
      <c r="L760" s="104"/>
      <c r="M760" s="104"/>
      <c r="N760" s="104"/>
      <c r="O760" s="104"/>
      <c r="P760" s="54"/>
      <c r="Q760" s="20"/>
      <c r="R760" s="76"/>
      <c r="S760" s="76"/>
      <c r="T760" s="76"/>
      <c r="U760" s="76"/>
      <c r="V760" s="76"/>
      <c r="W760" s="76"/>
      <c r="X760" s="76"/>
      <c r="Y760" s="76"/>
      <c r="Z760" s="76"/>
      <c r="AA760" s="76"/>
      <c r="AB760" s="76"/>
      <c r="AC760" s="76"/>
    </row>
    <row r="761" spans="1:29">
      <c r="A761" s="35"/>
      <c r="B761" s="20"/>
      <c r="C761" s="16"/>
      <c r="D761" s="16"/>
      <c r="E761" s="16"/>
      <c r="F761" s="20"/>
      <c r="G761" s="16"/>
      <c r="H761" s="26"/>
      <c r="I761" s="8"/>
      <c r="J761" s="51"/>
      <c r="K761" s="103"/>
      <c r="L761" s="104"/>
      <c r="M761" s="104"/>
      <c r="N761" s="104"/>
      <c r="O761" s="104"/>
      <c r="P761" s="54"/>
      <c r="Q761" s="20"/>
      <c r="R761" s="76"/>
      <c r="S761" s="76"/>
      <c r="T761" s="76"/>
      <c r="U761" s="76"/>
      <c r="V761" s="76"/>
      <c r="W761" s="76"/>
      <c r="X761" s="76"/>
      <c r="Y761" s="76"/>
      <c r="Z761" s="76"/>
      <c r="AA761" s="76"/>
      <c r="AB761" s="76"/>
      <c r="AC761" s="76"/>
    </row>
    <row r="762" spans="1:29">
      <c r="A762" s="35"/>
      <c r="B762" s="20"/>
      <c r="C762" s="16"/>
      <c r="D762" s="16"/>
      <c r="E762" s="16"/>
      <c r="F762" s="20"/>
      <c r="G762" s="16"/>
      <c r="H762" s="26"/>
      <c r="I762" s="8"/>
      <c r="J762" s="51"/>
      <c r="K762" s="103"/>
      <c r="L762" s="104"/>
      <c r="M762" s="104"/>
      <c r="N762" s="104"/>
      <c r="O762" s="104"/>
      <c r="P762" s="54"/>
      <c r="Q762" s="20"/>
      <c r="R762" s="76"/>
      <c r="S762" s="76"/>
      <c r="T762" s="76"/>
      <c r="U762" s="76"/>
      <c r="V762" s="76"/>
      <c r="W762" s="76"/>
      <c r="X762" s="76"/>
      <c r="Y762" s="76"/>
      <c r="Z762" s="76"/>
      <c r="AA762" s="76"/>
      <c r="AB762" s="76"/>
      <c r="AC762" s="76"/>
    </row>
    <row r="763" spans="1:29">
      <c r="A763" s="35"/>
      <c r="B763" s="20"/>
      <c r="C763" s="16"/>
      <c r="D763" s="16"/>
      <c r="E763" s="16"/>
      <c r="F763" s="20"/>
      <c r="G763" s="16"/>
      <c r="H763" s="26"/>
      <c r="I763" s="8"/>
      <c r="J763" s="51"/>
      <c r="K763" s="103"/>
      <c r="L763" s="104"/>
      <c r="M763" s="104"/>
      <c r="N763" s="104"/>
      <c r="O763" s="104"/>
      <c r="P763" s="54"/>
      <c r="Q763" s="20"/>
      <c r="R763" s="76"/>
      <c r="S763" s="76"/>
      <c r="T763" s="76"/>
      <c r="U763" s="76"/>
      <c r="V763" s="76"/>
      <c r="W763" s="76"/>
      <c r="X763" s="76"/>
      <c r="Y763" s="76"/>
      <c r="Z763" s="76"/>
      <c r="AA763" s="76"/>
      <c r="AB763" s="76"/>
      <c r="AC763" s="76"/>
    </row>
    <row r="764" spans="1:29">
      <c r="A764" s="35"/>
      <c r="B764" s="20"/>
      <c r="C764" s="16"/>
      <c r="D764" s="16"/>
      <c r="E764" s="16"/>
      <c r="F764" s="20"/>
      <c r="G764" s="16"/>
      <c r="H764" s="26"/>
      <c r="I764" s="8"/>
      <c r="J764" s="51"/>
      <c r="K764" s="103"/>
      <c r="L764" s="104"/>
      <c r="M764" s="104"/>
      <c r="N764" s="104"/>
      <c r="O764" s="104"/>
      <c r="P764" s="54"/>
      <c r="Q764" s="20"/>
      <c r="R764" s="76"/>
      <c r="S764" s="76"/>
      <c r="T764" s="76"/>
      <c r="U764" s="76"/>
      <c r="V764" s="76"/>
      <c r="W764" s="76"/>
      <c r="X764" s="76"/>
      <c r="Y764" s="76"/>
      <c r="Z764" s="76"/>
      <c r="AA764" s="76"/>
      <c r="AB764" s="76"/>
      <c r="AC764" s="76"/>
    </row>
    <row r="765" spans="1:29">
      <c r="A765" s="35"/>
      <c r="B765" s="20"/>
      <c r="C765" s="16"/>
      <c r="D765" s="16"/>
      <c r="E765" s="16"/>
      <c r="F765" s="20"/>
      <c r="G765" s="16"/>
      <c r="H765" s="26"/>
      <c r="I765" s="8"/>
      <c r="J765" s="51"/>
      <c r="K765" s="103"/>
      <c r="L765" s="104"/>
      <c r="M765" s="104"/>
      <c r="N765" s="104"/>
      <c r="O765" s="104"/>
      <c r="P765" s="54"/>
      <c r="Q765" s="20"/>
      <c r="R765" s="76"/>
      <c r="S765" s="76"/>
      <c r="T765" s="76"/>
      <c r="U765" s="76"/>
      <c r="V765" s="76"/>
      <c r="W765" s="76"/>
      <c r="X765" s="76"/>
      <c r="Y765" s="76"/>
      <c r="Z765" s="76"/>
      <c r="AA765" s="76"/>
      <c r="AB765" s="76"/>
      <c r="AC765" s="76"/>
    </row>
    <row r="766" spans="1:29">
      <c r="A766" s="35"/>
      <c r="B766" s="20"/>
      <c r="C766" s="16"/>
      <c r="D766" s="16"/>
      <c r="E766" s="16"/>
      <c r="F766" s="20"/>
      <c r="G766" s="16"/>
      <c r="H766" s="26"/>
      <c r="I766" s="8"/>
      <c r="J766" s="51"/>
      <c r="K766" s="103"/>
      <c r="L766" s="104"/>
      <c r="M766" s="104"/>
      <c r="N766" s="104"/>
      <c r="O766" s="104"/>
      <c r="P766" s="54"/>
      <c r="Q766" s="20"/>
      <c r="R766" s="76"/>
      <c r="S766" s="76"/>
      <c r="T766" s="76"/>
      <c r="U766" s="76"/>
      <c r="V766" s="76"/>
      <c r="W766" s="76"/>
      <c r="X766" s="76"/>
      <c r="Y766" s="76"/>
      <c r="Z766" s="76"/>
      <c r="AA766" s="76"/>
      <c r="AB766" s="76"/>
      <c r="AC766" s="76"/>
    </row>
    <row r="767" spans="1:29">
      <c r="A767" s="35"/>
      <c r="B767" s="20"/>
      <c r="C767" s="16"/>
      <c r="D767" s="16"/>
      <c r="E767" s="16"/>
      <c r="F767" s="20"/>
      <c r="G767" s="16"/>
      <c r="H767" s="26"/>
      <c r="I767" s="8"/>
      <c r="J767" s="51"/>
      <c r="K767" s="103"/>
      <c r="L767" s="104"/>
      <c r="M767" s="104"/>
      <c r="N767" s="104"/>
      <c r="O767" s="104"/>
      <c r="P767" s="54"/>
      <c r="Q767" s="20"/>
      <c r="R767" s="76"/>
      <c r="S767" s="76"/>
      <c r="T767" s="76"/>
      <c r="U767" s="76"/>
      <c r="V767" s="76"/>
      <c r="W767" s="76"/>
      <c r="X767" s="76"/>
      <c r="Y767" s="76"/>
      <c r="Z767" s="76"/>
      <c r="AA767" s="76"/>
      <c r="AB767" s="76"/>
      <c r="AC767" s="76"/>
    </row>
    <row r="768" spans="1:29">
      <c r="A768" s="35"/>
      <c r="B768" s="20"/>
      <c r="C768" s="16"/>
      <c r="D768" s="16"/>
      <c r="E768" s="16"/>
      <c r="F768" s="20"/>
      <c r="G768" s="16"/>
      <c r="H768" s="26"/>
      <c r="I768" s="8"/>
      <c r="J768" s="51"/>
      <c r="K768" s="103"/>
      <c r="L768" s="104"/>
      <c r="M768" s="104"/>
      <c r="N768" s="104"/>
      <c r="O768" s="104"/>
      <c r="P768" s="54"/>
      <c r="Q768" s="20"/>
      <c r="R768" s="76"/>
      <c r="S768" s="76"/>
      <c r="T768" s="76"/>
      <c r="U768" s="76"/>
      <c r="V768" s="76"/>
      <c r="W768" s="76"/>
      <c r="X768" s="76"/>
      <c r="Y768" s="76"/>
      <c r="Z768" s="76"/>
      <c r="AA768" s="76"/>
      <c r="AB768" s="76"/>
      <c r="AC768" s="76"/>
    </row>
    <row r="769" spans="1:29">
      <c r="A769" s="35"/>
      <c r="B769" s="20"/>
      <c r="C769" s="16"/>
      <c r="D769" s="16"/>
      <c r="E769" s="16"/>
      <c r="F769" s="20"/>
      <c r="G769" s="16"/>
      <c r="H769" s="26"/>
      <c r="I769" s="8"/>
      <c r="J769" s="51"/>
      <c r="K769" s="103"/>
      <c r="L769" s="104"/>
      <c r="M769" s="104"/>
      <c r="N769" s="104"/>
      <c r="O769" s="104"/>
      <c r="P769" s="54"/>
      <c r="Q769" s="20"/>
      <c r="R769" s="76"/>
      <c r="S769" s="76"/>
      <c r="T769" s="76"/>
      <c r="U769" s="76"/>
      <c r="V769" s="76"/>
      <c r="W769" s="76"/>
      <c r="X769" s="76"/>
      <c r="Y769" s="76"/>
      <c r="Z769" s="76"/>
      <c r="AA769" s="76"/>
      <c r="AB769" s="76"/>
      <c r="AC769" s="76"/>
    </row>
    <row r="770" spans="1:29">
      <c r="A770" s="35"/>
      <c r="B770" s="20"/>
      <c r="C770" s="16"/>
      <c r="D770" s="16"/>
      <c r="E770" s="16"/>
      <c r="F770" s="20"/>
      <c r="G770" s="16"/>
      <c r="H770" s="26"/>
      <c r="I770" s="8"/>
      <c r="J770" s="51"/>
      <c r="K770" s="103"/>
      <c r="L770" s="104"/>
      <c r="M770" s="104"/>
      <c r="N770" s="104"/>
      <c r="O770" s="104"/>
      <c r="P770" s="54"/>
      <c r="Q770" s="20"/>
      <c r="R770" s="76"/>
      <c r="S770" s="76"/>
      <c r="T770" s="76"/>
      <c r="U770" s="76"/>
      <c r="V770" s="76"/>
      <c r="W770" s="76"/>
      <c r="X770" s="76"/>
      <c r="Y770" s="76"/>
      <c r="Z770" s="76"/>
      <c r="AA770" s="76"/>
      <c r="AB770" s="76"/>
      <c r="AC770" s="76"/>
    </row>
    <row r="771" spans="1:29">
      <c r="A771" s="35"/>
      <c r="B771" s="20"/>
      <c r="C771" s="16"/>
      <c r="D771" s="16"/>
      <c r="E771" s="16"/>
      <c r="F771" s="20"/>
      <c r="G771" s="16"/>
      <c r="H771" s="26"/>
      <c r="I771" s="8"/>
      <c r="J771" s="51"/>
      <c r="K771" s="103"/>
      <c r="L771" s="104"/>
      <c r="M771" s="104"/>
      <c r="N771" s="104"/>
      <c r="O771" s="104"/>
      <c r="P771" s="54"/>
      <c r="Q771" s="20"/>
      <c r="R771" s="76"/>
      <c r="S771" s="76"/>
      <c r="T771" s="76"/>
      <c r="U771" s="76"/>
      <c r="V771" s="76"/>
      <c r="W771" s="76"/>
      <c r="X771" s="76"/>
      <c r="Y771" s="76"/>
      <c r="Z771" s="76"/>
      <c r="AA771" s="76"/>
      <c r="AB771" s="76"/>
      <c r="AC771" s="76"/>
    </row>
    <row r="772" spans="1:29">
      <c r="A772" s="35"/>
      <c r="B772" s="20"/>
      <c r="C772" s="16"/>
      <c r="D772" s="16"/>
      <c r="E772" s="16"/>
      <c r="F772" s="20"/>
      <c r="G772" s="16"/>
      <c r="H772" s="26"/>
      <c r="I772" s="8"/>
      <c r="J772" s="51"/>
      <c r="K772" s="103"/>
      <c r="L772" s="104"/>
      <c r="M772" s="104"/>
      <c r="N772" s="104"/>
      <c r="O772" s="104"/>
      <c r="P772" s="54"/>
      <c r="Q772" s="20"/>
      <c r="R772" s="76"/>
      <c r="S772" s="76"/>
      <c r="T772" s="76"/>
      <c r="U772" s="76"/>
      <c r="V772" s="76"/>
      <c r="W772" s="76"/>
      <c r="X772" s="76"/>
      <c r="Y772" s="76"/>
      <c r="Z772" s="76"/>
      <c r="AA772" s="76"/>
      <c r="AB772" s="76"/>
      <c r="AC772" s="76"/>
    </row>
    <row r="773" spans="1:29">
      <c r="A773" s="35"/>
      <c r="B773" s="20"/>
      <c r="C773" s="16"/>
      <c r="D773" s="16"/>
      <c r="E773" s="16"/>
      <c r="F773" s="20"/>
      <c r="G773" s="16"/>
      <c r="H773" s="26"/>
      <c r="I773" s="8"/>
      <c r="J773" s="51"/>
      <c r="K773" s="103"/>
      <c r="L773" s="104"/>
      <c r="M773" s="104"/>
      <c r="N773" s="104"/>
      <c r="O773" s="104"/>
      <c r="P773" s="54"/>
      <c r="Q773" s="20"/>
      <c r="R773" s="76"/>
      <c r="S773" s="76"/>
      <c r="T773" s="76"/>
      <c r="U773" s="76"/>
      <c r="V773" s="76"/>
      <c r="W773" s="76"/>
      <c r="X773" s="76"/>
      <c r="Y773" s="76"/>
      <c r="Z773" s="76"/>
      <c r="AA773" s="76"/>
      <c r="AB773" s="76"/>
      <c r="AC773" s="76"/>
    </row>
    <row r="774" spans="1:29">
      <c r="A774" s="35"/>
      <c r="B774" s="20"/>
      <c r="C774" s="16"/>
      <c r="D774" s="16"/>
      <c r="E774" s="16"/>
      <c r="F774" s="20"/>
      <c r="G774" s="16"/>
      <c r="H774" s="26"/>
      <c r="I774" s="8"/>
      <c r="J774" s="51"/>
      <c r="K774" s="103"/>
      <c r="L774" s="104"/>
      <c r="M774" s="104"/>
      <c r="N774" s="104"/>
      <c r="O774" s="104"/>
      <c r="P774" s="54"/>
      <c r="Q774" s="20"/>
      <c r="R774" s="76"/>
      <c r="S774" s="76"/>
      <c r="T774" s="76"/>
      <c r="U774" s="76"/>
      <c r="V774" s="76"/>
      <c r="W774" s="76"/>
      <c r="X774" s="76"/>
      <c r="Y774" s="76"/>
      <c r="Z774" s="76"/>
      <c r="AA774" s="76"/>
      <c r="AB774" s="76"/>
      <c r="AC774" s="76"/>
    </row>
    <row r="775" spans="1:29">
      <c r="A775" s="35"/>
      <c r="B775" s="20"/>
      <c r="C775" s="16"/>
      <c r="D775" s="16"/>
      <c r="E775" s="16"/>
      <c r="F775" s="20"/>
      <c r="G775" s="16"/>
      <c r="H775" s="26"/>
      <c r="I775" s="8"/>
      <c r="J775" s="51"/>
      <c r="K775" s="103"/>
      <c r="L775" s="104"/>
      <c r="M775" s="104"/>
      <c r="N775" s="104"/>
      <c r="O775" s="104"/>
      <c r="P775" s="54"/>
      <c r="Q775" s="20"/>
      <c r="R775" s="76"/>
      <c r="S775" s="76"/>
      <c r="T775" s="76"/>
      <c r="U775" s="76"/>
      <c r="V775" s="76"/>
      <c r="W775" s="76"/>
      <c r="X775" s="76"/>
      <c r="Y775" s="76"/>
      <c r="Z775" s="76"/>
      <c r="AA775" s="76"/>
      <c r="AB775" s="76"/>
      <c r="AC775" s="76"/>
    </row>
    <row r="776" spans="1:29">
      <c r="A776" s="35"/>
      <c r="B776" s="20"/>
      <c r="C776" s="16"/>
      <c r="D776" s="16"/>
      <c r="E776" s="16"/>
      <c r="F776" s="20"/>
      <c r="G776" s="16"/>
      <c r="H776" s="26"/>
      <c r="I776" s="8"/>
      <c r="J776" s="51"/>
      <c r="K776" s="103"/>
      <c r="L776" s="104"/>
      <c r="M776" s="104"/>
      <c r="N776" s="104"/>
      <c r="O776" s="104"/>
      <c r="P776" s="54"/>
      <c r="Q776" s="20"/>
      <c r="R776" s="76"/>
      <c r="S776" s="76"/>
      <c r="T776" s="76"/>
      <c r="U776" s="76"/>
      <c r="V776" s="76"/>
      <c r="W776" s="76"/>
      <c r="X776" s="76"/>
      <c r="Y776" s="76"/>
      <c r="Z776" s="76"/>
      <c r="AA776" s="76"/>
      <c r="AB776" s="76"/>
      <c r="AC776" s="76"/>
    </row>
    <row r="777" spans="1:29">
      <c r="A777" s="35"/>
      <c r="B777" s="20"/>
      <c r="C777" s="16"/>
      <c r="D777" s="16"/>
      <c r="E777" s="16"/>
      <c r="F777" s="20"/>
      <c r="G777" s="16"/>
      <c r="H777" s="26"/>
      <c r="I777" s="8"/>
      <c r="J777" s="51"/>
      <c r="K777" s="103"/>
      <c r="L777" s="104"/>
      <c r="M777" s="104"/>
      <c r="N777" s="104"/>
      <c r="O777" s="104"/>
      <c r="P777" s="54"/>
      <c r="Q777" s="20"/>
      <c r="R777" s="76"/>
      <c r="S777" s="76"/>
      <c r="T777" s="76"/>
      <c r="U777" s="76"/>
      <c r="V777" s="76"/>
      <c r="W777" s="76"/>
      <c r="X777" s="76"/>
      <c r="Y777" s="76"/>
      <c r="Z777" s="76"/>
      <c r="AA777" s="76"/>
      <c r="AB777" s="76"/>
      <c r="AC777" s="76"/>
    </row>
    <row r="778" spans="1:29">
      <c r="A778" s="35"/>
      <c r="B778" s="20"/>
      <c r="C778" s="16"/>
      <c r="D778" s="16"/>
      <c r="E778" s="16"/>
      <c r="F778" s="20"/>
      <c r="G778" s="16"/>
      <c r="H778" s="26"/>
      <c r="I778" s="8"/>
      <c r="J778" s="51"/>
      <c r="K778" s="103"/>
      <c r="L778" s="104"/>
      <c r="M778" s="104"/>
      <c r="N778" s="104"/>
      <c r="O778" s="104"/>
      <c r="P778" s="54"/>
      <c r="Q778" s="20"/>
      <c r="R778" s="76"/>
      <c r="S778" s="76"/>
      <c r="T778" s="76"/>
      <c r="U778" s="76"/>
      <c r="V778" s="76"/>
      <c r="W778" s="76"/>
      <c r="X778" s="76"/>
      <c r="Y778" s="76"/>
      <c r="Z778" s="76"/>
      <c r="AA778" s="76"/>
      <c r="AB778" s="76"/>
      <c r="AC778" s="76"/>
    </row>
    <row r="779" spans="1:29">
      <c r="A779" s="35"/>
      <c r="B779" s="20"/>
      <c r="C779" s="16"/>
      <c r="D779" s="16"/>
      <c r="E779" s="16"/>
      <c r="F779" s="20"/>
      <c r="G779" s="16"/>
      <c r="H779" s="26"/>
      <c r="I779" s="8"/>
      <c r="J779" s="51"/>
      <c r="K779" s="103"/>
      <c r="L779" s="104"/>
      <c r="M779" s="104"/>
      <c r="N779" s="104"/>
      <c r="O779" s="104"/>
      <c r="P779" s="54"/>
      <c r="Q779" s="20"/>
      <c r="R779" s="76"/>
      <c r="S779" s="76"/>
      <c r="T779" s="76"/>
      <c r="U779" s="76"/>
      <c r="V779" s="76"/>
      <c r="W779" s="76"/>
      <c r="X779" s="76"/>
      <c r="Y779" s="76"/>
      <c r="Z779" s="76"/>
      <c r="AA779" s="76"/>
      <c r="AB779" s="76"/>
      <c r="AC779" s="76"/>
    </row>
    <row r="780" spans="1:29">
      <c r="A780" s="35"/>
      <c r="B780" s="20"/>
      <c r="C780" s="16"/>
      <c r="D780" s="16"/>
      <c r="E780" s="16"/>
      <c r="F780" s="20"/>
      <c r="G780" s="16"/>
      <c r="H780" s="26"/>
      <c r="I780" s="8"/>
      <c r="J780" s="51"/>
      <c r="K780" s="103"/>
      <c r="L780" s="104"/>
      <c r="M780" s="104"/>
      <c r="N780" s="104"/>
      <c r="O780" s="104"/>
      <c r="P780" s="54"/>
      <c r="Q780" s="20"/>
      <c r="R780" s="76"/>
      <c r="S780" s="76"/>
      <c r="T780" s="76"/>
      <c r="U780" s="76"/>
      <c r="V780" s="76"/>
      <c r="W780" s="76"/>
      <c r="X780" s="76"/>
      <c r="Y780" s="76"/>
      <c r="Z780" s="76"/>
      <c r="AA780" s="76"/>
      <c r="AB780" s="76"/>
      <c r="AC780" s="76"/>
    </row>
    <row r="781" spans="1:29">
      <c r="A781" s="35"/>
      <c r="B781" s="20"/>
      <c r="C781" s="16"/>
      <c r="D781" s="16"/>
      <c r="E781" s="16"/>
      <c r="F781" s="20"/>
      <c r="G781" s="16"/>
      <c r="H781" s="26"/>
      <c r="I781" s="8"/>
      <c r="J781" s="51"/>
      <c r="K781" s="103"/>
      <c r="L781" s="104"/>
      <c r="M781" s="104"/>
      <c r="N781" s="104"/>
      <c r="O781" s="104"/>
      <c r="P781" s="54"/>
      <c r="Q781" s="20"/>
      <c r="R781" s="76"/>
      <c r="S781" s="76"/>
      <c r="T781" s="76"/>
      <c r="U781" s="76"/>
      <c r="V781" s="76"/>
      <c r="W781" s="76"/>
      <c r="X781" s="76"/>
      <c r="Y781" s="76"/>
      <c r="Z781" s="76"/>
      <c r="AA781" s="76"/>
      <c r="AB781" s="76"/>
      <c r="AC781" s="76"/>
    </row>
    <row r="782" spans="1:29">
      <c r="A782" s="35"/>
      <c r="B782" s="20"/>
      <c r="C782" s="16"/>
      <c r="D782" s="16"/>
      <c r="E782" s="16"/>
      <c r="F782" s="20"/>
      <c r="G782" s="16"/>
      <c r="H782" s="26"/>
      <c r="I782" s="8"/>
      <c r="J782" s="51"/>
      <c r="K782" s="103"/>
      <c r="L782" s="104"/>
      <c r="M782" s="104"/>
      <c r="N782" s="104"/>
      <c r="O782" s="104"/>
      <c r="P782" s="54"/>
      <c r="Q782" s="20"/>
      <c r="R782" s="76"/>
      <c r="S782" s="76"/>
      <c r="T782" s="76"/>
      <c r="U782" s="76"/>
      <c r="V782" s="76"/>
      <c r="W782" s="76"/>
      <c r="X782" s="76"/>
      <c r="Y782" s="76"/>
      <c r="Z782" s="76"/>
      <c r="AA782" s="76"/>
      <c r="AB782" s="76"/>
      <c r="AC782" s="76"/>
    </row>
    <row r="783" spans="1:29">
      <c r="A783" s="35"/>
      <c r="B783" s="20"/>
      <c r="C783" s="16"/>
      <c r="D783" s="16"/>
      <c r="E783" s="16"/>
      <c r="F783" s="20"/>
      <c r="G783" s="16"/>
      <c r="H783" s="26"/>
      <c r="I783" s="8"/>
      <c r="J783" s="51"/>
      <c r="K783" s="103"/>
      <c r="L783" s="104"/>
      <c r="M783" s="104"/>
      <c r="N783" s="104"/>
      <c r="O783" s="104"/>
      <c r="P783" s="54"/>
      <c r="Q783" s="20"/>
      <c r="R783" s="76"/>
      <c r="S783" s="76"/>
      <c r="T783" s="76"/>
      <c r="U783" s="76"/>
      <c r="V783" s="76"/>
      <c r="W783" s="76"/>
      <c r="X783" s="76"/>
      <c r="Y783" s="76"/>
      <c r="Z783" s="76"/>
      <c r="AA783" s="76"/>
      <c r="AB783" s="76"/>
      <c r="AC783" s="76"/>
    </row>
    <row r="784" spans="1:29">
      <c r="A784" s="35"/>
      <c r="B784" s="20"/>
      <c r="C784" s="16"/>
      <c r="D784" s="16"/>
      <c r="E784" s="16"/>
      <c r="F784" s="20"/>
      <c r="G784" s="16"/>
      <c r="H784" s="26"/>
      <c r="I784" s="8"/>
      <c r="J784" s="51"/>
      <c r="K784" s="103"/>
      <c r="L784" s="104"/>
      <c r="M784" s="104"/>
      <c r="N784" s="104"/>
      <c r="O784" s="104"/>
      <c r="P784" s="54"/>
      <c r="Q784" s="20"/>
      <c r="R784" s="76"/>
      <c r="S784" s="76"/>
      <c r="T784" s="76"/>
      <c r="U784" s="76"/>
      <c r="V784" s="76"/>
      <c r="W784" s="76"/>
      <c r="X784" s="76"/>
      <c r="Y784" s="76"/>
      <c r="Z784" s="76"/>
      <c r="AA784" s="76"/>
      <c r="AB784" s="76"/>
      <c r="AC784" s="76"/>
    </row>
    <row r="785" spans="1:29">
      <c r="A785" s="35"/>
      <c r="B785" s="20"/>
      <c r="C785" s="16"/>
      <c r="D785" s="16"/>
      <c r="E785" s="16"/>
      <c r="F785" s="20"/>
      <c r="G785" s="16"/>
      <c r="H785" s="26"/>
      <c r="I785" s="8"/>
      <c r="J785" s="51"/>
      <c r="K785" s="103"/>
      <c r="L785" s="104"/>
      <c r="M785" s="104"/>
      <c r="N785" s="104"/>
      <c r="O785" s="104"/>
      <c r="P785" s="54"/>
      <c r="Q785" s="20"/>
      <c r="R785" s="76"/>
      <c r="S785" s="76"/>
      <c r="T785" s="76"/>
      <c r="U785" s="76"/>
      <c r="V785" s="76"/>
      <c r="W785" s="76"/>
      <c r="X785" s="76"/>
      <c r="Y785" s="76"/>
      <c r="Z785" s="76"/>
      <c r="AA785" s="76"/>
      <c r="AB785" s="76"/>
      <c r="AC785" s="76"/>
    </row>
    <row r="786" spans="1:29">
      <c r="A786" s="35"/>
      <c r="B786" s="20"/>
      <c r="C786" s="16"/>
      <c r="D786" s="16"/>
      <c r="E786" s="16"/>
      <c r="F786" s="20"/>
      <c r="G786" s="16"/>
      <c r="H786" s="26"/>
      <c r="I786" s="8"/>
      <c r="J786" s="51"/>
      <c r="K786" s="103"/>
      <c r="L786" s="104"/>
      <c r="M786" s="104"/>
      <c r="N786" s="104"/>
      <c r="O786" s="104"/>
      <c r="P786" s="54"/>
      <c r="Q786" s="20"/>
      <c r="R786" s="76"/>
      <c r="S786" s="76"/>
      <c r="T786" s="76"/>
      <c r="U786" s="76"/>
      <c r="V786" s="76"/>
      <c r="W786" s="76"/>
      <c r="X786" s="76"/>
      <c r="Y786" s="76"/>
      <c r="Z786" s="76"/>
      <c r="AA786" s="76"/>
      <c r="AB786" s="76"/>
      <c r="AC786" s="76"/>
    </row>
    <row r="787" spans="1:29">
      <c r="A787" s="35"/>
      <c r="B787" s="20"/>
      <c r="C787" s="16"/>
      <c r="D787" s="16"/>
      <c r="E787" s="16"/>
      <c r="F787" s="20"/>
      <c r="G787" s="16"/>
      <c r="H787" s="26"/>
      <c r="I787" s="8"/>
      <c r="J787" s="51"/>
      <c r="K787" s="103"/>
      <c r="L787" s="104"/>
      <c r="M787" s="104"/>
      <c r="N787" s="104"/>
      <c r="O787" s="104"/>
      <c r="P787" s="54"/>
      <c r="Q787" s="20"/>
      <c r="R787" s="76"/>
      <c r="S787" s="76"/>
      <c r="T787" s="76"/>
      <c r="U787" s="76"/>
      <c r="V787" s="76"/>
      <c r="W787" s="76"/>
      <c r="X787" s="76"/>
      <c r="Y787" s="76"/>
      <c r="Z787" s="76"/>
      <c r="AA787" s="76"/>
      <c r="AB787" s="76"/>
      <c r="AC787" s="76"/>
    </row>
    <row r="788" spans="1:29">
      <c r="A788" s="35"/>
      <c r="B788" s="20"/>
      <c r="C788" s="16"/>
      <c r="D788" s="16"/>
      <c r="E788" s="16"/>
      <c r="F788" s="20"/>
      <c r="G788" s="16"/>
      <c r="H788" s="26"/>
      <c r="I788" s="8"/>
      <c r="J788" s="51"/>
      <c r="K788" s="103"/>
      <c r="L788" s="104"/>
      <c r="M788" s="104"/>
      <c r="N788" s="104"/>
      <c r="O788" s="104"/>
      <c r="P788" s="54"/>
      <c r="Q788" s="20"/>
      <c r="R788" s="76"/>
      <c r="S788" s="76"/>
      <c r="T788" s="76"/>
      <c r="U788" s="76"/>
      <c r="V788" s="76"/>
      <c r="W788" s="76"/>
      <c r="X788" s="76"/>
      <c r="Y788" s="76"/>
      <c r="Z788" s="76"/>
      <c r="AA788" s="76"/>
      <c r="AB788" s="76"/>
      <c r="AC788" s="76"/>
    </row>
    <row r="789" spans="1:29">
      <c r="A789" s="35"/>
      <c r="B789" s="20"/>
      <c r="C789" s="16"/>
      <c r="D789" s="16"/>
      <c r="E789" s="16"/>
      <c r="F789" s="20"/>
      <c r="G789" s="16"/>
      <c r="H789" s="26"/>
      <c r="I789" s="8"/>
      <c r="J789" s="51"/>
      <c r="K789" s="103"/>
      <c r="L789" s="104"/>
      <c r="M789" s="104"/>
      <c r="N789" s="104"/>
      <c r="O789" s="104"/>
      <c r="P789" s="54"/>
      <c r="Q789" s="20"/>
      <c r="R789" s="76"/>
      <c r="S789" s="76"/>
      <c r="T789" s="76"/>
      <c r="U789" s="76"/>
      <c r="V789" s="76"/>
      <c r="W789" s="76"/>
      <c r="X789" s="76"/>
      <c r="Y789" s="76"/>
      <c r="Z789" s="76"/>
      <c r="AA789" s="76"/>
      <c r="AB789" s="76"/>
      <c r="AC789" s="76"/>
    </row>
    <row r="790" spans="1:29">
      <c r="A790" s="35"/>
      <c r="B790" s="20"/>
      <c r="C790" s="16"/>
      <c r="D790" s="16"/>
      <c r="E790" s="16"/>
      <c r="F790" s="20"/>
      <c r="G790" s="16"/>
      <c r="H790" s="26"/>
      <c r="I790" s="8"/>
      <c r="J790" s="51"/>
      <c r="K790" s="103"/>
      <c r="L790" s="104"/>
      <c r="M790" s="104"/>
      <c r="N790" s="104"/>
      <c r="O790" s="104"/>
      <c r="P790" s="54"/>
      <c r="Q790" s="20"/>
      <c r="R790" s="76"/>
      <c r="S790" s="76"/>
      <c r="T790" s="76"/>
      <c r="U790" s="76"/>
      <c r="V790" s="76"/>
      <c r="W790" s="76"/>
      <c r="X790" s="76"/>
      <c r="Y790" s="76"/>
      <c r="Z790" s="76"/>
      <c r="AA790" s="76"/>
      <c r="AB790" s="76"/>
      <c r="AC790" s="76"/>
    </row>
    <row r="791" spans="1:29">
      <c r="A791" s="35"/>
      <c r="B791" s="20"/>
      <c r="C791" s="16"/>
      <c r="D791" s="16"/>
      <c r="E791" s="16"/>
      <c r="F791" s="20"/>
      <c r="G791" s="16"/>
      <c r="H791" s="26"/>
      <c r="I791" s="8"/>
      <c r="J791" s="51"/>
      <c r="K791" s="103"/>
      <c r="L791" s="104"/>
      <c r="M791" s="104"/>
      <c r="N791" s="104"/>
      <c r="O791" s="104"/>
      <c r="P791" s="54"/>
      <c r="Q791" s="20"/>
      <c r="R791" s="76"/>
      <c r="S791" s="76"/>
      <c r="T791" s="76"/>
      <c r="U791" s="76"/>
      <c r="V791" s="76"/>
      <c r="W791" s="76"/>
      <c r="X791" s="76"/>
      <c r="Y791" s="76"/>
      <c r="Z791" s="76"/>
      <c r="AA791" s="76"/>
      <c r="AB791" s="76"/>
      <c r="AC791" s="76"/>
    </row>
    <row r="792" spans="1:29">
      <c r="A792" s="35"/>
      <c r="B792" s="20"/>
      <c r="C792" s="16"/>
      <c r="D792" s="16"/>
      <c r="E792" s="16"/>
      <c r="F792" s="20"/>
      <c r="G792" s="16"/>
      <c r="H792" s="26"/>
      <c r="I792" s="8"/>
      <c r="J792" s="51"/>
      <c r="K792" s="103"/>
      <c r="L792" s="104"/>
      <c r="M792" s="104"/>
      <c r="N792" s="104"/>
      <c r="O792" s="104"/>
      <c r="P792" s="54"/>
      <c r="Q792" s="20"/>
      <c r="R792" s="76"/>
      <c r="S792" s="76"/>
      <c r="T792" s="76"/>
      <c r="U792" s="76"/>
      <c r="V792" s="76"/>
      <c r="W792" s="76"/>
      <c r="X792" s="76"/>
      <c r="Y792" s="76"/>
      <c r="Z792" s="76"/>
      <c r="AA792" s="76"/>
      <c r="AB792" s="76"/>
      <c r="AC792" s="76"/>
    </row>
    <row r="793" spans="1:29">
      <c r="A793" s="35"/>
      <c r="B793" s="20"/>
      <c r="C793" s="16"/>
      <c r="D793" s="16"/>
      <c r="E793" s="16"/>
      <c r="F793" s="20"/>
      <c r="G793" s="16"/>
      <c r="H793" s="26"/>
      <c r="I793" s="8"/>
      <c r="J793" s="51"/>
      <c r="K793" s="103"/>
      <c r="L793" s="104"/>
      <c r="M793" s="104"/>
      <c r="N793" s="104"/>
      <c r="O793" s="104"/>
      <c r="P793" s="54"/>
      <c r="Q793" s="20"/>
      <c r="R793" s="76"/>
      <c r="S793" s="76"/>
      <c r="T793" s="76"/>
      <c r="U793" s="76"/>
      <c r="V793" s="76"/>
      <c r="W793" s="76"/>
      <c r="X793" s="76"/>
      <c r="Y793" s="76"/>
      <c r="Z793" s="76"/>
      <c r="AA793" s="76"/>
      <c r="AB793" s="76"/>
      <c r="AC793" s="76"/>
    </row>
    <row r="794" spans="1:29">
      <c r="A794" s="35"/>
      <c r="B794" s="20"/>
      <c r="C794" s="16"/>
      <c r="D794" s="16"/>
      <c r="E794" s="16"/>
      <c r="F794" s="20"/>
      <c r="G794" s="16"/>
      <c r="H794" s="26"/>
      <c r="I794" s="8"/>
      <c r="J794" s="51"/>
      <c r="K794" s="103"/>
      <c r="L794" s="104"/>
      <c r="M794" s="104"/>
      <c r="N794" s="104"/>
      <c r="O794" s="104"/>
      <c r="P794" s="54"/>
      <c r="Q794" s="20"/>
      <c r="R794" s="76"/>
      <c r="S794" s="76"/>
      <c r="T794" s="76"/>
      <c r="U794" s="76"/>
      <c r="V794" s="76"/>
      <c r="W794" s="76"/>
      <c r="X794" s="76"/>
      <c r="Y794" s="76"/>
      <c r="Z794" s="76"/>
      <c r="AA794" s="76"/>
      <c r="AB794" s="76"/>
      <c r="AC794" s="76"/>
    </row>
    <row r="795" spans="1:29">
      <c r="A795" s="35"/>
      <c r="B795" s="20"/>
      <c r="C795" s="16"/>
      <c r="D795" s="16"/>
      <c r="E795" s="16"/>
      <c r="F795" s="20"/>
      <c r="G795" s="16"/>
      <c r="H795" s="26"/>
      <c r="I795" s="8"/>
      <c r="J795" s="51"/>
      <c r="K795" s="103"/>
      <c r="L795" s="104"/>
      <c r="M795" s="104"/>
      <c r="N795" s="104"/>
      <c r="O795" s="104"/>
      <c r="P795" s="54"/>
      <c r="Q795" s="20"/>
      <c r="R795" s="76"/>
      <c r="S795" s="76"/>
      <c r="T795" s="76"/>
      <c r="U795" s="76"/>
      <c r="V795" s="76"/>
      <c r="W795" s="76"/>
      <c r="X795" s="76"/>
      <c r="Y795" s="76"/>
      <c r="Z795" s="76"/>
      <c r="AA795" s="76"/>
      <c r="AB795" s="76"/>
      <c r="AC795" s="76"/>
    </row>
    <row r="796" spans="1:29">
      <c r="A796" s="35"/>
      <c r="B796" s="20"/>
      <c r="C796" s="16"/>
      <c r="D796" s="16"/>
      <c r="E796" s="16"/>
      <c r="F796" s="20"/>
      <c r="G796" s="16"/>
      <c r="H796" s="26"/>
      <c r="I796" s="8"/>
      <c r="J796" s="51"/>
      <c r="K796" s="103"/>
      <c r="L796" s="104"/>
      <c r="M796" s="104"/>
      <c r="N796" s="104"/>
      <c r="O796" s="104"/>
      <c r="P796" s="54"/>
      <c r="Q796" s="20"/>
      <c r="R796" s="76"/>
      <c r="S796" s="76"/>
      <c r="T796" s="76"/>
      <c r="U796" s="76"/>
      <c r="V796" s="76"/>
      <c r="W796" s="76"/>
      <c r="X796" s="76"/>
      <c r="Y796" s="76"/>
      <c r="Z796" s="76"/>
      <c r="AA796" s="76"/>
      <c r="AB796" s="76"/>
      <c r="AC796" s="76"/>
    </row>
    <row r="797" spans="1:29">
      <c r="A797" s="35"/>
      <c r="B797" s="20"/>
      <c r="C797" s="16"/>
      <c r="D797" s="16"/>
      <c r="E797" s="16"/>
      <c r="F797" s="20"/>
      <c r="G797" s="16"/>
      <c r="H797" s="26"/>
      <c r="I797" s="8"/>
      <c r="J797" s="51"/>
      <c r="K797" s="103"/>
      <c r="L797" s="104"/>
      <c r="M797" s="104"/>
      <c r="N797" s="104"/>
      <c r="O797" s="104"/>
      <c r="P797" s="54"/>
      <c r="Q797" s="20"/>
      <c r="R797" s="76"/>
      <c r="S797" s="76"/>
      <c r="T797" s="76"/>
      <c r="U797" s="76"/>
      <c r="V797" s="76"/>
      <c r="W797" s="76"/>
      <c r="X797" s="76"/>
      <c r="Y797" s="76"/>
      <c r="Z797" s="76"/>
      <c r="AA797" s="76"/>
      <c r="AB797" s="76"/>
      <c r="AC797" s="76"/>
    </row>
    <row r="798" spans="1:29">
      <c r="A798" s="35"/>
      <c r="B798" s="20"/>
      <c r="C798" s="16"/>
      <c r="D798" s="16"/>
      <c r="E798" s="16"/>
      <c r="F798" s="20"/>
      <c r="G798" s="16"/>
      <c r="H798" s="26"/>
      <c r="I798" s="8"/>
      <c r="J798" s="51"/>
      <c r="K798" s="103"/>
      <c r="L798" s="104"/>
      <c r="M798" s="104"/>
      <c r="N798" s="104"/>
      <c r="O798" s="104"/>
      <c r="P798" s="54"/>
      <c r="Q798" s="20"/>
      <c r="R798" s="76"/>
      <c r="S798" s="76"/>
      <c r="T798" s="76"/>
      <c r="U798" s="76"/>
      <c r="V798" s="76"/>
      <c r="W798" s="76"/>
      <c r="X798" s="76"/>
      <c r="Y798" s="76"/>
      <c r="Z798" s="76"/>
      <c r="AA798" s="76"/>
      <c r="AB798" s="76"/>
      <c r="AC798" s="76"/>
    </row>
    <row r="799" spans="1:29">
      <c r="A799" s="35"/>
      <c r="B799" s="20"/>
      <c r="C799" s="16"/>
      <c r="D799" s="16"/>
      <c r="E799" s="16"/>
      <c r="F799" s="20"/>
      <c r="G799" s="16"/>
      <c r="H799" s="26"/>
      <c r="I799" s="8"/>
      <c r="J799" s="51"/>
      <c r="K799" s="103"/>
      <c r="L799" s="104"/>
      <c r="M799" s="104"/>
      <c r="N799" s="104"/>
      <c r="O799" s="104"/>
      <c r="P799" s="54"/>
      <c r="Q799" s="20"/>
      <c r="R799" s="76"/>
      <c r="S799" s="76"/>
      <c r="T799" s="76"/>
      <c r="U799" s="76"/>
      <c r="V799" s="76"/>
      <c r="W799" s="76"/>
      <c r="X799" s="76"/>
      <c r="Y799" s="76"/>
      <c r="Z799" s="76"/>
      <c r="AA799" s="76"/>
      <c r="AB799" s="76"/>
      <c r="AC799" s="76"/>
    </row>
    <row r="800" spans="1:29">
      <c r="A800" s="35"/>
      <c r="B800" s="20"/>
      <c r="C800" s="16"/>
      <c r="D800" s="16"/>
      <c r="E800" s="16"/>
      <c r="F800" s="20"/>
      <c r="G800" s="16"/>
      <c r="H800" s="26"/>
      <c r="I800" s="8"/>
      <c r="J800" s="51"/>
      <c r="K800" s="103"/>
      <c r="L800" s="104"/>
      <c r="M800" s="104"/>
      <c r="N800" s="104"/>
      <c r="O800" s="104"/>
      <c r="P800" s="54"/>
      <c r="Q800" s="20"/>
      <c r="R800" s="76"/>
      <c r="S800" s="76"/>
      <c r="T800" s="76"/>
      <c r="U800" s="76"/>
      <c r="V800" s="76"/>
      <c r="W800" s="76"/>
      <c r="X800" s="76"/>
      <c r="Y800" s="76"/>
      <c r="Z800" s="76"/>
      <c r="AA800" s="76"/>
      <c r="AB800" s="76"/>
      <c r="AC800" s="76"/>
    </row>
    <row r="801" spans="1:29">
      <c r="A801" s="35"/>
      <c r="B801" s="20"/>
      <c r="C801" s="16"/>
      <c r="D801" s="16"/>
      <c r="E801" s="16"/>
      <c r="F801" s="20"/>
      <c r="G801" s="16"/>
      <c r="H801" s="26"/>
      <c r="I801" s="8"/>
      <c r="J801" s="51"/>
      <c r="K801" s="103"/>
      <c r="L801" s="104"/>
      <c r="M801" s="104"/>
      <c r="N801" s="104"/>
      <c r="O801" s="104"/>
      <c r="P801" s="54"/>
      <c r="Q801" s="20"/>
      <c r="R801" s="76"/>
      <c r="S801" s="76"/>
      <c r="T801" s="76"/>
      <c r="U801" s="76"/>
      <c r="V801" s="76"/>
      <c r="W801" s="76"/>
      <c r="X801" s="76"/>
      <c r="Y801" s="76"/>
      <c r="Z801" s="76"/>
      <c r="AA801" s="76"/>
      <c r="AB801" s="76"/>
      <c r="AC801" s="76"/>
    </row>
    <row r="802" spans="1:29">
      <c r="A802" s="35"/>
      <c r="B802" s="20"/>
      <c r="C802" s="16"/>
      <c r="D802" s="16"/>
      <c r="E802" s="16"/>
      <c r="F802" s="20"/>
      <c r="G802" s="16"/>
      <c r="H802" s="26"/>
      <c r="I802" s="8"/>
      <c r="J802" s="51"/>
      <c r="K802" s="103"/>
      <c r="L802" s="104"/>
      <c r="M802" s="104"/>
      <c r="N802" s="104"/>
      <c r="O802" s="104"/>
      <c r="P802" s="54"/>
      <c r="Q802" s="20"/>
      <c r="R802" s="76"/>
      <c r="S802" s="76"/>
      <c r="T802" s="76"/>
      <c r="U802" s="76"/>
      <c r="V802" s="76"/>
      <c r="W802" s="76"/>
      <c r="X802" s="76"/>
      <c r="Y802" s="76"/>
      <c r="Z802" s="76"/>
      <c r="AA802" s="76"/>
      <c r="AB802" s="76"/>
      <c r="AC802" s="76"/>
    </row>
    <row r="803" spans="1:29">
      <c r="A803" s="35"/>
      <c r="B803" s="20"/>
      <c r="C803" s="16"/>
      <c r="D803" s="16"/>
      <c r="E803" s="16"/>
      <c r="F803" s="20"/>
      <c r="G803" s="16"/>
      <c r="H803" s="26"/>
      <c r="I803" s="8"/>
      <c r="J803" s="51"/>
      <c r="K803" s="103"/>
      <c r="L803" s="104"/>
      <c r="M803" s="104"/>
      <c r="N803" s="104"/>
      <c r="O803" s="104"/>
      <c r="P803" s="54"/>
      <c r="Q803" s="20"/>
      <c r="R803" s="76"/>
      <c r="S803" s="76"/>
      <c r="T803" s="76"/>
      <c r="U803" s="76"/>
      <c r="V803" s="76"/>
      <c r="W803" s="76"/>
      <c r="X803" s="76"/>
      <c r="Y803" s="76"/>
      <c r="Z803" s="76"/>
      <c r="AA803" s="76"/>
      <c r="AB803" s="76"/>
      <c r="AC803" s="76"/>
    </row>
    <row r="804" spans="1:29">
      <c r="A804" s="35"/>
      <c r="B804" s="20"/>
      <c r="C804" s="16"/>
      <c r="D804" s="16"/>
      <c r="E804" s="16"/>
      <c r="F804" s="20"/>
      <c r="G804" s="16"/>
      <c r="H804" s="26"/>
      <c r="I804" s="8"/>
      <c r="J804" s="51"/>
      <c r="K804" s="103"/>
      <c r="L804" s="104"/>
      <c r="M804" s="104"/>
      <c r="N804" s="104"/>
      <c r="O804" s="104"/>
      <c r="P804" s="54"/>
      <c r="Q804" s="20"/>
      <c r="R804" s="76"/>
      <c r="S804" s="76"/>
      <c r="T804" s="76"/>
      <c r="U804" s="76"/>
      <c r="V804" s="76"/>
      <c r="W804" s="76"/>
      <c r="X804" s="76"/>
      <c r="Y804" s="76"/>
      <c r="Z804" s="76"/>
      <c r="AA804" s="76"/>
      <c r="AB804" s="76"/>
      <c r="AC804" s="76"/>
    </row>
    <row r="805" spans="1:29">
      <c r="A805" s="35"/>
      <c r="B805" s="20"/>
      <c r="C805" s="16"/>
      <c r="D805" s="16"/>
      <c r="E805" s="16"/>
      <c r="F805" s="20"/>
      <c r="G805" s="16"/>
      <c r="H805" s="26"/>
      <c r="I805" s="8"/>
      <c r="J805" s="51"/>
      <c r="K805" s="103"/>
      <c r="L805" s="104"/>
      <c r="M805" s="104"/>
      <c r="N805" s="104"/>
      <c r="O805" s="104"/>
      <c r="P805" s="54"/>
      <c r="Q805" s="20"/>
      <c r="R805" s="76"/>
      <c r="S805" s="76"/>
      <c r="T805" s="76"/>
      <c r="U805" s="76"/>
      <c r="V805" s="76"/>
      <c r="W805" s="76"/>
      <c r="X805" s="76"/>
      <c r="Y805" s="76"/>
      <c r="Z805" s="76"/>
      <c r="AA805" s="76"/>
      <c r="AB805" s="76"/>
      <c r="AC805" s="76"/>
    </row>
    <row r="806" spans="1:29">
      <c r="A806" s="35"/>
      <c r="B806" s="20"/>
      <c r="C806" s="16"/>
      <c r="D806" s="16"/>
      <c r="E806" s="16"/>
      <c r="F806" s="20"/>
      <c r="G806" s="16"/>
      <c r="H806" s="26"/>
      <c r="I806" s="8"/>
      <c r="J806" s="51"/>
      <c r="K806" s="103"/>
      <c r="L806" s="104"/>
      <c r="M806" s="104"/>
      <c r="N806" s="104"/>
      <c r="O806" s="104"/>
      <c r="P806" s="54"/>
      <c r="Q806" s="20"/>
      <c r="R806" s="76"/>
      <c r="S806" s="76"/>
      <c r="T806" s="76"/>
      <c r="U806" s="76"/>
      <c r="V806" s="76"/>
      <c r="W806" s="76"/>
      <c r="X806" s="76"/>
      <c r="Y806" s="76"/>
      <c r="Z806" s="76"/>
      <c r="AA806" s="76"/>
      <c r="AB806" s="76"/>
      <c r="AC806" s="76"/>
    </row>
    <row r="807" spans="1:29">
      <c r="A807" s="35"/>
      <c r="B807" s="20"/>
      <c r="C807" s="16"/>
      <c r="D807" s="16"/>
      <c r="E807" s="16"/>
      <c r="F807" s="20"/>
      <c r="G807" s="16"/>
      <c r="H807" s="26"/>
      <c r="I807" s="8"/>
      <c r="J807" s="51"/>
      <c r="K807" s="103"/>
      <c r="L807" s="104"/>
      <c r="M807" s="104"/>
      <c r="N807" s="104"/>
      <c r="O807" s="104"/>
      <c r="P807" s="54"/>
      <c r="Q807" s="20"/>
      <c r="R807" s="76"/>
      <c r="S807" s="76"/>
      <c r="T807" s="76"/>
      <c r="U807" s="76"/>
      <c r="V807" s="76"/>
      <c r="W807" s="76"/>
      <c r="X807" s="76"/>
      <c r="Y807" s="76"/>
      <c r="Z807" s="76"/>
      <c r="AA807" s="76"/>
      <c r="AB807" s="76"/>
      <c r="AC807" s="76"/>
    </row>
    <row r="808" spans="1:29">
      <c r="A808" s="35"/>
      <c r="B808" s="20"/>
      <c r="C808" s="16"/>
      <c r="D808" s="16"/>
      <c r="E808" s="16"/>
      <c r="F808" s="20"/>
      <c r="G808" s="16"/>
      <c r="H808" s="26"/>
      <c r="I808" s="8"/>
      <c r="J808" s="51"/>
      <c r="K808" s="103"/>
      <c r="L808" s="104"/>
      <c r="M808" s="104"/>
      <c r="N808" s="104"/>
      <c r="O808" s="104"/>
      <c r="P808" s="54"/>
      <c r="Q808" s="20"/>
      <c r="R808" s="76"/>
      <c r="S808" s="76"/>
      <c r="T808" s="76"/>
      <c r="U808" s="76"/>
      <c r="V808" s="76"/>
      <c r="W808" s="76"/>
      <c r="X808" s="76"/>
      <c r="Y808" s="76"/>
      <c r="Z808" s="76"/>
      <c r="AA808" s="76"/>
      <c r="AB808" s="76"/>
      <c r="AC808" s="76"/>
    </row>
    <row r="809" spans="1:29">
      <c r="A809" s="35"/>
      <c r="B809" s="20"/>
      <c r="C809" s="16"/>
      <c r="D809" s="16"/>
      <c r="E809" s="16"/>
      <c r="F809" s="20"/>
      <c r="G809" s="16"/>
      <c r="H809" s="26"/>
      <c r="I809" s="8"/>
      <c r="J809" s="51"/>
      <c r="K809" s="103"/>
      <c r="L809" s="104"/>
      <c r="M809" s="104"/>
      <c r="N809" s="104"/>
      <c r="O809" s="104"/>
      <c r="P809" s="54"/>
      <c r="Q809" s="20"/>
      <c r="R809" s="76"/>
      <c r="S809" s="76"/>
      <c r="T809" s="76"/>
      <c r="U809" s="76"/>
      <c r="V809" s="76"/>
      <c r="W809" s="76"/>
      <c r="X809" s="76"/>
      <c r="Y809" s="76"/>
      <c r="Z809" s="76"/>
      <c r="AA809" s="76"/>
      <c r="AB809" s="76"/>
      <c r="AC809" s="76"/>
    </row>
    <row r="810" spans="1:29">
      <c r="A810" s="35"/>
      <c r="B810" s="20"/>
      <c r="C810" s="16"/>
      <c r="D810" s="16"/>
      <c r="E810" s="16"/>
      <c r="F810" s="20"/>
      <c r="G810" s="16"/>
      <c r="H810" s="26"/>
      <c r="I810" s="8"/>
      <c r="J810" s="51"/>
      <c r="K810" s="103"/>
      <c r="L810" s="104"/>
      <c r="M810" s="104"/>
      <c r="N810" s="104"/>
      <c r="O810" s="104"/>
      <c r="P810" s="54"/>
      <c r="Q810" s="20"/>
      <c r="R810" s="76"/>
      <c r="S810" s="76"/>
      <c r="T810" s="76"/>
      <c r="U810" s="76"/>
      <c r="V810" s="76"/>
      <c r="W810" s="76"/>
      <c r="X810" s="76"/>
      <c r="Y810" s="76"/>
      <c r="Z810" s="76"/>
      <c r="AA810" s="76"/>
      <c r="AB810" s="76"/>
      <c r="AC810" s="76"/>
    </row>
    <row r="811" spans="1:29">
      <c r="A811" s="35"/>
      <c r="B811" s="20"/>
      <c r="C811" s="16"/>
      <c r="D811" s="16"/>
      <c r="E811" s="16"/>
      <c r="F811" s="20"/>
      <c r="G811" s="16"/>
      <c r="H811" s="26"/>
      <c r="I811" s="8"/>
      <c r="J811" s="51"/>
      <c r="K811" s="103"/>
      <c r="L811" s="104"/>
      <c r="M811" s="104"/>
      <c r="N811" s="104"/>
      <c r="O811" s="104"/>
      <c r="P811" s="54"/>
      <c r="Q811" s="20"/>
      <c r="R811" s="76"/>
      <c r="S811" s="76"/>
      <c r="T811" s="76"/>
      <c r="U811" s="76"/>
      <c r="V811" s="76"/>
      <c r="W811" s="76"/>
      <c r="X811" s="76"/>
      <c r="Y811" s="76"/>
      <c r="Z811" s="76"/>
      <c r="AA811" s="76"/>
      <c r="AB811" s="76"/>
      <c r="AC811" s="76"/>
    </row>
    <row r="812" spans="1:29">
      <c r="A812" s="35"/>
      <c r="B812" s="20"/>
      <c r="C812" s="16"/>
      <c r="D812" s="16"/>
      <c r="E812" s="16"/>
      <c r="F812" s="20"/>
      <c r="G812" s="16"/>
      <c r="H812" s="26"/>
      <c r="I812" s="8"/>
      <c r="J812" s="51"/>
      <c r="K812" s="103"/>
      <c r="L812" s="104"/>
      <c r="M812" s="104"/>
      <c r="N812" s="104"/>
      <c r="O812" s="104"/>
      <c r="P812" s="54"/>
      <c r="Q812" s="20"/>
      <c r="R812" s="76"/>
      <c r="S812" s="76"/>
      <c r="T812" s="76"/>
      <c r="U812" s="76"/>
      <c r="V812" s="76"/>
      <c r="W812" s="76"/>
      <c r="X812" s="76"/>
      <c r="Y812" s="76"/>
      <c r="Z812" s="76"/>
      <c r="AA812" s="76"/>
      <c r="AB812" s="76"/>
      <c r="AC812" s="76"/>
    </row>
    <row r="813" spans="1:29">
      <c r="A813" s="35"/>
      <c r="B813" s="20"/>
      <c r="C813" s="16"/>
      <c r="D813" s="16"/>
      <c r="E813" s="16"/>
      <c r="F813" s="20"/>
      <c r="G813" s="16"/>
      <c r="H813" s="26"/>
      <c r="I813" s="8"/>
      <c r="J813" s="51"/>
      <c r="K813" s="103"/>
      <c r="L813" s="104"/>
      <c r="M813" s="104"/>
      <c r="N813" s="104"/>
      <c r="O813" s="104"/>
      <c r="P813" s="54"/>
      <c r="Q813" s="20"/>
      <c r="R813" s="76"/>
      <c r="S813" s="76"/>
      <c r="T813" s="76"/>
      <c r="U813" s="76"/>
      <c r="V813" s="76"/>
      <c r="W813" s="76"/>
      <c r="X813" s="76"/>
      <c r="Y813" s="76"/>
      <c r="Z813" s="76"/>
      <c r="AA813" s="76"/>
      <c r="AB813" s="76"/>
      <c r="AC813" s="76"/>
    </row>
    <row r="814" spans="1:29">
      <c r="A814" s="35"/>
      <c r="B814" s="20"/>
      <c r="C814" s="16"/>
      <c r="D814" s="16"/>
      <c r="E814" s="16"/>
      <c r="F814" s="20"/>
      <c r="G814" s="16"/>
      <c r="H814" s="26"/>
      <c r="I814" s="8"/>
      <c r="J814" s="51"/>
      <c r="K814" s="103"/>
      <c r="L814" s="104"/>
      <c r="M814" s="104"/>
      <c r="N814" s="104"/>
      <c r="O814" s="104"/>
      <c r="P814" s="54"/>
      <c r="Q814" s="20"/>
      <c r="R814" s="76"/>
      <c r="S814" s="76"/>
      <c r="T814" s="76"/>
      <c r="U814" s="76"/>
      <c r="V814" s="76"/>
      <c r="W814" s="76"/>
      <c r="X814" s="76"/>
      <c r="Y814" s="76"/>
      <c r="Z814" s="76"/>
      <c r="AA814" s="76"/>
      <c r="AB814" s="76"/>
      <c r="AC814" s="76"/>
    </row>
    <row r="815" spans="1:29">
      <c r="A815" s="35"/>
      <c r="B815" s="20"/>
      <c r="C815" s="16"/>
      <c r="D815" s="16" t="str">
        <f>IFERROR(VLOOKUP(C815,Master!$D$2:$E$50,2,0),"")</f>
        <v/>
      </c>
      <c r="E815" s="16"/>
      <c r="F815" s="20"/>
      <c r="G815" s="16" t="str">
        <f>IFERROR(VLOOKUP(_xlfn.CONCAT($D815,$E815,$F815),'Profil Risiko'!$M:$N,2,0),"")</f>
        <v/>
      </c>
      <c r="H815" s="26"/>
      <c r="I815" s="8"/>
      <c r="J815" s="51"/>
      <c r="K815" s="103"/>
      <c r="L815" s="104"/>
      <c r="M815" s="104"/>
      <c r="N815" s="104"/>
      <c r="O815" s="104"/>
      <c r="P815" s="54"/>
      <c r="Q815" s="20"/>
      <c r="R815" s="76"/>
      <c r="S815" s="76"/>
      <c r="T815" s="76"/>
      <c r="U815" s="76"/>
      <c r="V815" s="76"/>
      <c r="W815" s="76"/>
      <c r="X815" s="76"/>
      <c r="Y815" s="76"/>
      <c r="Z815" s="76"/>
      <c r="AA815" s="76"/>
      <c r="AB815" s="76"/>
      <c r="AC815" s="76"/>
    </row>
    <row r="818" spans="10:10">
      <c r="J818" s="176"/>
    </row>
  </sheetData>
  <mergeCells count="20">
    <mergeCell ref="R5:AC5"/>
    <mergeCell ref="J2:J3"/>
    <mergeCell ref="K2:K3"/>
    <mergeCell ref="R6:AC6"/>
    <mergeCell ref="L2:L3"/>
    <mergeCell ref="Q2:Q3"/>
    <mergeCell ref="R2:AC2"/>
    <mergeCell ref="R4:AC4"/>
    <mergeCell ref="P2:P3"/>
    <mergeCell ref="N2:O2"/>
    <mergeCell ref="M2:M3"/>
    <mergeCell ref="I2:I3"/>
    <mergeCell ref="A2:A3"/>
    <mergeCell ref="B2:B3"/>
    <mergeCell ref="G2:G3"/>
    <mergeCell ref="F2:F3"/>
    <mergeCell ref="H2:H3"/>
    <mergeCell ref="C2:C3"/>
    <mergeCell ref="D2:D3"/>
    <mergeCell ref="E2:E3"/>
  </mergeCells>
  <conditionalFormatting sqref="R5 R7:AC815">
    <cfRule type="cellIs" dxfId="46" priority="3" operator="equal">
      <formula>1</formula>
    </cfRule>
  </conditionalFormatting>
  <conditionalFormatting sqref="R4:AC4">
    <cfRule type="cellIs" dxfId="45" priority="4" operator="equal">
      <formula>1</formula>
    </cfRule>
  </conditionalFormatting>
  <hyperlinks>
    <hyperlink ref="A1" location="'Daftar Isi'!A1" display="Kembali ke Daftar Isi" xr:uid="{1FE65571-7090-43C6-B909-949E11FAAA52}"/>
  </hyperlink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DE6F0D2F-9B75-4BA5-A305-99858DFE7348}">
          <x14:formula1>
            <xm:f>Master!$P$2:$P$12</xm:f>
          </x14:formula1>
          <xm:sqref>P7:P815</xm:sqref>
        </x14:dataValidation>
        <x14:dataValidation type="list" allowBlank="1" showInputMessage="1" showErrorMessage="1" xr:uid="{8D37FEDF-F390-4BFE-8F31-5ED25FD0150C}">
          <x14:formula1>
            <xm:f>Master!$Q$2:$Q$3</xm:f>
          </x14:formula1>
          <xm:sqref>R7:AC815</xm:sqref>
        </x14:dataValidation>
        <x14:dataValidation type="list" allowBlank="1" showInputMessage="1" showErrorMessage="1" xr:uid="{57289B1F-67F8-49D9-AC41-C5DE0B53D140}">
          <x14:formula1>
            <xm:f>Master!$O$2:$O$9</xm:f>
          </x14:formula1>
          <xm:sqref>I7:I815</xm:sqref>
        </x14:dataValidation>
        <x14:dataValidation type="list" allowBlank="1" showInputMessage="1" showErrorMessage="1" xr:uid="{E2D3A1AF-36FF-4783-8A9B-D8EA8D93D387}">
          <x14:formula1>
            <xm:f>Master!$N$2:$N$5</xm:f>
          </x14:formula1>
          <xm:sqref>H7:H815</xm:sqref>
        </x14:dataValidation>
        <x14:dataValidation type="list" allowBlank="1" showInputMessage="1" showErrorMessage="1" xr:uid="{608BCC7D-85C6-E547-89CE-D75A6E1D8412}">
          <x14:formula1>
            <xm:f>Master!$D$2:$D$50</xm:f>
          </x14:formula1>
          <xm:sqref>C7:C815</xm:sqref>
        </x14:dataValidation>
        <x14:dataValidation type="list" allowBlank="1" showInputMessage="1" showErrorMessage="1" xr:uid="{73EB4B3F-8716-407A-8C50-D1C597C987C3}">
          <x14:formula1>
            <xm:f>Sheet1!$C$2:$C$17</xm:f>
          </x14:formula1>
          <xm:sqref>Q7:Q815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6E95-DD26-0C47-867F-BB46E6CEE3E4}">
  <sheetPr codeName="Sheet5">
    <tabColor rgb="FF1896A4"/>
  </sheetPr>
  <dimension ref="A1:R38"/>
  <sheetViews>
    <sheetView showGridLines="0" topLeftCell="D1" zoomScale="115" zoomScaleNormal="115" workbookViewId="0">
      <pane ySplit="5" topLeftCell="A7" activePane="bottomLeft" state="frozen"/>
      <selection activeCell="W7" sqref="W7:Z7"/>
      <selection pane="bottomLeft" activeCell="W7" sqref="W7:Z7"/>
    </sheetView>
  </sheetViews>
  <sheetFormatPr defaultColWidth="11.3984375" defaultRowHeight="10.15"/>
  <cols>
    <col min="1" max="1" width="8.1328125" style="46" customWidth="1"/>
    <col min="2" max="2" width="7" style="46" customWidth="1"/>
    <col min="3" max="3" width="11.1328125" style="46" customWidth="1"/>
    <col min="4" max="4" width="8.86328125" style="23" customWidth="1"/>
    <col min="5" max="5" width="6.86328125" style="46" customWidth="1"/>
    <col min="6" max="6" width="18.1328125" style="46" customWidth="1"/>
    <col min="7" max="7" width="26" style="23" customWidth="1"/>
    <col min="8" max="8" width="25.3984375" style="33" customWidth="1"/>
    <col min="9" max="9" width="13.86328125" style="33" customWidth="1"/>
    <col min="10" max="10" width="16.86328125" style="33" bestFit="1" customWidth="1"/>
    <col min="11" max="11" width="13.3984375" style="33" customWidth="1"/>
    <col min="12" max="12" width="17.1328125" style="33" bestFit="1" customWidth="1"/>
    <col min="13" max="13" width="18.86328125" style="33" bestFit="1" customWidth="1"/>
    <col min="14" max="14" width="14.86328125" style="33" customWidth="1"/>
    <col min="15" max="15" width="11" style="33" customWidth="1"/>
    <col min="16" max="16" width="14" style="33" customWidth="1"/>
    <col min="17" max="17" width="11.3984375" style="46"/>
    <col min="18" max="18" width="16.1328125" style="46" customWidth="1"/>
    <col min="19" max="16384" width="11.3984375" style="46"/>
  </cols>
  <sheetData>
    <row r="1" spans="1:18" ht="14.25">
      <c r="A1" s="112" t="s">
        <v>29</v>
      </c>
      <c r="B1" s="33"/>
      <c r="C1" s="33"/>
      <c r="D1" s="33"/>
      <c r="E1" s="33"/>
      <c r="F1" s="33"/>
      <c r="G1" s="33"/>
      <c r="Q1" s="33"/>
      <c r="R1" s="33"/>
    </row>
    <row r="2" spans="1:18" ht="15" customHeight="1">
      <c r="A2" s="1846" t="s">
        <v>31</v>
      </c>
      <c r="B2" s="1846" t="s">
        <v>47</v>
      </c>
      <c r="C2" s="1846" t="s">
        <v>125</v>
      </c>
      <c r="D2" s="1843" t="s">
        <v>49</v>
      </c>
      <c r="E2" s="1846" t="s">
        <v>126</v>
      </c>
      <c r="F2" s="1846" t="s">
        <v>140</v>
      </c>
      <c r="G2" s="1849" t="s">
        <v>2391</v>
      </c>
      <c r="H2" s="1855"/>
      <c r="I2" s="1855"/>
      <c r="J2" s="1855"/>
      <c r="K2" s="1855"/>
      <c r="L2" s="1855"/>
      <c r="M2" s="1855"/>
      <c r="N2" s="1855"/>
      <c r="O2" s="1855"/>
      <c r="P2" s="1855"/>
      <c r="Q2" s="1855"/>
      <c r="R2" s="1850"/>
    </row>
    <row r="3" spans="1:18" ht="15" customHeight="1">
      <c r="A3" s="1846"/>
      <c r="B3" s="1846"/>
      <c r="C3" s="1846"/>
      <c r="D3" s="1843"/>
      <c r="E3" s="1846"/>
      <c r="F3" s="1846"/>
      <c r="G3" s="1856" t="s">
        <v>2392</v>
      </c>
      <c r="H3" s="1856" t="s">
        <v>169</v>
      </c>
      <c r="I3" s="1853" t="s">
        <v>170</v>
      </c>
      <c r="J3" s="1854"/>
      <c r="K3" s="1856" t="s">
        <v>143</v>
      </c>
      <c r="L3" s="1853" t="s">
        <v>172</v>
      </c>
      <c r="M3" s="1854"/>
      <c r="N3" s="1856" t="s">
        <v>145</v>
      </c>
      <c r="O3" s="1853" t="s">
        <v>2393</v>
      </c>
      <c r="P3" s="1854"/>
      <c r="Q3" s="1853" t="s">
        <v>2394</v>
      </c>
      <c r="R3" s="1854"/>
    </row>
    <row r="4" spans="1:18" ht="20.25" customHeight="1">
      <c r="A4" s="1846"/>
      <c r="B4" s="1846"/>
      <c r="C4" s="1846"/>
      <c r="D4" s="1843"/>
      <c r="E4" s="1846"/>
      <c r="F4" s="1846"/>
      <c r="G4" s="1856"/>
      <c r="H4" s="1856"/>
      <c r="I4" s="34" t="s">
        <v>125</v>
      </c>
      <c r="J4" s="34" t="s">
        <v>2395</v>
      </c>
      <c r="K4" s="1856"/>
      <c r="L4" s="34" t="s">
        <v>125</v>
      </c>
      <c r="M4" s="34" t="s">
        <v>2395</v>
      </c>
      <c r="N4" s="1856"/>
      <c r="O4" s="34" t="s">
        <v>125</v>
      </c>
      <c r="P4" s="34" t="s">
        <v>2395</v>
      </c>
      <c r="Q4" s="34" t="s">
        <v>125</v>
      </c>
      <c r="R4" s="34" t="s">
        <v>2395</v>
      </c>
    </row>
    <row r="5" spans="1:18" ht="30.4">
      <c r="A5" s="35" t="s">
        <v>36</v>
      </c>
      <c r="B5" s="4" t="s">
        <v>59</v>
      </c>
      <c r="C5" s="4" t="s">
        <v>59</v>
      </c>
      <c r="D5" s="4" t="s">
        <v>59</v>
      </c>
      <c r="E5" s="4" t="s">
        <v>59</v>
      </c>
      <c r="F5" s="4" t="s">
        <v>59</v>
      </c>
      <c r="G5" s="4" t="s">
        <v>60</v>
      </c>
      <c r="H5" s="5" t="s">
        <v>179</v>
      </c>
      <c r="I5" s="5" t="s">
        <v>58</v>
      </c>
      <c r="J5" s="4" t="s">
        <v>59</v>
      </c>
      <c r="K5" s="5" t="s">
        <v>202</v>
      </c>
      <c r="L5" s="5" t="s">
        <v>58</v>
      </c>
      <c r="M5" s="5" t="s">
        <v>58</v>
      </c>
      <c r="N5" s="5" t="s">
        <v>2396</v>
      </c>
      <c r="O5" s="5" t="s">
        <v>203</v>
      </c>
      <c r="P5" s="5" t="s">
        <v>203</v>
      </c>
      <c r="Q5" s="4" t="s">
        <v>60</v>
      </c>
      <c r="R5" s="4" t="s">
        <v>59</v>
      </c>
    </row>
    <row r="6" spans="1:18" s="47" customFormat="1" ht="121.5">
      <c r="A6" s="35" t="s">
        <v>38</v>
      </c>
      <c r="B6" s="8"/>
      <c r="C6" s="8"/>
      <c r="D6" s="13" t="s">
        <v>64</v>
      </c>
      <c r="E6" s="8" t="s">
        <v>210</v>
      </c>
      <c r="F6" s="8" t="s">
        <v>2397</v>
      </c>
      <c r="G6" s="8" t="s">
        <v>2398</v>
      </c>
      <c r="H6" s="9" t="s">
        <v>2399</v>
      </c>
      <c r="I6" s="9" t="s">
        <v>2400</v>
      </c>
      <c r="J6" s="9" t="s">
        <v>2401</v>
      </c>
      <c r="K6" s="9" t="s">
        <v>2402</v>
      </c>
      <c r="L6" s="9" t="s">
        <v>2403</v>
      </c>
      <c r="M6" s="9" t="s">
        <v>2401</v>
      </c>
      <c r="N6" s="9" t="s">
        <v>2404</v>
      </c>
      <c r="O6" s="36" t="s">
        <v>2405</v>
      </c>
      <c r="P6" s="9" t="s">
        <v>2401</v>
      </c>
      <c r="Q6" s="9" t="s">
        <v>2406</v>
      </c>
      <c r="R6" s="9" t="s">
        <v>2401</v>
      </c>
    </row>
    <row r="7" spans="1:18" s="47" customFormat="1" ht="129.75" customHeight="1">
      <c r="A7" s="38" t="s">
        <v>43</v>
      </c>
      <c r="B7" s="8"/>
      <c r="C7" s="12"/>
      <c r="D7" s="12"/>
      <c r="E7" s="8"/>
      <c r="F7" s="8" t="s">
        <v>2407</v>
      </c>
      <c r="G7" s="13"/>
      <c r="H7" s="82" t="s">
        <v>2408</v>
      </c>
      <c r="I7" s="9" t="s">
        <v>2409</v>
      </c>
      <c r="J7" s="39"/>
      <c r="K7" s="39"/>
      <c r="L7" s="9" t="s">
        <v>2410</v>
      </c>
      <c r="M7" s="39"/>
      <c r="N7" s="39" t="s">
        <v>2411</v>
      </c>
      <c r="O7" s="39"/>
      <c r="P7" s="40"/>
      <c r="Q7" s="9" t="s">
        <v>2412</v>
      </c>
      <c r="R7" s="9" t="s">
        <v>2413</v>
      </c>
    </row>
    <row r="8" spans="1:18" ht="40.700000000000003" customHeight="1">
      <c r="A8" s="35" t="s">
        <v>266</v>
      </c>
      <c r="B8" s="8"/>
      <c r="C8" s="16" t="s">
        <v>75</v>
      </c>
      <c r="D8" s="16" t="str">
        <f>IFERROR(VLOOKUP(C8,Master!$D$2:$E$50,2,0),"")</f>
        <v>PLNA</v>
      </c>
      <c r="E8" s="8">
        <f>'Profil Risiko'!I7</f>
        <v>1</v>
      </c>
      <c r="F8" s="9" t="str">
        <f>IFERROR(VLOOKUP($E8,'Profil Risiko'!$I:$J,2,0),"")</f>
        <v>Terjadi pemadaman meluas pada sistem Batam Bintan</v>
      </c>
      <c r="G8" s="8" t="s">
        <v>2414</v>
      </c>
      <c r="H8" s="204">
        <v>12.2</v>
      </c>
      <c r="I8" s="20">
        <v>5</v>
      </c>
      <c r="J8" s="20"/>
      <c r="K8" s="42">
        <v>0.2</v>
      </c>
      <c r="L8" s="20">
        <v>3</v>
      </c>
      <c r="M8" s="20"/>
      <c r="N8" s="205">
        <f>$H8*$K8</f>
        <v>2.44</v>
      </c>
      <c r="O8" s="44">
        <v>23</v>
      </c>
      <c r="P8" s="77" t="str">
        <f>IFERROR(VLOOKUP($J8&amp;$M8,Master!$V$2:$W$26,2,0),"No Data")</f>
        <v>No Data</v>
      </c>
      <c r="Q8" s="191" t="str">
        <f>VLOOKUP(O8,E$14:F$38,2,FALSE)</f>
        <v>High</v>
      </c>
      <c r="R8" s="78" t="str">
        <f>IFERROR(VLOOKUP($J8&amp;$M8,Master!$W$2:$Y$26,3,0),"No Data")</f>
        <v>No Data</v>
      </c>
    </row>
    <row r="9" spans="1:18" ht="40.700000000000003" customHeight="1">
      <c r="A9" s="35"/>
      <c r="B9" s="8"/>
      <c r="C9" s="16"/>
      <c r="D9" s="16"/>
      <c r="E9" s="8"/>
      <c r="F9" s="188"/>
      <c r="G9" s="8"/>
      <c r="H9" s="189"/>
      <c r="I9" s="20"/>
      <c r="J9" s="20"/>
      <c r="K9" s="42"/>
      <c r="L9" s="20"/>
      <c r="M9" s="20"/>
      <c r="N9" s="190"/>
      <c r="O9" s="44"/>
      <c r="P9" s="77"/>
      <c r="Q9" s="191"/>
      <c r="R9" s="78"/>
    </row>
    <row r="10" spans="1:18" ht="10.5">
      <c r="A10" s="35"/>
      <c r="B10" s="8"/>
      <c r="C10" s="16"/>
      <c r="D10" s="16" t="str">
        <f>IFERROR(VLOOKUP(C10,Master!$D$2:$E$50,2,0),"")</f>
        <v/>
      </c>
      <c r="E10" s="8"/>
      <c r="F10" s="76" t="str">
        <f>IFERROR(VLOOKUP($E10,'Profil Risiko'!$I:$J,2,0),"")</f>
        <v/>
      </c>
      <c r="G10" s="8"/>
      <c r="H10" s="41"/>
      <c r="I10" s="20"/>
      <c r="J10" s="20"/>
      <c r="K10" s="42"/>
      <c r="L10" s="20"/>
      <c r="M10" s="20"/>
      <c r="N10" s="43">
        <f>$H10*$K10</f>
        <v>0</v>
      </c>
      <c r="O10" s="44"/>
      <c r="P10" s="77" t="str">
        <f>IFERROR(VLOOKUP($J10&amp;$M10,Master!$V$2:$W$26,2,0),"No Data")</f>
        <v>No Data</v>
      </c>
      <c r="Q10" s="191"/>
      <c r="R10" s="78" t="str">
        <f>IFERROR(VLOOKUP($J10&amp;$M10,Master!$W$2:$Y$26,3,0),"No Data")</f>
        <v>No Data</v>
      </c>
    </row>
    <row r="14" spans="1:18">
      <c r="E14" s="49">
        <v>1</v>
      </c>
      <c r="F14" s="46" t="s">
        <v>1394</v>
      </c>
    </row>
    <row r="15" spans="1:18">
      <c r="E15" s="49">
        <v>2</v>
      </c>
      <c r="F15" s="46" t="s">
        <v>1394</v>
      </c>
    </row>
    <row r="16" spans="1:18">
      <c r="E16" s="49">
        <v>3</v>
      </c>
      <c r="F16" s="46" t="s">
        <v>1394</v>
      </c>
    </row>
    <row r="17" spans="5:6">
      <c r="E17" s="49">
        <v>4</v>
      </c>
      <c r="F17" s="46" t="s">
        <v>1394</v>
      </c>
    </row>
    <row r="18" spans="5:6">
      <c r="E18" s="49">
        <v>5</v>
      </c>
      <c r="F18" s="46" t="s">
        <v>1394</v>
      </c>
    </row>
    <row r="19" spans="5:6">
      <c r="E19" s="49">
        <v>6</v>
      </c>
      <c r="F19" s="46" t="s">
        <v>1428</v>
      </c>
    </row>
    <row r="20" spans="5:6">
      <c r="E20" s="49">
        <v>7</v>
      </c>
      <c r="F20" s="46" t="s">
        <v>1428</v>
      </c>
    </row>
    <row r="21" spans="5:6">
      <c r="E21" s="49">
        <v>8</v>
      </c>
      <c r="F21" s="46" t="s">
        <v>1428</v>
      </c>
    </row>
    <row r="22" spans="5:6">
      <c r="E22" s="49">
        <v>9</v>
      </c>
      <c r="F22" s="46" t="s">
        <v>1428</v>
      </c>
    </row>
    <row r="23" spans="5:6">
      <c r="E23" s="49">
        <v>10</v>
      </c>
      <c r="F23" s="46" t="s">
        <v>1428</v>
      </c>
    </row>
    <row r="24" spans="5:6">
      <c r="E24" s="49">
        <v>11</v>
      </c>
      <c r="F24" s="46" t="s">
        <v>1428</v>
      </c>
    </row>
    <row r="25" spans="5:6">
      <c r="E25" s="49">
        <v>12</v>
      </c>
      <c r="F25" s="46" t="s">
        <v>1401</v>
      </c>
    </row>
    <row r="26" spans="5:6">
      <c r="E26" s="49">
        <v>13</v>
      </c>
      <c r="F26" s="46" t="s">
        <v>1401</v>
      </c>
    </row>
    <row r="27" spans="5:6">
      <c r="E27" s="49">
        <v>14</v>
      </c>
      <c r="F27" s="46" t="s">
        <v>1401</v>
      </c>
    </row>
    <row r="28" spans="5:6">
      <c r="E28" s="49">
        <v>15</v>
      </c>
      <c r="F28" s="46" t="s">
        <v>1401</v>
      </c>
    </row>
    <row r="29" spans="5:6">
      <c r="E29" s="49">
        <v>16</v>
      </c>
      <c r="F29" s="46" t="s">
        <v>1404</v>
      </c>
    </row>
    <row r="30" spans="5:6">
      <c r="E30" s="49">
        <v>17</v>
      </c>
      <c r="F30" s="46" t="s">
        <v>1404</v>
      </c>
    </row>
    <row r="31" spans="5:6">
      <c r="E31" s="49">
        <v>18</v>
      </c>
      <c r="F31" s="46" t="s">
        <v>1404</v>
      </c>
    </row>
    <row r="32" spans="5:6">
      <c r="E32" s="49">
        <v>19</v>
      </c>
      <c r="F32" s="46" t="s">
        <v>1404</v>
      </c>
    </row>
    <row r="33" spans="5:6">
      <c r="E33" s="49">
        <v>20</v>
      </c>
      <c r="F33" s="46" t="s">
        <v>1405</v>
      </c>
    </row>
    <row r="34" spans="5:6">
      <c r="E34" s="49">
        <v>21</v>
      </c>
      <c r="F34" s="46" t="s">
        <v>1405</v>
      </c>
    </row>
    <row r="35" spans="5:6">
      <c r="E35" s="49">
        <v>22</v>
      </c>
      <c r="F35" s="46" t="s">
        <v>1405</v>
      </c>
    </row>
    <row r="36" spans="5:6">
      <c r="E36" s="49">
        <v>23</v>
      </c>
      <c r="F36" s="46" t="s">
        <v>1405</v>
      </c>
    </row>
    <row r="37" spans="5:6">
      <c r="E37" s="49">
        <v>24</v>
      </c>
      <c r="F37" s="46" t="s">
        <v>1405</v>
      </c>
    </row>
    <row r="38" spans="5:6">
      <c r="E38" s="49">
        <v>25</v>
      </c>
      <c r="F38" s="46" t="s">
        <v>1405</v>
      </c>
    </row>
  </sheetData>
  <mergeCells count="15">
    <mergeCell ref="A2:A4"/>
    <mergeCell ref="B2:B4"/>
    <mergeCell ref="C2:C4"/>
    <mergeCell ref="H3:H4"/>
    <mergeCell ref="E2:E4"/>
    <mergeCell ref="F2:F4"/>
    <mergeCell ref="D2:D4"/>
    <mergeCell ref="Q3:R3"/>
    <mergeCell ref="G2:R2"/>
    <mergeCell ref="I3:J3"/>
    <mergeCell ref="L3:M3"/>
    <mergeCell ref="N3:N4"/>
    <mergeCell ref="K3:K4"/>
    <mergeCell ref="O3:P3"/>
    <mergeCell ref="G3:G4"/>
  </mergeCells>
  <conditionalFormatting sqref="H6">
    <cfRule type="expression" dxfId="44" priority="1">
      <formula>#REF!="kualitatif"</formula>
    </cfRule>
  </conditionalFormatting>
  <conditionalFormatting sqref="H8:H10">
    <cfRule type="expression" dxfId="43" priority="12">
      <formula>$T8="kualitatif"</formula>
    </cfRule>
  </conditionalFormatting>
  <conditionalFormatting sqref="R11:R1048576">
    <cfRule type="cellIs" dxfId="42" priority="2" operator="equal">
      <formula>#REF!</formula>
    </cfRule>
    <cfRule type="cellIs" dxfId="41" priority="3" operator="equal">
      <formula>#REF!</formula>
    </cfRule>
    <cfRule type="cellIs" dxfId="40" priority="4" operator="equal">
      <formula>#REF!</formula>
    </cfRule>
    <cfRule type="cellIs" dxfId="39" priority="5" operator="equal">
      <formula>#REF!</formula>
    </cfRule>
    <cfRule type="cellIs" dxfId="38" priority="6" operator="equal">
      <formula>#REF!</formula>
    </cfRule>
  </conditionalFormatting>
  <hyperlinks>
    <hyperlink ref="A1" location="'Daftar Isi'!A1" display="Kembali ke Daftar Isi" xr:uid="{1AC6A49D-15CC-469F-8EDA-11106723D321}"/>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3D9C905-0909-43F9-A6F5-2C4C643D093C}">
          <x14:formula1>
            <xm:f>Master!$H$2:$H$6</xm:f>
          </x14:formula1>
          <xm:sqref>I8:J10 L8:M10</xm:sqref>
        </x14:dataValidation>
        <x14:dataValidation type="list" allowBlank="1" showInputMessage="1" showErrorMessage="1" xr:uid="{DA93648A-08D7-4CDB-A974-EB3A4598CC91}">
          <x14:formula1>
            <xm:f>Master!$I$2:$I$26</xm:f>
          </x14:formula1>
          <xm:sqref>O8:O10</xm:sqref>
        </x14:dataValidation>
        <x14:dataValidation type="list" allowBlank="1" showInputMessage="1" showErrorMessage="1" xr:uid="{59B81715-FF13-AA49-A02D-1257FD7287A6}">
          <x14:formula1>
            <xm:f>Master!$D$2:$D$50</xm:f>
          </x14:formula1>
          <xm:sqref>C8:C10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2EF68-442F-4BDC-9C4A-D64C87240CC7}">
  <sheetPr codeName="Sheet6">
    <tabColor rgb="FF1896A4"/>
  </sheetPr>
  <dimension ref="A1:R15"/>
  <sheetViews>
    <sheetView showGridLines="0" zoomScaleNormal="100" workbookViewId="0">
      <pane xSplit="1" ySplit="5" topLeftCell="H8" activePane="bottomRight" state="frozen"/>
      <selection pane="topRight" activeCell="W7" sqref="W7:Z7"/>
      <selection pane="bottomLeft" activeCell="W7" sqref="W7:Z7"/>
      <selection pane="bottomRight" activeCell="W7" sqref="W7:Z7"/>
    </sheetView>
  </sheetViews>
  <sheetFormatPr defaultColWidth="11.3984375" defaultRowHeight="10.15"/>
  <cols>
    <col min="1" max="1" width="7.86328125" style="46" customWidth="1"/>
    <col min="2" max="2" width="7" style="46" customWidth="1"/>
    <col min="3" max="3" width="10.86328125" style="46" customWidth="1"/>
    <col min="4" max="4" width="8.86328125" style="23" customWidth="1"/>
    <col min="5" max="5" width="8" style="46" customWidth="1"/>
    <col min="6" max="6" width="18.1328125" style="46" customWidth="1"/>
    <col min="7" max="7" width="17" style="23" customWidth="1"/>
    <col min="8" max="8" width="22.1328125" style="33" customWidth="1"/>
    <col min="9" max="9" width="15.1328125" style="33" customWidth="1"/>
    <col min="10" max="10" width="16.86328125" style="33" bestFit="1" customWidth="1"/>
    <col min="11" max="11" width="21" style="33" customWidth="1"/>
    <col min="12" max="12" width="12.86328125" style="33" customWidth="1"/>
    <col min="13" max="13" width="18.86328125" style="33" bestFit="1" customWidth="1"/>
    <col min="14" max="14" width="14.86328125" style="33" customWidth="1"/>
    <col min="15" max="16" width="17.3984375" style="33" bestFit="1" customWidth="1"/>
    <col min="17" max="17" width="11.3984375" style="46"/>
    <col min="18" max="18" width="14.1328125" style="46" bestFit="1" customWidth="1"/>
    <col min="19" max="16384" width="11.3984375" style="46"/>
  </cols>
  <sheetData>
    <row r="1" spans="1:18" ht="14.25">
      <c r="A1" s="112" t="s">
        <v>29</v>
      </c>
      <c r="B1" s="33"/>
      <c r="C1" s="33"/>
      <c r="D1" s="33"/>
      <c r="E1" s="33"/>
      <c r="F1" s="33"/>
      <c r="G1" s="33"/>
      <c r="Q1" s="33"/>
      <c r="R1" s="33"/>
    </row>
    <row r="2" spans="1:18" ht="14.25" customHeight="1">
      <c r="A2" s="1846" t="s">
        <v>31</v>
      </c>
      <c r="B2" s="1846" t="s">
        <v>47</v>
      </c>
      <c r="C2" s="1846" t="s">
        <v>125</v>
      </c>
      <c r="D2" s="1843" t="s">
        <v>49</v>
      </c>
      <c r="E2" s="1846" t="s">
        <v>126</v>
      </c>
      <c r="F2" s="1851" t="s">
        <v>140</v>
      </c>
      <c r="G2" s="1849" t="s">
        <v>2391</v>
      </c>
      <c r="H2" s="1855"/>
      <c r="I2" s="1855"/>
      <c r="J2" s="1855"/>
      <c r="K2" s="1855"/>
      <c r="L2" s="1855"/>
      <c r="M2" s="1855"/>
      <c r="N2" s="1855"/>
      <c r="O2" s="1855"/>
      <c r="P2" s="1855"/>
      <c r="Q2" s="1855"/>
      <c r="R2" s="1855"/>
    </row>
    <row r="3" spans="1:18" ht="14.25" customHeight="1">
      <c r="A3" s="1846"/>
      <c r="B3" s="1846"/>
      <c r="C3" s="1846"/>
      <c r="D3" s="1843"/>
      <c r="E3" s="1846"/>
      <c r="F3" s="1857"/>
      <c r="G3" s="1856" t="s">
        <v>2415</v>
      </c>
      <c r="H3" s="1856" t="s">
        <v>169</v>
      </c>
      <c r="I3" s="1853" t="s">
        <v>170</v>
      </c>
      <c r="J3" s="1854"/>
      <c r="K3" s="1856" t="s">
        <v>143</v>
      </c>
      <c r="L3" s="1853" t="s">
        <v>172</v>
      </c>
      <c r="M3" s="1854"/>
      <c r="N3" s="1856" t="s">
        <v>173</v>
      </c>
      <c r="O3" s="1853" t="s">
        <v>174</v>
      </c>
      <c r="P3" s="1854"/>
      <c r="Q3" s="1853" t="s">
        <v>175</v>
      </c>
      <c r="R3" s="1854"/>
    </row>
    <row r="4" spans="1:18" ht="14.25" customHeight="1">
      <c r="A4" s="1846"/>
      <c r="B4" s="1846"/>
      <c r="C4" s="1846"/>
      <c r="D4" s="1843"/>
      <c r="E4" s="1846"/>
      <c r="F4" s="1852"/>
      <c r="G4" s="1856"/>
      <c r="H4" s="1856"/>
      <c r="I4" s="34" t="s">
        <v>125</v>
      </c>
      <c r="J4" s="34" t="s">
        <v>2395</v>
      </c>
      <c r="K4" s="1856"/>
      <c r="L4" s="34" t="s">
        <v>125</v>
      </c>
      <c r="M4" s="34" t="s">
        <v>2395</v>
      </c>
      <c r="N4" s="1856"/>
      <c r="O4" s="34" t="s">
        <v>125</v>
      </c>
      <c r="P4" s="34" t="s">
        <v>2395</v>
      </c>
      <c r="Q4" s="34" t="s">
        <v>125</v>
      </c>
      <c r="R4" s="34" t="s">
        <v>2395</v>
      </c>
    </row>
    <row r="5" spans="1:18" ht="30.4">
      <c r="A5" s="35" t="s">
        <v>36</v>
      </c>
      <c r="B5" s="4" t="s">
        <v>59</v>
      </c>
      <c r="C5" s="4" t="s">
        <v>59</v>
      </c>
      <c r="D5" s="4" t="s">
        <v>59</v>
      </c>
      <c r="E5" s="4" t="s">
        <v>59</v>
      </c>
      <c r="F5" s="4" t="s">
        <v>59</v>
      </c>
      <c r="G5" s="4" t="s">
        <v>60</v>
      </c>
      <c r="H5" s="5" t="s">
        <v>179</v>
      </c>
      <c r="I5" s="5" t="s">
        <v>58</v>
      </c>
      <c r="J5" s="4" t="s">
        <v>59</v>
      </c>
      <c r="K5" s="5" t="s">
        <v>202</v>
      </c>
      <c r="L5" s="5" t="s">
        <v>58</v>
      </c>
      <c r="M5" s="4" t="s">
        <v>59</v>
      </c>
      <c r="N5" s="4" t="s">
        <v>57</v>
      </c>
      <c r="O5" s="5" t="s">
        <v>203</v>
      </c>
      <c r="P5" s="5" t="s">
        <v>203</v>
      </c>
      <c r="Q5" s="4" t="s">
        <v>60</v>
      </c>
      <c r="R5" s="4" t="s">
        <v>59</v>
      </c>
    </row>
    <row r="6" spans="1:18" s="47" customFormat="1" ht="70.900000000000006">
      <c r="A6" s="35" t="s">
        <v>38</v>
      </c>
      <c r="B6" s="8"/>
      <c r="C6" s="8"/>
      <c r="D6" s="13" t="s">
        <v>64</v>
      </c>
      <c r="E6" s="8" t="s">
        <v>210</v>
      </c>
      <c r="F6" s="8" t="s">
        <v>2397</v>
      </c>
      <c r="G6" s="8" t="s">
        <v>2416</v>
      </c>
      <c r="H6" s="9" t="s">
        <v>2417</v>
      </c>
      <c r="I6" s="9" t="s">
        <v>2400</v>
      </c>
      <c r="J6" s="9" t="s">
        <v>2401</v>
      </c>
      <c r="K6" s="9" t="s">
        <v>2402</v>
      </c>
      <c r="L6" s="9" t="s">
        <v>2403</v>
      </c>
      <c r="M6" s="9" t="s">
        <v>2401</v>
      </c>
      <c r="N6" s="9" t="s">
        <v>2418</v>
      </c>
      <c r="O6" s="36" t="s">
        <v>2405</v>
      </c>
      <c r="P6" s="9" t="s">
        <v>2401</v>
      </c>
      <c r="Q6" s="9" t="s">
        <v>2419</v>
      </c>
      <c r="R6" s="9" t="s">
        <v>2401</v>
      </c>
    </row>
    <row r="7" spans="1:18" s="47" customFormat="1" ht="182.25">
      <c r="A7" s="38" t="s">
        <v>43</v>
      </c>
      <c r="B7" s="8"/>
      <c r="C7" s="12"/>
      <c r="D7" s="12"/>
      <c r="E7" s="8"/>
      <c r="F7" s="8" t="s">
        <v>2407</v>
      </c>
      <c r="G7" s="13"/>
      <c r="H7" s="39"/>
      <c r="I7" s="9" t="s">
        <v>2420</v>
      </c>
      <c r="J7" s="39"/>
      <c r="K7" s="39"/>
      <c r="L7" s="9" t="s">
        <v>2410</v>
      </c>
      <c r="M7" s="39"/>
      <c r="N7" s="39"/>
      <c r="O7" s="9" t="s">
        <v>2421</v>
      </c>
      <c r="P7" s="22"/>
      <c r="Q7" s="9" t="s">
        <v>2422</v>
      </c>
      <c r="R7" s="9" t="s">
        <v>2413</v>
      </c>
    </row>
    <row r="8" spans="1:18" ht="91.15">
      <c r="A8" s="35" t="s">
        <v>266</v>
      </c>
      <c r="B8" s="20"/>
      <c r="C8" s="16" t="s">
        <v>75</v>
      </c>
      <c r="D8" s="16" t="str">
        <f>IFERROR(VLOOKUP(C8,Master!$D$2:$E$50,2,0),"")</f>
        <v>PLNA</v>
      </c>
      <c r="E8" s="8">
        <v>1</v>
      </c>
      <c r="F8" s="20" t="str">
        <f>IFERROR(VLOOKUP($E8,'Profil Risiko'!$I:$J,2,0),"")</f>
        <v>Terjadi pemadaman meluas pada sistem Batam Bintan</v>
      </c>
      <c r="G8" s="199" t="s">
        <v>2423</v>
      </c>
      <c r="H8" s="200">
        <v>12.2</v>
      </c>
      <c r="I8" s="20">
        <v>5</v>
      </c>
      <c r="J8" s="20"/>
      <c r="K8" s="42">
        <v>0.2</v>
      </c>
      <c r="L8" s="20">
        <v>1</v>
      </c>
      <c r="M8" s="20"/>
      <c r="N8" s="201">
        <f>1%*'Metrik Strategi Risiko'!$E$7*$I8*$K8</f>
        <v>3.5999999999999999E-3</v>
      </c>
      <c r="O8" s="44">
        <v>20</v>
      </c>
      <c r="P8" s="77" t="str">
        <f>IFERROR(VLOOKUP($J8&amp;$M8,Master!$V$2:$W$26,2,0),"No Data")</f>
        <v>No Data</v>
      </c>
      <c r="Q8" s="15" t="s">
        <v>1405</v>
      </c>
      <c r="R8" s="78" t="str">
        <f>IFERROR(VLOOKUP($J8&amp;$M8,Master!$W$2:$Y$26,3,0),"No Data")</f>
        <v>No Data</v>
      </c>
    </row>
    <row r="9" spans="1:18" ht="10.5">
      <c r="A9" s="35"/>
      <c r="B9" s="20"/>
      <c r="C9" s="16"/>
      <c r="D9" s="16"/>
      <c r="E9" s="8"/>
      <c r="F9" s="76"/>
      <c r="G9" s="41"/>
      <c r="H9" s="41"/>
      <c r="I9" s="20"/>
      <c r="J9" s="20"/>
      <c r="K9" s="42"/>
      <c r="L9" s="20"/>
      <c r="M9" s="20"/>
      <c r="N9" s="43"/>
      <c r="O9" s="44"/>
      <c r="P9" s="77"/>
      <c r="Q9" s="15"/>
      <c r="R9" s="78"/>
    </row>
    <row r="10" spans="1:18" ht="10.5">
      <c r="A10" s="35"/>
      <c r="B10" s="20"/>
      <c r="C10" s="16"/>
      <c r="D10" s="16"/>
      <c r="E10" s="8"/>
      <c r="F10" s="76"/>
      <c r="G10" s="41"/>
      <c r="H10" s="41"/>
      <c r="I10" s="20"/>
      <c r="J10" s="20"/>
      <c r="K10" s="42"/>
      <c r="L10" s="20"/>
      <c r="M10" s="20"/>
      <c r="N10" s="43"/>
      <c r="O10" s="44"/>
      <c r="P10" s="77"/>
      <c r="Q10" s="15"/>
      <c r="R10" s="78"/>
    </row>
    <row r="11" spans="1:18" ht="10.5">
      <c r="A11" s="35"/>
      <c r="B11" s="20"/>
      <c r="C11" s="16"/>
      <c r="D11" s="16"/>
      <c r="E11" s="8"/>
      <c r="F11" s="76"/>
      <c r="G11" s="41"/>
      <c r="H11" s="41"/>
      <c r="I11" s="20"/>
      <c r="J11" s="20"/>
      <c r="K11" s="42"/>
      <c r="L11" s="20"/>
      <c r="M11" s="20"/>
      <c r="N11" s="43"/>
      <c r="O11" s="44"/>
      <c r="P11" s="77"/>
      <c r="Q11" s="15"/>
      <c r="R11" s="78"/>
    </row>
    <row r="12" spans="1:18" ht="10.5">
      <c r="A12" s="35"/>
      <c r="B12" s="20"/>
      <c r="C12" s="16"/>
      <c r="D12" s="16"/>
      <c r="E12" s="8"/>
      <c r="F12" s="76"/>
      <c r="G12" s="41"/>
      <c r="H12" s="41"/>
      <c r="I12" s="20"/>
      <c r="J12" s="20"/>
      <c r="K12" s="42"/>
      <c r="L12" s="20"/>
      <c r="M12" s="20"/>
      <c r="N12" s="43"/>
      <c r="O12" s="44"/>
      <c r="P12" s="77"/>
      <c r="Q12" s="15"/>
      <c r="R12" s="78"/>
    </row>
    <row r="13" spans="1:18" ht="10.5">
      <c r="A13" s="35"/>
      <c r="B13" s="20"/>
      <c r="C13" s="16"/>
      <c r="D13" s="16"/>
      <c r="E13" s="8"/>
      <c r="F13" s="76"/>
      <c r="G13" s="41"/>
      <c r="H13" s="41"/>
      <c r="I13" s="20"/>
      <c r="J13" s="20"/>
      <c r="K13" s="42"/>
      <c r="L13" s="20"/>
      <c r="M13" s="20"/>
      <c r="N13" s="43"/>
      <c r="O13" s="44"/>
      <c r="P13" s="77"/>
      <c r="Q13" s="15"/>
      <c r="R13" s="78"/>
    </row>
    <row r="14" spans="1:18" ht="10.5">
      <c r="A14" s="35"/>
      <c r="B14" s="20"/>
      <c r="C14" s="16"/>
      <c r="D14" s="16"/>
      <c r="E14" s="8"/>
      <c r="F14" s="76"/>
      <c r="G14" s="41"/>
      <c r="H14" s="41"/>
      <c r="I14" s="20"/>
      <c r="J14" s="20"/>
      <c r="K14" s="42"/>
      <c r="L14" s="20"/>
      <c r="M14" s="20"/>
      <c r="N14" s="43"/>
      <c r="O14" s="44"/>
      <c r="P14" s="77"/>
      <c r="Q14" s="15"/>
      <c r="R14" s="78"/>
    </row>
    <row r="15" spans="1:18" ht="15.75" customHeight="1">
      <c r="A15" s="35"/>
      <c r="B15" s="20"/>
      <c r="C15" s="16"/>
      <c r="D15" s="16" t="str">
        <f>IFERROR(VLOOKUP(C15,Master!$D$2:$E$50,2,0),"")</f>
        <v/>
      </c>
      <c r="E15" s="8"/>
      <c r="F15" s="76" t="str">
        <f>IFERROR(VLOOKUP($E15,'Profil Risiko'!$I:$J,2,0),"")</f>
        <v/>
      </c>
      <c r="G15" s="41"/>
      <c r="H15" s="41"/>
      <c r="I15" s="20">
        <v>3</v>
      </c>
      <c r="J15" s="20"/>
      <c r="K15" s="42"/>
      <c r="L15" s="20"/>
      <c r="M15" s="20"/>
      <c r="N15" s="43">
        <f>1%*'Metrik Strategi Risiko'!$E$7*$I15*$K15</f>
        <v>0</v>
      </c>
      <c r="O15" s="44"/>
      <c r="P15" s="77" t="str">
        <f>IFERROR(VLOOKUP($J15&amp;$M15,Master!$V$2:$W$26,2,0),"No Data")</f>
        <v>No Data</v>
      </c>
      <c r="Q15" s="15"/>
      <c r="R15" s="78" t="str">
        <f>IFERROR(VLOOKUP($J15&amp;$M15,Master!$W$2:$Y$26,3,0),"No Data")</f>
        <v>No Data</v>
      </c>
    </row>
  </sheetData>
  <mergeCells count="15">
    <mergeCell ref="G2:R2"/>
    <mergeCell ref="L3:M3"/>
    <mergeCell ref="O3:P3"/>
    <mergeCell ref="Q3:R3"/>
    <mergeCell ref="H3:H4"/>
    <mergeCell ref="K3:K4"/>
    <mergeCell ref="N3:N4"/>
    <mergeCell ref="I3:J3"/>
    <mergeCell ref="G3:G4"/>
    <mergeCell ref="A2:A4"/>
    <mergeCell ref="B2:B4"/>
    <mergeCell ref="E2:E4"/>
    <mergeCell ref="C2:C4"/>
    <mergeCell ref="F2:F4"/>
    <mergeCell ref="D2:D4"/>
  </mergeCells>
  <conditionalFormatting sqref="G8:H15">
    <cfRule type="expression" dxfId="37" priority="14">
      <formula>$V8="kualitatif"</formula>
    </cfRule>
  </conditionalFormatting>
  <conditionalFormatting sqref="H6">
    <cfRule type="expression" dxfId="36" priority="3">
      <formula>#REF!="kualitatif"</formula>
    </cfRule>
  </conditionalFormatting>
  <conditionalFormatting sqref="N6">
    <cfRule type="expression" dxfId="35" priority="1">
      <formula>#REF!="kualitatif"</formula>
    </cfRule>
  </conditionalFormatting>
  <conditionalFormatting sqref="R16:R1048576">
    <cfRule type="cellIs" dxfId="34" priority="9" operator="equal">
      <formula>#REF!</formula>
    </cfRule>
    <cfRule type="cellIs" dxfId="33" priority="10" operator="equal">
      <formula>#REF!</formula>
    </cfRule>
    <cfRule type="cellIs" dxfId="32" priority="11" operator="equal">
      <formula>#REF!</formula>
    </cfRule>
    <cfRule type="cellIs" dxfId="31" priority="12" operator="equal">
      <formula>#REF!</formula>
    </cfRule>
    <cfRule type="cellIs" dxfId="30" priority="13" operator="equal">
      <formula>#REF!</formula>
    </cfRule>
  </conditionalFormatting>
  <hyperlinks>
    <hyperlink ref="A1" location="'Daftar Isi'!A1" display="Kembali ke Daftar Isi" xr:uid="{C89200DD-BAF7-4B30-80A0-5B08EA40D3A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134EFBF-B78A-4477-8173-F13911041382}">
          <x14:formula1>
            <xm:f>Master!$H$2:$H$6</xm:f>
          </x14:formula1>
          <xm:sqref>L8:L15 I8:I15</xm:sqref>
        </x14:dataValidation>
        <x14:dataValidation type="list" allowBlank="1" showInputMessage="1" showErrorMessage="1" xr:uid="{095C37DF-6B84-43DA-99F0-306DEC68F53C}">
          <x14:formula1>
            <xm:f>Master!$I$2:$I$26</xm:f>
          </x14:formula1>
          <xm:sqref>O8:O15</xm:sqref>
        </x14:dataValidation>
        <x14:dataValidation type="list" allowBlank="1" showInputMessage="1" showErrorMessage="1" xr:uid="{C3016567-60AA-4948-9CC4-BBE06F5F75DB}">
          <x14:formula1>
            <xm:f>Master!$D$2:$D$50</xm:f>
          </x14:formula1>
          <xm:sqref>C8:C15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68EE3-D347-7943-A406-027449ABA0A3}">
  <sheetPr codeName="Sheet7">
    <tabColor rgb="FF1896A4"/>
  </sheetPr>
  <dimension ref="A1:AX14"/>
  <sheetViews>
    <sheetView showGridLines="0" topLeftCell="G1" zoomScale="85" zoomScaleNormal="115" workbookViewId="0">
      <pane ySplit="6" topLeftCell="A8" activePane="bottomLeft" state="frozen"/>
      <selection activeCell="W7" sqref="W7:Z7"/>
      <selection pane="bottomLeft" activeCell="W7" sqref="W7:Z7"/>
    </sheetView>
  </sheetViews>
  <sheetFormatPr defaultColWidth="11.3984375" defaultRowHeight="10.15"/>
  <cols>
    <col min="1" max="1" width="8.86328125" style="46" customWidth="1"/>
    <col min="2" max="2" width="8" style="46" customWidth="1"/>
    <col min="3" max="3" width="11" style="46" customWidth="1"/>
    <col min="4" max="4" width="9.3984375" style="23" customWidth="1"/>
    <col min="5" max="5" width="8" style="46" customWidth="1"/>
    <col min="6" max="6" width="17.3984375" style="46" bestFit="1" customWidth="1"/>
    <col min="7" max="10" width="6.59765625" style="33" customWidth="1"/>
    <col min="11" max="14" width="4.3984375" style="33" customWidth="1"/>
    <col min="15" max="18" width="5" style="33" customWidth="1"/>
    <col min="19" max="21" width="4.3984375" style="33" bestFit="1" customWidth="1"/>
    <col min="22" max="22" width="5" style="33" bestFit="1" customWidth="1"/>
    <col min="23" max="26" width="3.86328125" style="33" customWidth="1"/>
    <col min="27" max="27" width="3.3984375" style="33" bestFit="1" customWidth="1"/>
    <col min="28" max="30" width="4" style="33" bestFit="1" customWidth="1"/>
    <col min="31" max="34" width="7.1328125" style="33" customWidth="1"/>
    <col min="35" max="35" width="3.1328125" style="33" bestFit="1" customWidth="1"/>
    <col min="36" max="38" width="4" style="33" bestFit="1" customWidth="1"/>
    <col min="39" max="42" width="4.3984375" style="33" bestFit="1" customWidth="1"/>
    <col min="43" max="43" width="5.86328125" style="33" customWidth="1"/>
    <col min="44" max="44" width="7.86328125" style="33" customWidth="1"/>
    <col min="45" max="46" width="6.3984375" style="33" customWidth="1"/>
    <col min="47" max="50" width="7" style="46" bestFit="1" customWidth="1"/>
    <col min="51" max="16384" width="11.3984375" style="46"/>
  </cols>
  <sheetData>
    <row r="1" spans="1:50" ht="14.25">
      <c r="A1" s="112" t="s">
        <v>29</v>
      </c>
      <c r="B1" s="33"/>
      <c r="C1" s="33"/>
      <c r="D1" s="33"/>
      <c r="E1" s="33"/>
      <c r="F1" s="33"/>
      <c r="AU1" s="33"/>
      <c r="AV1" s="33"/>
      <c r="AW1" s="33"/>
      <c r="AX1" s="33"/>
    </row>
    <row r="2" spans="1:50" ht="14.25" customHeight="1">
      <c r="A2" s="1846" t="s">
        <v>31</v>
      </c>
      <c r="B2" s="1846" t="s">
        <v>47</v>
      </c>
      <c r="C2" s="1846" t="s">
        <v>125</v>
      </c>
      <c r="D2" s="1843" t="s">
        <v>49</v>
      </c>
      <c r="E2" s="1846" t="s">
        <v>126</v>
      </c>
      <c r="F2" s="1846" t="s">
        <v>140</v>
      </c>
      <c r="G2" s="1846" t="s">
        <v>123</v>
      </c>
      <c r="H2" s="1846"/>
      <c r="I2" s="1846"/>
      <c r="J2" s="1846"/>
      <c r="K2" s="1846"/>
      <c r="L2" s="1846"/>
      <c r="M2" s="1846"/>
      <c r="N2" s="1846"/>
      <c r="O2" s="1846"/>
      <c r="P2" s="1846"/>
      <c r="Q2" s="1846"/>
      <c r="R2" s="1846"/>
      <c r="S2" s="1846"/>
      <c r="T2" s="1846"/>
      <c r="U2" s="1846"/>
      <c r="V2" s="1846"/>
      <c r="W2" s="1846"/>
      <c r="X2" s="1846"/>
      <c r="Y2" s="1846"/>
      <c r="Z2" s="1846"/>
      <c r="AA2" s="1846"/>
      <c r="AB2" s="1846"/>
      <c r="AC2" s="1846"/>
      <c r="AD2" s="1846"/>
      <c r="AE2" s="1846"/>
      <c r="AF2" s="1846"/>
      <c r="AG2" s="1846"/>
      <c r="AH2" s="1846"/>
      <c r="AI2" s="1846"/>
      <c r="AJ2" s="1846"/>
      <c r="AK2" s="1846"/>
      <c r="AL2" s="1846"/>
      <c r="AM2" s="1846"/>
      <c r="AN2" s="1846"/>
      <c r="AO2" s="1846"/>
      <c r="AP2" s="1846"/>
      <c r="AQ2" s="1846"/>
      <c r="AR2" s="1846"/>
      <c r="AS2" s="1846"/>
      <c r="AT2" s="1846"/>
      <c r="AU2" s="1846"/>
      <c r="AV2" s="1846"/>
      <c r="AW2" s="1846"/>
      <c r="AX2" s="1846"/>
    </row>
    <row r="3" spans="1:50" ht="14.25" customHeight="1">
      <c r="A3" s="1846"/>
      <c r="B3" s="1846"/>
      <c r="C3" s="1846"/>
      <c r="D3" s="1843"/>
      <c r="E3" s="1846"/>
      <c r="F3" s="1846"/>
      <c r="G3" s="1864" t="s">
        <v>141</v>
      </c>
      <c r="H3" s="1864"/>
      <c r="I3" s="1864"/>
      <c r="J3" s="1864"/>
      <c r="K3" s="1870" t="s">
        <v>142</v>
      </c>
      <c r="L3" s="1870"/>
      <c r="M3" s="1870"/>
      <c r="N3" s="1870"/>
      <c r="O3" s="1870"/>
      <c r="P3" s="1870"/>
      <c r="Q3" s="1870"/>
      <c r="R3" s="1870"/>
      <c r="S3" s="1871" t="s">
        <v>143</v>
      </c>
      <c r="T3" s="1872"/>
      <c r="U3" s="1872"/>
      <c r="V3" s="1873"/>
      <c r="W3" s="1870" t="s">
        <v>144</v>
      </c>
      <c r="X3" s="1870"/>
      <c r="Y3" s="1870"/>
      <c r="Z3" s="1870"/>
      <c r="AA3" s="1870"/>
      <c r="AB3" s="1870"/>
      <c r="AC3" s="1870"/>
      <c r="AD3" s="1870"/>
      <c r="AE3" s="1871" t="s">
        <v>145</v>
      </c>
      <c r="AF3" s="1872"/>
      <c r="AG3" s="1872"/>
      <c r="AH3" s="1873"/>
      <c r="AI3" s="1858" t="s">
        <v>146</v>
      </c>
      <c r="AJ3" s="1859"/>
      <c r="AK3" s="1859"/>
      <c r="AL3" s="1859"/>
      <c r="AM3" s="1859"/>
      <c r="AN3" s="1859"/>
      <c r="AO3" s="1859"/>
      <c r="AP3" s="1860"/>
      <c r="AQ3" s="1858" t="s">
        <v>147</v>
      </c>
      <c r="AR3" s="1859"/>
      <c r="AS3" s="1859"/>
      <c r="AT3" s="1859"/>
      <c r="AU3" s="1859"/>
      <c r="AV3" s="1859"/>
      <c r="AW3" s="1859"/>
      <c r="AX3" s="1860"/>
    </row>
    <row r="4" spans="1:50" ht="14.25" customHeight="1">
      <c r="A4" s="1846"/>
      <c r="B4" s="1846"/>
      <c r="C4" s="1846"/>
      <c r="D4" s="1843"/>
      <c r="E4" s="1846"/>
      <c r="F4" s="1846"/>
      <c r="G4" s="1864"/>
      <c r="H4" s="1864"/>
      <c r="I4" s="1864"/>
      <c r="J4" s="1864"/>
      <c r="K4" s="1864" t="s">
        <v>125</v>
      </c>
      <c r="L4" s="1864"/>
      <c r="M4" s="1864"/>
      <c r="N4" s="1864"/>
      <c r="O4" s="1864" t="s">
        <v>176</v>
      </c>
      <c r="P4" s="1864"/>
      <c r="Q4" s="1864"/>
      <c r="R4" s="1864"/>
      <c r="S4" s="1874"/>
      <c r="T4" s="1875"/>
      <c r="U4" s="1875"/>
      <c r="V4" s="1876"/>
      <c r="W4" s="1864" t="s">
        <v>125</v>
      </c>
      <c r="X4" s="1864"/>
      <c r="Y4" s="1864"/>
      <c r="Z4" s="1864"/>
      <c r="AA4" s="1864" t="s">
        <v>176</v>
      </c>
      <c r="AB4" s="1864"/>
      <c r="AC4" s="1864"/>
      <c r="AD4" s="1864"/>
      <c r="AE4" s="1874"/>
      <c r="AF4" s="1875"/>
      <c r="AG4" s="1875"/>
      <c r="AH4" s="1876"/>
      <c r="AI4" s="1861" t="s">
        <v>125</v>
      </c>
      <c r="AJ4" s="1862"/>
      <c r="AK4" s="1862"/>
      <c r="AL4" s="1863"/>
      <c r="AM4" s="1861" t="s">
        <v>176</v>
      </c>
      <c r="AN4" s="1862"/>
      <c r="AO4" s="1862"/>
      <c r="AP4" s="1863"/>
      <c r="AQ4" s="1861" t="s">
        <v>125</v>
      </c>
      <c r="AR4" s="1862"/>
      <c r="AS4" s="1862"/>
      <c r="AT4" s="1863"/>
      <c r="AU4" s="1861" t="s">
        <v>176</v>
      </c>
      <c r="AV4" s="1862"/>
      <c r="AW4" s="1862"/>
      <c r="AX4" s="1863"/>
    </row>
    <row r="5" spans="1:50" ht="14.25" customHeight="1">
      <c r="A5" s="1846"/>
      <c r="B5" s="1846"/>
      <c r="C5" s="1846"/>
      <c r="D5" s="1865"/>
      <c r="E5" s="1846"/>
      <c r="F5" s="1846"/>
      <c r="G5" s="48" t="s">
        <v>186</v>
      </c>
      <c r="H5" s="48" t="s">
        <v>187</v>
      </c>
      <c r="I5" s="48" t="s">
        <v>188</v>
      </c>
      <c r="J5" s="48" t="s">
        <v>189</v>
      </c>
      <c r="K5" s="48" t="s">
        <v>186</v>
      </c>
      <c r="L5" s="48" t="s">
        <v>187</v>
      </c>
      <c r="M5" s="48" t="s">
        <v>188</v>
      </c>
      <c r="N5" s="48" t="s">
        <v>189</v>
      </c>
      <c r="O5" s="48" t="s">
        <v>186</v>
      </c>
      <c r="P5" s="48" t="s">
        <v>187</v>
      </c>
      <c r="Q5" s="48" t="s">
        <v>188</v>
      </c>
      <c r="R5" s="48" t="s">
        <v>189</v>
      </c>
      <c r="S5" s="48" t="s">
        <v>186</v>
      </c>
      <c r="T5" s="48" t="s">
        <v>187</v>
      </c>
      <c r="U5" s="48" t="s">
        <v>188</v>
      </c>
      <c r="V5" s="48" t="s">
        <v>189</v>
      </c>
      <c r="W5" s="48" t="s">
        <v>186</v>
      </c>
      <c r="X5" s="48" t="s">
        <v>187</v>
      </c>
      <c r="Y5" s="48" t="s">
        <v>188</v>
      </c>
      <c r="Z5" s="48" t="s">
        <v>189</v>
      </c>
      <c r="AA5" s="48" t="s">
        <v>186</v>
      </c>
      <c r="AB5" s="48" t="s">
        <v>187</v>
      </c>
      <c r="AC5" s="48" t="s">
        <v>188</v>
      </c>
      <c r="AD5" s="48" t="s">
        <v>189</v>
      </c>
      <c r="AE5" s="48" t="s">
        <v>186</v>
      </c>
      <c r="AF5" s="48" t="s">
        <v>187</v>
      </c>
      <c r="AG5" s="48" t="s">
        <v>188</v>
      </c>
      <c r="AH5" s="48" t="s">
        <v>189</v>
      </c>
      <c r="AI5" s="48" t="s">
        <v>186</v>
      </c>
      <c r="AJ5" s="48" t="s">
        <v>187</v>
      </c>
      <c r="AK5" s="48" t="s">
        <v>188</v>
      </c>
      <c r="AL5" s="48" t="s">
        <v>189</v>
      </c>
      <c r="AM5" s="48" t="s">
        <v>186</v>
      </c>
      <c r="AN5" s="48" t="s">
        <v>187</v>
      </c>
      <c r="AO5" s="48" t="s">
        <v>188</v>
      </c>
      <c r="AP5" s="48" t="s">
        <v>189</v>
      </c>
      <c r="AQ5" s="48" t="s">
        <v>186</v>
      </c>
      <c r="AR5" s="48" t="s">
        <v>187</v>
      </c>
      <c r="AS5" s="48" t="s">
        <v>188</v>
      </c>
      <c r="AT5" s="48" t="s">
        <v>189</v>
      </c>
      <c r="AU5" s="48" t="s">
        <v>186</v>
      </c>
      <c r="AV5" s="48" t="s">
        <v>187</v>
      </c>
      <c r="AW5" s="48" t="s">
        <v>188</v>
      </c>
      <c r="AX5" s="48" t="s">
        <v>189</v>
      </c>
    </row>
    <row r="6" spans="1:50" ht="26.25" customHeight="1">
      <c r="A6" s="35" t="s">
        <v>36</v>
      </c>
      <c r="B6" s="4" t="s">
        <v>57</v>
      </c>
      <c r="C6" s="4" t="s">
        <v>58</v>
      </c>
      <c r="D6" s="4" t="s">
        <v>59</v>
      </c>
      <c r="E6" s="4" t="s">
        <v>57</v>
      </c>
      <c r="F6" s="4" t="s">
        <v>59</v>
      </c>
      <c r="G6" s="1848" t="s">
        <v>179</v>
      </c>
      <c r="H6" s="1848"/>
      <c r="I6" s="1848"/>
      <c r="J6" s="1848"/>
      <c r="K6" s="1848" t="s">
        <v>58</v>
      </c>
      <c r="L6" s="1848"/>
      <c r="M6" s="1848"/>
      <c r="N6" s="1848"/>
      <c r="O6" s="1848" t="s">
        <v>59</v>
      </c>
      <c r="P6" s="1848"/>
      <c r="Q6" s="1848"/>
      <c r="R6" s="1848"/>
      <c r="S6" s="1848" t="s">
        <v>202</v>
      </c>
      <c r="T6" s="1848"/>
      <c r="U6" s="1848"/>
      <c r="V6" s="1848"/>
      <c r="W6" s="1848" t="s">
        <v>58</v>
      </c>
      <c r="X6" s="1848"/>
      <c r="Y6" s="1848"/>
      <c r="Z6" s="1848"/>
      <c r="AA6" s="1848" t="s">
        <v>59</v>
      </c>
      <c r="AB6" s="1848"/>
      <c r="AC6" s="1848"/>
      <c r="AD6" s="1848"/>
      <c r="AE6" s="1848" t="s">
        <v>179</v>
      </c>
      <c r="AF6" s="1848"/>
      <c r="AG6" s="1848"/>
      <c r="AH6" s="1848"/>
      <c r="AI6" s="1848" t="s">
        <v>203</v>
      </c>
      <c r="AJ6" s="1848"/>
      <c r="AK6" s="1848"/>
      <c r="AL6" s="1848"/>
      <c r="AM6" s="1848" t="s">
        <v>203</v>
      </c>
      <c r="AN6" s="1848"/>
      <c r="AO6" s="1848"/>
      <c r="AP6" s="1848"/>
      <c r="AQ6" s="1848" t="s">
        <v>60</v>
      </c>
      <c r="AR6" s="1848"/>
      <c r="AS6" s="1848"/>
      <c r="AT6" s="1848"/>
      <c r="AU6" s="1866" t="s">
        <v>59</v>
      </c>
      <c r="AV6" s="1866"/>
      <c r="AW6" s="1866"/>
      <c r="AX6" s="1866"/>
    </row>
    <row r="7" spans="1:50" s="47" customFormat="1" ht="94.5" customHeight="1">
      <c r="A7" s="35" t="s">
        <v>38</v>
      </c>
      <c r="B7" s="8"/>
      <c r="C7" s="8"/>
      <c r="D7" s="13" t="s">
        <v>64</v>
      </c>
      <c r="E7" s="8" t="s">
        <v>210</v>
      </c>
      <c r="F7" s="8" t="s">
        <v>2397</v>
      </c>
      <c r="G7" s="1867" t="s">
        <v>2424</v>
      </c>
      <c r="H7" s="1867"/>
      <c r="I7" s="1867"/>
      <c r="J7" s="1867"/>
      <c r="K7" s="1867" t="s">
        <v>2425</v>
      </c>
      <c r="L7" s="1867"/>
      <c r="M7" s="1867"/>
      <c r="N7" s="1867"/>
      <c r="O7" s="1867" t="s">
        <v>2401</v>
      </c>
      <c r="P7" s="1867"/>
      <c r="Q7" s="1867"/>
      <c r="R7" s="1867"/>
      <c r="S7" s="1867" t="s">
        <v>2426</v>
      </c>
      <c r="T7" s="1867"/>
      <c r="U7" s="1867"/>
      <c r="V7" s="1867"/>
      <c r="W7" s="1867" t="s">
        <v>2427</v>
      </c>
      <c r="X7" s="1867"/>
      <c r="Y7" s="1867"/>
      <c r="Z7" s="1867"/>
      <c r="AA7" s="1867" t="s">
        <v>2401</v>
      </c>
      <c r="AB7" s="1867"/>
      <c r="AC7" s="1867"/>
      <c r="AD7" s="1867"/>
      <c r="AE7" s="1867" t="s">
        <v>2428</v>
      </c>
      <c r="AF7" s="1867"/>
      <c r="AG7" s="1867"/>
      <c r="AH7" s="1867"/>
      <c r="AI7" s="1868" t="s">
        <v>2405</v>
      </c>
      <c r="AJ7" s="1868"/>
      <c r="AK7" s="1868"/>
      <c r="AL7" s="1868"/>
      <c r="AM7" s="1867" t="s">
        <v>2401</v>
      </c>
      <c r="AN7" s="1867"/>
      <c r="AO7" s="1867"/>
      <c r="AP7" s="1867"/>
      <c r="AQ7" s="1868" t="s">
        <v>2429</v>
      </c>
      <c r="AR7" s="1868"/>
      <c r="AS7" s="1868"/>
      <c r="AT7" s="1868"/>
      <c r="AU7" s="1867" t="s">
        <v>2401</v>
      </c>
      <c r="AV7" s="1867"/>
      <c r="AW7" s="1867"/>
      <c r="AX7" s="1867"/>
    </row>
    <row r="8" spans="1:50" s="47" customFormat="1" ht="63" customHeight="1">
      <c r="A8" s="38" t="s">
        <v>43</v>
      </c>
      <c r="B8" s="8"/>
      <c r="C8" s="12"/>
      <c r="D8" s="12"/>
      <c r="E8" s="8"/>
      <c r="F8" s="8" t="s">
        <v>2407</v>
      </c>
      <c r="G8" s="1477"/>
      <c r="H8" s="1477"/>
      <c r="I8" s="1477"/>
      <c r="J8" s="1477"/>
      <c r="K8" s="1477"/>
      <c r="L8" s="1477"/>
      <c r="M8" s="1477"/>
      <c r="N8" s="1477"/>
      <c r="O8" s="1477"/>
      <c r="P8" s="1477"/>
      <c r="Q8" s="1477"/>
      <c r="R8" s="1477"/>
      <c r="S8" s="1869"/>
      <c r="T8" s="1869"/>
      <c r="U8" s="1869"/>
      <c r="V8" s="1869"/>
      <c r="W8" s="1477"/>
      <c r="X8" s="1477"/>
      <c r="Y8" s="1477"/>
      <c r="Z8" s="1477"/>
      <c r="AA8" s="1477"/>
      <c r="AB8" s="1477"/>
      <c r="AC8" s="1477"/>
      <c r="AD8" s="1477"/>
      <c r="AE8" s="1477"/>
      <c r="AF8" s="1477"/>
      <c r="AG8" s="1477"/>
      <c r="AH8" s="1477"/>
      <c r="AI8" s="1477"/>
      <c r="AJ8" s="1477"/>
      <c r="AK8" s="1477"/>
      <c r="AL8" s="1477"/>
      <c r="AM8" s="1477"/>
      <c r="AN8" s="1477"/>
      <c r="AO8" s="1477"/>
      <c r="AP8" s="1477"/>
      <c r="AQ8" s="1477"/>
      <c r="AR8" s="1477"/>
      <c r="AS8" s="1477"/>
      <c r="AT8" s="1477"/>
      <c r="AU8" s="1477"/>
      <c r="AV8" s="1477"/>
      <c r="AW8" s="1477"/>
      <c r="AX8" s="1477"/>
    </row>
    <row r="9" spans="1:50" s="49" customFormat="1" ht="38.450000000000003" customHeight="1">
      <c r="A9" s="35" t="s">
        <v>266</v>
      </c>
      <c r="B9" s="20"/>
      <c r="C9" s="16" t="s">
        <v>75</v>
      </c>
      <c r="D9" s="16" t="str">
        <f>IFERROR(VLOOKUP(C9,Master!$D$2:$E$50,2,0),"")</f>
        <v>PLNA</v>
      </c>
      <c r="E9" s="8">
        <f>'Profil Risiko'!I7</f>
        <v>1</v>
      </c>
      <c r="F9" s="188" t="str">
        <f>IFERROR(VLOOKUP($E9,'Profil Risiko'!$I:$J,2,0),"")</f>
        <v>Terjadi pemadaman meluas pada sistem Batam Bintan</v>
      </c>
      <c r="G9" s="196">
        <f>12.2-(0%*12.2)</f>
        <v>12.2</v>
      </c>
      <c r="H9" s="196">
        <f>12.2-(35%*12.2)</f>
        <v>7.93</v>
      </c>
      <c r="I9" s="196">
        <f>12.2-(40%*12.2)</f>
        <v>7.3199999999999994</v>
      </c>
      <c r="J9" s="196">
        <f>12.2-(40%*12.2)</f>
        <v>7.3199999999999994</v>
      </c>
      <c r="K9" s="20">
        <v>5</v>
      </c>
      <c r="L9" s="20">
        <v>4</v>
      </c>
      <c r="M9" s="20">
        <v>4</v>
      </c>
      <c r="N9" s="20">
        <v>4</v>
      </c>
      <c r="O9" s="20"/>
      <c r="P9" s="20"/>
      <c r="Q9" s="20"/>
      <c r="R9" s="20"/>
      <c r="S9" s="42">
        <v>0.1</v>
      </c>
      <c r="T9" s="42">
        <v>0.1</v>
      </c>
      <c r="U9" s="42">
        <v>0.05</v>
      </c>
      <c r="V9" s="42">
        <v>0.05</v>
      </c>
      <c r="W9" s="20">
        <v>2</v>
      </c>
      <c r="X9" s="20">
        <v>2</v>
      </c>
      <c r="Y9" s="20">
        <v>1</v>
      </c>
      <c r="Z9" s="20">
        <v>1</v>
      </c>
      <c r="AA9" s="20"/>
      <c r="AB9" s="20"/>
      <c r="AC9" s="20"/>
      <c r="AD9" s="20"/>
      <c r="AE9" s="202">
        <f>$G9*$S9</f>
        <v>1.22</v>
      </c>
      <c r="AF9" s="202">
        <f>$H9*$T9</f>
        <v>0.79300000000000004</v>
      </c>
      <c r="AG9" s="202">
        <f>$I9*$U9</f>
        <v>0.36599999999999999</v>
      </c>
      <c r="AH9" s="202">
        <f>$J9*$V9</f>
        <v>0.36599999999999999</v>
      </c>
      <c r="AI9" s="44">
        <v>21</v>
      </c>
      <c r="AJ9" s="44">
        <v>16</v>
      </c>
      <c r="AK9" s="44">
        <v>15</v>
      </c>
      <c r="AL9" s="44">
        <v>15</v>
      </c>
      <c r="AM9" s="77" t="str">
        <f>IFERROR(VLOOKUP($O9&amp;$AA9,Master!$V$2:$W$26,2,0),"No Data")</f>
        <v>No Data</v>
      </c>
      <c r="AN9" s="77" t="str">
        <f>IFERROR(VLOOKUP($P9&amp;$AB9,Master!$V$2:$W$26,2,0),"No Data")</f>
        <v>No Data</v>
      </c>
      <c r="AO9" s="77" t="str">
        <f>IFERROR(VLOOKUP($Q9&amp;$AC9,Master!$V$2:$W$26,2,0),"No Data")</f>
        <v>No Data</v>
      </c>
      <c r="AP9" s="77" t="str">
        <f>IFERROR(VLOOKUP($R9&amp;$AD9,Master!$V$2:$W$26,2,0),"No Data")</f>
        <v>No Data</v>
      </c>
      <c r="AQ9" s="44" t="s">
        <v>1405</v>
      </c>
      <c r="AR9" s="44" t="s">
        <v>2430</v>
      </c>
      <c r="AS9" s="44" t="s">
        <v>1197</v>
      </c>
      <c r="AT9" s="44" t="s">
        <v>1197</v>
      </c>
      <c r="AU9" s="78" t="str">
        <f>IFERROR(VLOOKUP($O9&amp;$AA9,Master!$W$2:$Y$26,3,0),"No Data")</f>
        <v>No Data</v>
      </c>
      <c r="AV9" s="78" t="str">
        <f>IFERROR(VLOOKUP($P9&amp;$AB9,Master!$W$2:$Y$26,3,0),"No Data")</f>
        <v>No Data</v>
      </c>
      <c r="AW9" s="78" t="str">
        <f>IFERROR(VLOOKUP($Q9&amp;$AC9,Master!$W$2:$Y$26,3,0),"No Data")</f>
        <v>No Data</v>
      </c>
      <c r="AX9" s="78" t="str">
        <f>IFERROR(VLOOKUP($R9&amp;$AD9,Master!$W$2:$Y$26,3,0),"No Data")</f>
        <v>No Data</v>
      </c>
    </row>
    <row r="10" spans="1:50" s="49" customFormat="1" ht="20.45" customHeight="1">
      <c r="A10" s="35"/>
      <c r="B10" s="20"/>
      <c r="C10" s="16"/>
      <c r="D10" s="16"/>
      <c r="E10" s="8"/>
      <c r="F10" s="76" t="str">
        <f>IFERROR(VLOOKUP($E10,'Profil Risiko'!$I:$J,2,0),"")</f>
        <v/>
      </c>
      <c r="G10" s="41"/>
      <c r="H10" s="41"/>
      <c r="I10" s="41"/>
      <c r="J10" s="41"/>
      <c r="K10" s="20"/>
      <c r="L10" s="20"/>
      <c r="M10" s="20"/>
      <c r="N10" s="20"/>
      <c r="O10" s="20"/>
      <c r="P10" s="20"/>
      <c r="Q10" s="20"/>
      <c r="R10" s="20"/>
      <c r="S10" s="42"/>
      <c r="T10" s="42"/>
      <c r="U10" s="42"/>
      <c r="V10" s="42"/>
      <c r="W10" s="20"/>
      <c r="X10" s="20"/>
      <c r="Y10" s="20"/>
      <c r="Z10" s="20"/>
      <c r="AA10" s="20"/>
      <c r="AB10" s="20"/>
      <c r="AC10" s="20"/>
      <c r="AD10" s="20"/>
      <c r="AE10" s="44"/>
      <c r="AF10" s="44"/>
      <c r="AG10" s="44"/>
      <c r="AH10" s="44"/>
      <c r="AI10" s="44"/>
      <c r="AJ10" s="44"/>
      <c r="AK10" s="44"/>
      <c r="AL10" s="44"/>
      <c r="AM10" s="77"/>
      <c r="AN10" s="77"/>
      <c r="AO10" s="77"/>
      <c r="AP10" s="77"/>
      <c r="AQ10" s="44"/>
      <c r="AR10" s="44"/>
      <c r="AS10" s="44"/>
      <c r="AT10" s="44"/>
      <c r="AU10" s="78"/>
      <c r="AV10" s="78"/>
      <c r="AW10" s="78"/>
      <c r="AX10" s="78"/>
    </row>
    <row r="11" spans="1:50" s="49" customFormat="1" ht="20.45" customHeight="1">
      <c r="A11" s="35"/>
      <c r="B11" s="20"/>
      <c r="C11" s="16"/>
      <c r="D11" s="16"/>
      <c r="E11" s="8"/>
      <c r="F11" s="76"/>
      <c r="G11" s="41"/>
      <c r="H11" s="41"/>
      <c r="I11" s="41"/>
      <c r="J11" s="41"/>
      <c r="K11" s="20"/>
      <c r="L11" s="20"/>
      <c r="M11" s="20"/>
      <c r="N11" s="20"/>
      <c r="O11" s="20"/>
      <c r="P11" s="20"/>
      <c r="Q11" s="20"/>
      <c r="R11" s="20"/>
      <c r="S11" s="42"/>
      <c r="T11" s="42"/>
      <c r="U11" s="42"/>
      <c r="V11" s="42"/>
      <c r="W11" s="20"/>
      <c r="X11" s="20"/>
      <c r="Y11" s="20"/>
      <c r="Z11" s="20"/>
      <c r="AA11" s="20"/>
      <c r="AB11" s="20"/>
      <c r="AC11" s="20"/>
      <c r="AD11" s="20"/>
      <c r="AE11" s="44"/>
      <c r="AF11" s="44"/>
      <c r="AG11" s="44"/>
      <c r="AH11" s="44"/>
      <c r="AI11" s="44"/>
      <c r="AJ11" s="44"/>
      <c r="AK11" s="44"/>
      <c r="AL11" s="44"/>
      <c r="AM11" s="77"/>
      <c r="AN11" s="77"/>
      <c r="AO11" s="77"/>
      <c r="AP11" s="77"/>
      <c r="AQ11" s="44"/>
      <c r="AR11" s="44"/>
      <c r="AS11" s="44"/>
      <c r="AT11" s="44"/>
      <c r="AU11" s="78"/>
      <c r="AV11" s="78"/>
      <c r="AW11" s="78"/>
      <c r="AX11" s="78"/>
    </row>
    <row r="12" spans="1:50" s="49" customFormat="1" ht="20.45" customHeight="1">
      <c r="A12" s="35"/>
      <c r="B12" s="20"/>
      <c r="C12" s="16"/>
      <c r="D12" s="16"/>
      <c r="E12" s="8"/>
      <c r="F12" s="76"/>
      <c r="G12" s="41"/>
      <c r="H12" s="41"/>
      <c r="I12" s="41"/>
      <c r="J12" s="41"/>
      <c r="K12" s="20"/>
      <c r="L12" s="20"/>
      <c r="M12" s="20"/>
      <c r="N12" s="20"/>
      <c r="O12" s="20"/>
      <c r="P12" s="20"/>
      <c r="Q12" s="20"/>
      <c r="R12" s="20"/>
      <c r="S12" s="42"/>
      <c r="T12" s="42"/>
      <c r="U12" s="42"/>
      <c r="V12" s="42"/>
      <c r="W12" s="20"/>
      <c r="X12" s="20"/>
      <c r="Y12" s="20"/>
      <c r="Z12" s="20"/>
      <c r="AA12" s="20"/>
      <c r="AB12" s="20"/>
      <c r="AC12" s="20"/>
      <c r="AD12" s="20"/>
      <c r="AE12" s="44"/>
      <c r="AF12" s="44"/>
      <c r="AG12" s="44"/>
      <c r="AH12" s="44"/>
      <c r="AI12" s="44"/>
      <c r="AJ12" s="44"/>
      <c r="AK12" s="44"/>
      <c r="AL12" s="44"/>
      <c r="AM12" s="77"/>
      <c r="AN12" s="77"/>
      <c r="AO12" s="77"/>
      <c r="AP12" s="77"/>
      <c r="AQ12" s="44"/>
      <c r="AR12" s="44"/>
      <c r="AS12" s="44"/>
      <c r="AT12" s="44"/>
      <c r="AU12" s="78"/>
      <c r="AV12" s="78"/>
      <c r="AW12" s="78"/>
      <c r="AX12" s="78"/>
    </row>
    <row r="13" spans="1:50" s="49" customFormat="1" ht="20.45" customHeight="1">
      <c r="A13" s="35"/>
      <c r="B13" s="20"/>
      <c r="C13" s="16"/>
      <c r="D13" s="16"/>
      <c r="E13" s="8"/>
      <c r="F13" s="76"/>
      <c r="G13" s="41"/>
      <c r="H13" s="41"/>
      <c r="I13" s="41"/>
      <c r="J13" s="41"/>
      <c r="K13" s="20"/>
      <c r="L13" s="20"/>
      <c r="M13" s="20"/>
      <c r="N13" s="20"/>
      <c r="O13" s="20"/>
      <c r="P13" s="20"/>
      <c r="Q13" s="20"/>
      <c r="R13" s="20"/>
      <c r="S13" s="42"/>
      <c r="T13" s="42"/>
      <c r="U13" s="42"/>
      <c r="V13" s="42"/>
      <c r="W13" s="20"/>
      <c r="X13" s="20"/>
      <c r="Y13" s="20"/>
      <c r="Z13" s="20"/>
      <c r="AA13" s="20"/>
      <c r="AB13" s="20"/>
      <c r="AC13" s="20"/>
      <c r="AD13" s="20"/>
      <c r="AE13" s="44"/>
      <c r="AF13" s="44"/>
      <c r="AG13" s="44"/>
      <c r="AH13" s="44"/>
      <c r="AI13" s="44"/>
      <c r="AJ13" s="44"/>
      <c r="AK13" s="44"/>
      <c r="AL13" s="44"/>
      <c r="AM13" s="77"/>
      <c r="AN13" s="77"/>
      <c r="AO13" s="77"/>
      <c r="AP13" s="77"/>
      <c r="AQ13" s="44"/>
      <c r="AR13" s="44"/>
      <c r="AS13" s="44"/>
      <c r="AT13" s="44"/>
      <c r="AU13" s="78"/>
      <c r="AV13" s="78"/>
      <c r="AW13" s="78"/>
      <c r="AX13" s="78"/>
    </row>
    <row r="14" spans="1:50" ht="20.45" customHeight="1">
      <c r="A14" s="35"/>
      <c r="B14" s="20"/>
      <c r="C14" s="16"/>
      <c r="D14" s="16" t="str">
        <f>IFERROR(VLOOKUP(C14,Master!$D$2:$E$50,2,0),"")</f>
        <v/>
      </c>
      <c r="E14" s="8"/>
      <c r="F14" s="76" t="str">
        <f>IFERROR(VLOOKUP($E14,'Profil Risiko'!$I:$J,2,0),"")</f>
        <v/>
      </c>
      <c r="G14" s="41"/>
      <c r="H14" s="41"/>
      <c r="I14" s="41"/>
      <c r="J14" s="41"/>
      <c r="K14" s="20"/>
      <c r="L14" s="20"/>
      <c r="M14" s="20"/>
      <c r="N14" s="20"/>
      <c r="O14" s="20"/>
      <c r="P14" s="20"/>
      <c r="Q14" s="20"/>
      <c r="R14" s="20"/>
      <c r="S14" s="42"/>
      <c r="T14" s="42"/>
      <c r="U14" s="42"/>
      <c r="V14" s="42"/>
      <c r="W14" s="20"/>
      <c r="X14" s="20"/>
      <c r="Y14" s="20"/>
      <c r="Z14" s="20"/>
      <c r="AA14" s="20"/>
      <c r="AB14" s="20"/>
      <c r="AC14" s="20"/>
      <c r="AD14" s="20"/>
      <c r="AE14" s="44">
        <f>$G14*$S14</f>
        <v>0</v>
      </c>
      <c r="AF14" s="44">
        <f>$H14*$T14</f>
        <v>0</v>
      </c>
      <c r="AG14" s="44">
        <f>$I14*$U14</f>
        <v>0</v>
      </c>
      <c r="AH14" s="44">
        <f>$J14*$V14</f>
        <v>0</v>
      </c>
      <c r="AI14" s="44"/>
      <c r="AJ14" s="44"/>
      <c r="AK14" s="44"/>
      <c r="AL14" s="44"/>
      <c r="AM14" s="77" t="str">
        <f>IFERROR(VLOOKUP($O14&amp;$AA14,Master!$V$2:$W$26,2,0),"No Data")</f>
        <v>No Data</v>
      </c>
      <c r="AN14" s="77" t="str">
        <f>IFERROR(VLOOKUP($P14&amp;$AB14,Master!$V$2:$W$26,2,0),"No Data")</f>
        <v>No Data</v>
      </c>
      <c r="AO14" s="77" t="str">
        <f>IFERROR(VLOOKUP($Q14&amp;$AC14,Master!$V$2:$W$26,2,0),"No Data")</f>
        <v>No Data</v>
      </c>
      <c r="AP14" s="77" t="str">
        <f>IFERROR(VLOOKUP($R14&amp;$AD14,Master!$V$2:$W$26,2,0),"No Data")</f>
        <v>No Data</v>
      </c>
      <c r="AQ14" s="44"/>
      <c r="AR14" s="44"/>
      <c r="AS14" s="44"/>
      <c r="AT14" s="44"/>
      <c r="AU14" s="78" t="str">
        <f>IFERROR(VLOOKUP($O14&amp;$AA14,Master!$W$2:$Y$26,3,0),"No Data")</f>
        <v>No Data</v>
      </c>
      <c r="AV14" s="78" t="str">
        <f>IFERROR(VLOOKUP($P14&amp;$AB14,Master!$W$2:$Y$26,3,0),"No Data")</f>
        <v>No Data</v>
      </c>
      <c r="AW14" s="78" t="str">
        <f>IFERROR(VLOOKUP($Q14&amp;$AC14,Master!$W$2:$Y$26,3,0),"No Data")</f>
        <v>No Data</v>
      </c>
      <c r="AX14" s="78" t="str">
        <f>IFERROR(VLOOKUP($R14&amp;$AD14,Master!$W$2:$Y$26,3,0),"No Data")</f>
        <v>No Data</v>
      </c>
    </row>
  </sheetData>
  <mergeCells count="55">
    <mergeCell ref="AQ4:AT4"/>
    <mergeCell ref="AQ6:AT6"/>
    <mergeCell ref="O4:R4"/>
    <mergeCell ref="A2:A5"/>
    <mergeCell ref="G6:J6"/>
    <mergeCell ref="K6:N6"/>
    <mergeCell ref="B2:B5"/>
    <mergeCell ref="G3:J4"/>
    <mergeCell ref="K3:R3"/>
    <mergeCell ref="K4:N4"/>
    <mergeCell ref="G2:AX2"/>
    <mergeCell ref="S3:V4"/>
    <mergeCell ref="W3:AD3"/>
    <mergeCell ref="AE3:AH4"/>
    <mergeCell ref="AM4:AP4"/>
    <mergeCell ref="AM6:AP6"/>
    <mergeCell ref="G7:J7"/>
    <mergeCell ref="O7:R7"/>
    <mergeCell ref="S7:V7"/>
    <mergeCell ref="W7:Z7"/>
    <mergeCell ref="AA7:AD7"/>
    <mergeCell ref="K8:N8"/>
    <mergeCell ref="K7:N7"/>
    <mergeCell ref="AE8:AH8"/>
    <mergeCell ref="AE7:AH7"/>
    <mergeCell ref="O6:R6"/>
    <mergeCell ref="AA6:AD6"/>
    <mergeCell ref="O8:R8"/>
    <mergeCell ref="S8:V8"/>
    <mergeCell ref="W8:Z8"/>
    <mergeCell ref="AA8:AD8"/>
    <mergeCell ref="AE6:AH6"/>
    <mergeCell ref="AU7:AX7"/>
    <mergeCell ref="AM8:AP8"/>
    <mergeCell ref="AI7:AL7"/>
    <mergeCell ref="AM7:AP7"/>
    <mergeCell ref="AU8:AX8"/>
    <mergeCell ref="AQ7:AT7"/>
    <mergeCell ref="AQ8:AT8"/>
    <mergeCell ref="AI3:AP3"/>
    <mergeCell ref="AQ3:AX3"/>
    <mergeCell ref="AU4:AX4"/>
    <mergeCell ref="C2:C5"/>
    <mergeCell ref="G8:J8"/>
    <mergeCell ref="AI8:AL8"/>
    <mergeCell ref="AI6:AL6"/>
    <mergeCell ref="W4:Z4"/>
    <mergeCell ref="AA4:AD4"/>
    <mergeCell ref="AI4:AL4"/>
    <mergeCell ref="E2:E5"/>
    <mergeCell ref="D2:D5"/>
    <mergeCell ref="F2:F5"/>
    <mergeCell ref="S6:V6"/>
    <mergeCell ref="W6:Z6"/>
    <mergeCell ref="AU6:AX6"/>
  </mergeCells>
  <conditionalFormatting sqref="G7">
    <cfRule type="expression" dxfId="29" priority="8">
      <formula>#REF!="kualitatif"</formula>
    </cfRule>
  </conditionalFormatting>
  <conditionalFormatting sqref="G9:G14">
    <cfRule type="expression" dxfId="28" priority="7">
      <formula>$S9="kualitatif"</formula>
    </cfRule>
  </conditionalFormatting>
  <conditionalFormatting sqref="H9:J9">
    <cfRule type="expression" dxfId="27" priority="1">
      <formula>$S9="kualitatif"</formula>
    </cfRule>
  </conditionalFormatting>
  <conditionalFormatting sqref="AV9:AX14 AU15:AX1048576">
    <cfRule type="cellIs" dxfId="26" priority="2" operator="equal">
      <formula>#REF!</formula>
    </cfRule>
    <cfRule type="cellIs" dxfId="25" priority="3" operator="equal">
      <formula>#REF!</formula>
    </cfRule>
    <cfRule type="cellIs" dxfId="24" priority="4" operator="equal">
      <formula>#REF!</formula>
    </cfRule>
    <cfRule type="cellIs" dxfId="23" priority="5" operator="equal">
      <formula>#REF!</formula>
    </cfRule>
    <cfRule type="cellIs" dxfId="22" priority="6" operator="equal">
      <formula>#REF!</formula>
    </cfRule>
  </conditionalFormatting>
  <hyperlinks>
    <hyperlink ref="A1" location="'Daftar Isi'!A1" display="Kembali ke Daftar Isi" xr:uid="{39C9ACA7-7CE8-46B9-A685-60E3BDF6595B}"/>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1EBC343-7A2A-4A6C-813A-02C36CA5F202}">
          <x14:formula1>
            <xm:f>Master!$H$2:$H$6</xm:f>
          </x14:formula1>
          <xm:sqref>K9:N14 W9:Z14</xm:sqref>
        </x14:dataValidation>
        <x14:dataValidation type="list" allowBlank="1" showInputMessage="1" showErrorMessage="1" xr:uid="{AD2FFC23-4BE0-41DE-9430-A377ACD2E717}">
          <x14:formula1>
            <xm:f>Master!$I$2:$I$26</xm:f>
          </x14:formula1>
          <xm:sqref>AI9:AL14</xm:sqref>
        </x14:dataValidation>
        <x14:dataValidation type="list" allowBlank="1" showInputMessage="1" showErrorMessage="1" xr:uid="{ACCA2A37-B1AA-C74E-BEF3-AEA18D9CB7F6}">
          <x14:formula1>
            <xm:f>Master!$D$2:$D$50</xm:f>
          </x14:formula1>
          <xm:sqref>C9:C14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1360-6E82-497B-8A0B-0997C4DCB280}">
  <sheetPr codeName="Sheet8">
    <tabColor rgb="FF1896A4"/>
  </sheetPr>
  <dimension ref="A1:AX12"/>
  <sheetViews>
    <sheetView showGridLines="0" topLeftCell="D1" zoomScaleNormal="100" workbookViewId="0">
      <pane ySplit="6" topLeftCell="A8" activePane="bottomLeft" state="frozen"/>
      <selection activeCell="T3" sqref="T3:AC7"/>
      <selection pane="bottomLeft" activeCell="T3" sqref="T3:AC7"/>
    </sheetView>
  </sheetViews>
  <sheetFormatPr defaultColWidth="11.3984375" defaultRowHeight="13.5"/>
  <cols>
    <col min="1" max="1" width="10.1328125" style="2" bestFit="1" customWidth="1"/>
    <col min="2" max="2" width="6.86328125" style="2" customWidth="1"/>
    <col min="3" max="3" width="11" style="2" customWidth="1"/>
    <col min="4" max="4" width="8.1328125" style="30" customWidth="1"/>
    <col min="5" max="5" width="12" style="2" customWidth="1"/>
    <col min="6" max="6" width="17.3984375" style="2" bestFit="1" customWidth="1"/>
    <col min="7" max="10" width="4" style="45" customWidth="1"/>
    <col min="11" max="18" width="3.86328125" style="45" customWidth="1"/>
    <col min="19" max="22" width="4.3984375" style="45" bestFit="1" customWidth="1"/>
    <col min="23" max="30" width="3.86328125" style="45" customWidth="1"/>
    <col min="31" max="34" width="6.3984375" style="45" customWidth="1"/>
    <col min="35" max="38" width="5.1328125" style="45" customWidth="1"/>
    <col min="39" max="39" width="4.1328125" style="45" customWidth="1"/>
    <col min="40" max="42" width="4.3984375" style="45" bestFit="1" customWidth="1"/>
    <col min="43" max="46" width="5.1328125" style="45" customWidth="1"/>
    <col min="47" max="49" width="5.1328125" style="2" customWidth="1"/>
    <col min="50" max="50" width="7" style="2" bestFit="1" customWidth="1"/>
    <col min="51" max="16384" width="11.3984375" style="2"/>
  </cols>
  <sheetData>
    <row r="1" spans="1:50" ht="14.25">
      <c r="A1" s="112" t="s">
        <v>29</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row>
    <row r="2" spans="1:50" ht="17.25" customHeight="1">
      <c r="A2" s="1846" t="s">
        <v>31</v>
      </c>
      <c r="B2" s="1846" t="s">
        <v>47</v>
      </c>
      <c r="C2" s="1846" t="s">
        <v>125</v>
      </c>
      <c r="D2" s="1843" t="s">
        <v>49</v>
      </c>
      <c r="E2" s="1846" t="s">
        <v>126</v>
      </c>
      <c r="F2" s="1851" t="s">
        <v>140</v>
      </c>
      <c r="G2" s="1846" t="s">
        <v>123</v>
      </c>
      <c r="H2" s="1846"/>
      <c r="I2" s="1846"/>
      <c r="J2" s="1846"/>
      <c r="K2" s="1846"/>
      <c r="L2" s="1846"/>
      <c r="M2" s="1846"/>
      <c r="N2" s="1846"/>
      <c r="O2" s="1846"/>
      <c r="P2" s="1846"/>
      <c r="Q2" s="1846"/>
      <c r="R2" s="1846"/>
      <c r="S2" s="1846"/>
      <c r="T2" s="1846"/>
      <c r="U2" s="1846"/>
      <c r="V2" s="1846"/>
      <c r="W2" s="1846"/>
      <c r="X2" s="1846"/>
      <c r="Y2" s="1846"/>
      <c r="Z2" s="1846"/>
      <c r="AA2" s="1846"/>
      <c r="AB2" s="1846"/>
      <c r="AC2" s="1846"/>
      <c r="AD2" s="1846"/>
      <c r="AE2" s="1846"/>
      <c r="AF2" s="1846"/>
      <c r="AG2" s="1846"/>
      <c r="AH2" s="1846"/>
      <c r="AI2" s="1846"/>
      <c r="AJ2" s="1846"/>
      <c r="AK2" s="1846"/>
      <c r="AL2" s="1846"/>
      <c r="AM2" s="1846"/>
      <c r="AN2" s="1846"/>
      <c r="AO2" s="1846"/>
      <c r="AP2" s="1846"/>
      <c r="AQ2" s="1846"/>
      <c r="AR2" s="1846"/>
      <c r="AS2" s="1846"/>
      <c r="AT2" s="1846"/>
      <c r="AU2" s="1846"/>
      <c r="AV2" s="1846"/>
      <c r="AW2" s="1846"/>
      <c r="AX2" s="1846"/>
    </row>
    <row r="3" spans="1:50" ht="17.25" customHeight="1">
      <c r="A3" s="1846"/>
      <c r="B3" s="1846"/>
      <c r="C3" s="1846"/>
      <c r="D3" s="1843"/>
      <c r="E3" s="1846"/>
      <c r="F3" s="1857"/>
      <c r="G3" s="1872" t="s">
        <v>141</v>
      </c>
      <c r="H3" s="1872"/>
      <c r="I3" s="1872"/>
      <c r="J3" s="1873"/>
      <c r="K3" s="1870" t="s">
        <v>142</v>
      </c>
      <c r="L3" s="1870"/>
      <c r="M3" s="1870"/>
      <c r="N3" s="1870"/>
      <c r="O3" s="1870"/>
      <c r="P3" s="1870"/>
      <c r="Q3" s="1870"/>
      <c r="R3" s="1870"/>
      <c r="S3" s="1871" t="s">
        <v>143</v>
      </c>
      <c r="T3" s="1872"/>
      <c r="U3" s="1872"/>
      <c r="V3" s="1873"/>
      <c r="W3" s="1870" t="s">
        <v>144</v>
      </c>
      <c r="X3" s="1870"/>
      <c r="Y3" s="1870"/>
      <c r="Z3" s="1870"/>
      <c r="AA3" s="1870"/>
      <c r="AB3" s="1870"/>
      <c r="AC3" s="1870"/>
      <c r="AD3" s="1870"/>
      <c r="AE3" s="1871" t="s">
        <v>145</v>
      </c>
      <c r="AF3" s="1872"/>
      <c r="AG3" s="1872"/>
      <c r="AH3" s="1873"/>
      <c r="AI3" s="1858" t="s">
        <v>146</v>
      </c>
      <c r="AJ3" s="1859"/>
      <c r="AK3" s="1859"/>
      <c r="AL3" s="1859"/>
      <c r="AM3" s="1859"/>
      <c r="AN3" s="1859"/>
      <c r="AO3" s="1859"/>
      <c r="AP3" s="1860"/>
      <c r="AQ3" s="1858" t="s">
        <v>147</v>
      </c>
      <c r="AR3" s="1859"/>
      <c r="AS3" s="1859"/>
      <c r="AT3" s="1859"/>
      <c r="AU3" s="1859"/>
      <c r="AV3" s="1859"/>
      <c r="AW3" s="1859"/>
      <c r="AX3" s="1860"/>
    </row>
    <row r="4" spans="1:50" ht="17.25" customHeight="1">
      <c r="A4" s="1846"/>
      <c r="B4" s="1846"/>
      <c r="C4" s="1846"/>
      <c r="D4" s="1843"/>
      <c r="E4" s="1846"/>
      <c r="F4" s="1857"/>
      <c r="G4" s="1875"/>
      <c r="H4" s="1875"/>
      <c r="I4" s="1875"/>
      <c r="J4" s="1876"/>
      <c r="K4" s="1864" t="s">
        <v>125</v>
      </c>
      <c r="L4" s="1864"/>
      <c r="M4" s="1864"/>
      <c r="N4" s="1864"/>
      <c r="O4" s="1864" t="s">
        <v>176</v>
      </c>
      <c r="P4" s="1864"/>
      <c r="Q4" s="1864"/>
      <c r="R4" s="1864"/>
      <c r="S4" s="1874"/>
      <c r="T4" s="1875"/>
      <c r="U4" s="1875"/>
      <c r="V4" s="1876"/>
      <c r="W4" s="1864" t="s">
        <v>125</v>
      </c>
      <c r="X4" s="1864"/>
      <c r="Y4" s="1864"/>
      <c r="Z4" s="1864"/>
      <c r="AA4" s="1864" t="s">
        <v>176</v>
      </c>
      <c r="AB4" s="1864"/>
      <c r="AC4" s="1864"/>
      <c r="AD4" s="1864"/>
      <c r="AE4" s="1874"/>
      <c r="AF4" s="1875"/>
      <c r="AG4" s="1875"/>
      <c r="AH4" s="1876"/>
      <c r="AI4" s="1861" t="s">
        <v>125</v>
      </c>
      <c r="AJ4" s="1862"/>
      <c r="AK4" s="1862"/>
      <c r="AL4" s="1863"/>
      <c r="AM4" s="1861" t="s">
        <v>176</v>
      </c>
      <c r="AN4" s="1862"/>
      <c r="AO4" s="1862"/>
      <c r="AP4" s="1863"/>
      <c r="AQ4" s="1861" t="s">
        <v>125</v>
      </c>
      <c r="AR4" s="1862"/>
      <c r="AS4" s="1862"/>
      <c r="AT4" s="1863"/>
      <c r="AU4" s="1861" t="s">
        <v>176</v>
      </c>
      <c r="AV4" s="1862"/>
      <c r="AW4" s="1862"/>
      <c r="AX4" s="1863"/>
    </row>
    <row r="5" spans="1:50" ht="17.25" customHeight="1">
      <c r="A5" s="1846"/>
      <c r="B5" s="1846"/>
      <c r="C5" s="1846"/>
      <c r="D5" s="1865"/>
      <c r="E5" s="1846"/>
      <c r="F5" s="1852"/>
      <c r="G5" s="48" t="s">
        <v>186</v>
      </c>
      <c r="H5" s="48" t="s">
        <v>187</v>
      </c>
      <c r="I5" s="48" t="s">
        <v>188</v>
      </c>
      <c r="J5" s="48" t="s">
        <v>189</v>
      </c>
      <c r="K5" s="48" t="s">
        <v>186</v>
      </c>
      <c r="L5" s="48" t="s">
        <v>187</v>
      </c>
      <c r="M5" s="48" t="s">
        <v>188</v>
      </c>
      <c r="N5" s="48" t="s">
        <v>189</v>
      </c>
      <c r="O5" s="48" t="s">
        <v>186</v>
      </c>
      <c r="P5" s="48" t="s">
        <v>187</v>
      </c>
      <c r="Q5" s="48" t="s">
        <v>188</v>
      </c>
      <c r="R5" s="48" t="s">
        <v>189</v>
      </c>
      <c r="S5" s="48" t="s">
        <v>186</v>
      </c>
      <c r="T5" s="48" t="s">
        <v>187</v>
      </c>
      <c r="U5" s="48" t="s">
        <v>188</v>
      </c>
      <c r="V5" s="48" t="s">
        <v>189</v>
      </c>
      <c r="W5" s="48" t="s">
        <v>186</v>
      </c>
      <c r="X5" s="48" t="s">
        <v>187</v>
      </c>
      <c r="Y5" s="48" t="s">
        <v>188</v>
      </c>
      <c r="Z5" s="48" t="s">
        <v>189</v>
      </c>
      <c r="AA5" s="48" t="s">
        <v>186</v>
      </c>
      <c r="AB5" s="48" t="s">
        <v>187</v>
      </c>
      <c r="AC5" s="48" t="s">
        <v>188</v>
      </c>
      <c r="AD5" s="48" t="s">
        <v>189</v>
      </c>
      <c r="AE5" s="48" t="s">
        <v>186</v>
      </c>
      <c r="AF5" s="48" t="s">
        <v>187</v>
      </c>
      <c r="AG5" s="48" t="s">
        <v>188</v>
      </c>
      <c r="AH5" s="48" t="s">
        <v>189</v>
      </c>
      <c r="AI5" s="48" t="s">
        <v>186</v>
      </c>
      <c r="AJ5" s="48" t="s">
        <v>187</v>
      </c>
      <c r="AK5" s="48" t="s">
        <v>188</v>
      </c>
      <c r="AL5" s="48" t="s">
        <v>189</v>
      </c>
      <c r="AM5" s="48" t="s">
        <v>186</v>
      </c>
      <c r="AN5" s="48" t="s">
        <v>187</v>
      </c>
      <c r="AO5" s="48" t="s">
        <v>188</v>
      </c>
      <c r="AP5" s="48" t="s">
        <v>189</v>
      </c>
      <c r="AQ5" s="48" t="s">
        <v>186</v>
      </c>
      <c r="AR5" s="48" t="s">
        <v>187</v>
      </c>
      <c r="AS5" s="48" t="s">
        <v>188</v>
      </c>
      <c r="AT5" s="48" t="s">
        <v>189</v>
      </c>
      <c r="AU5" s="48" t="s">
        <v>186</v>
      </c>
      <c r="AV5" s="48" t="s">
        <v>187</v>
      </c>
      <c r="AW5" s="48" t="s">
        <v>188</v>
      </c>
      <c r="AX5" s="48" t="s">
        <v>189</v>
      </c>
    </row>
    <row r="6" spans="1:50" ht="39" customHeight="1">
      <c r="A6" s="35" t="s">
        <v>36</v>
      </c>
      <c r="B6" s="4" t="s">
        <v>57</v>
      </c>
      <c r="C6" s="4" t="s">
        <v>58</v>
      </c>
      <c r="D6" s="4" t="s">
        <v>59</v>
      </c>
      <c r="E6" s="4" t="s">
        <v>57</v>
      </c>
      <c r="F6" s="4" t="s">
        <v>59</v>
      </c>
      <c r="G6" s="1848" t="s">
        <v>179</v>
      </c>
      <c r="H6" s="1848"/>
      <c r="I6" s="1848"/>
      <c r="J6" s="1848"/>
      <c r="K6" s="1848" t="s">
        <v>58</v>
      </c>
      <c r="L6" s="1848"/>
      <c r="M6" s="1848"/>
      <c r="N6" s="1848"/>
      <c r="O6" s="1848" t="s">
        <v>59</v>
      </c>
      <c r="P6" s="1848"/>
      <c r="Q6" s="1848"/>
      <c r="R6" s="1848"/>
      <c r="S6" s="1848" t="s">
        <v>202</v>
      </c>
      <c r="T6" s="1848"/>
      <c r="U6" s="1848"/>
      <c r="V6" s="1848"/>
      <c r="W6" s="1848" t="s">
        <v>58</v>
      </c>
      <c r="X6" s="1848"/>
      <c r="Y6" s="1848"/>
      <c r="Z6" s="1848"/>
      <c r="AA6" s="1848" t="s">
        <v>59</v>
      </c>
      <c r="AB6" s="1848"/>
      <c r="AC6" s="1848"/>
      <c r="AD6" s="1848"/>
      <c r="AE6" s="1848" t="s">
        <v>57</v>
      </c>
      <c r="AF6" s="1848"/>
      <c r="AG6" s="1848"/>
      <c r="AH6" s="1848"/>
      <c r="AI6" s="1848" t="s">
        <v>203</v>
      </c>
      <c r="AJ6" s="1848"/>
      <c r="AK6" s="1848"/>
      <c r="AL6" s="1848"/>
      <c r="AM6" s="1848" t="s">
        <v>203</v>
      </c>
      <c r="AN6" s="1848"/>
      <c r="AO6" s="1848"/>
      <c r="AP6" s="1848"/>
      <c r="AQ6" s="1880" t="s">
        <v>60</v>
      </c>
      <c r="AR6" s="1881"/>
      <c r="AS6" s="1881"/>
      <c r="AT6" s="1882"/>
      <c r="AU6" s="1877" t="s">
        <v>59</v>
      </c>
      <c r="AV6" s="1878"/>
      <c r="AW6" s="1878"/>
      <c r="AX6" s="1879"/>
    </row>
    <row r="7" spans="1:50" s="37" customFormat="1" ht="108" customHeight="1">
      <c r="A7" s="35" t="s">
        <v>38</v>
      </c>
      <c r="B7" s="8"/>
      <c r="C7" s="8"/>
      <c r="D7" s="13" t="s">
        <v>64</v>
      </c>
      <c r="E7" s="8" t="s">
        <v>210</v>
      </c>
      <c r="F7" s="8" t="s">
        <v>2397</v>
      </c>
      <c r="G7" s="1867" t="s">
        <v>2417</v>
      </c>
      <c r="H7" s="1867"/>
      <c r="I7" s="1867"/>
      <c r="J7" s="1867"/>
      <c r="K7" s="1867" t="s">
        <v>2425</v>
      </c>
      <c r="L7" s="1867"/>
      <c r="M7" s="1867"/>
      <c r="N7" s="1867"/>
      <c r="O7" s="1867" t="s">
        <v>2401</v>
      </c>
      <c r="P7" s="1867"/>
      <c r="Q7" s="1867"/>
      <c r="R7" s="1867"/>
      <c r="S7" s="1867" t="s">
        <v>2426</v>
      </c>
      <c r="T7" s="1867"/>
      <c r="U7" s="1867"/>
      <c r="V7" s="1867"/>
      <c r="W7" s="1867" t="s">
        <v>2427</v>
      </c>
      <c r="X7" s="1867"/>
      <c r="Y7" s="1867"/>
      <c r="Z7" s="1867"/>
      <c r="AA7" s="1867" t="s">
        <v>2401</v>
      </c>
      <c r="AB7" s="1867"/>
      <c r="AC7" s="1867"/>
      <c r="AD7" s="1867"/>
      <c r="AE7" s="1867" t="s">
        <v>2431</v>
      </c>
      <c r="AF7" s="1867"/>
      <c r="AG7" s="1867"/>
      <c r="AH7" s="1867"/>
      <c r="AI7" s="1868" t="s">
        <v>2405</v>
      </c>
      <c r="AJ7" s="1868"/>
      <c r="AK7" s="1868"/>
      <c r="AL7" s="1868"/>
      <c r="AM7" s="1867" t="s">
        <v>2401</v>
      </c>
      <c r="AN7" s="1867"/>
      <c r="AO7" s="1867"/>
      <c r="AP7" s="1867"/>
      <c r="AQ7" s="1868" t="s">
        <v>2429</v>
      </c>
      <c r="AR7" s="1868"/>
      <c r="AS7" s="1868"/>
      <c r="AT7" s="1868"/>
      <c r="AU7" s="1867" t="s">
        <v>2401</v>
      </c>
      <c r="AV7" s="1867"/>
      <c r="AW7" s="1867"/>
      <c r="AX7" s="1867"/>
    </row>
    <row r="8" spans="1:50" s="37" customFormat="1" ht="86.25" customHeight="1">
      <c r="A8" s="38" t="s">
        <v>43</v>
      </c>
      <c r="B8" s="8"/>
      <c r="C8" s="12"/>
      <c r="D8" s="12"/>
      <c r="E8" s="8"/>
      <c r="F8" s="8" t="s">
        <v>2407</v>
      </c>
      <c r="G8" s="1477"/>
      <c r="H8" s="1477"/>
      <c r="I8" s="1477"/>
      <c r="J8" s="1477"/>
      <c r="K8" s="1477"/>
      <c r="L8" s="1477"/>
      <c r="M8" s="1477"/>
      <c r="N8" s="1477"/>
      <c r="O8" s="1477"/>
      <c r="P8" s="1477"/>
      <c r="Q8" s="1477"/>
      <c r="R8" s="1477"/>
      <c r="S8" s="1869"/>
      <c r="T8" s="1869"/>
      <c r="U8" s="1869"/>
      <c r="V8" s="1869"/>
      <c r="W8" s="1477"/>
      <c r="X8" s="1477"/>
      <c r="Y8" s="1477"/>
      <c r="Z8" s="1477"/>
      <c r="AA8" s="1477"/>
      <c r="AB8" s="1477"/>
      <c r="AC8" s="1477"/>
      <c r="AD8" s="1477"/>
      <c r="AE8" s="1477"/>
      <c r="AF8" s="1477"/>
      <c r="AG8" s="1477"/>
      <c r="AH8" s="1477"/>
      <c r="AI8" s="1868"/>
      <c r="AJ8" s="1868"/>
      <c r="AK8" s="1868"/>
      <c r="AL8" s="1868"/>
      <c r="AM8" s="1867"/>
      <c r="AN8" s="1867"/>
      <c r="AO8" s="1867"/>
      <c r="AP8" s="1867"/>
      <c r="AQ8" s="1868"/>
      <c r="AR8" s="1868"/>
      <c r="AS8" s="1868"/>
      <c r="AT8" s="1868"/>
      <c r="AU8" s="1477"/>
      <c r="AV8" s="1477"/>
      <c r="AW8" s="1477"/>
      <c r="AX8" s="1477"/>
    </row>
    <row r="9" spans="1:50" s="21" customFormat="1" ht="26.25" customHeight="1">
      <c r="A9" s="35" t="s">
        <v>266</v>
      </c>
      <c r="B9" s="20"/>
      <c r="C9" s="16"/>
      <c r="D9" s="16" t="str">
        <f>IFERROR(VLOOKUP(C9,Master!$D$2:$E$50,2,0),"")</f>
        <v/>
      </c>
      <c r="E9" s="8"/>
      <c r="F9" s="76" t="str">
        <f>IFERROR(VLOOKUP($E9,'Profil Risiko'!$I:$J,2,0),"")</f>
        <v/>
      </c>
      <c r="G9" s="41"/>
      <c r="H9" s="41"/>
      <c r="I9" s="41"/>
      <c r="J9" s="41"/>
      <c r="K9" s="20">
        <v>5</v>
      </c>
      <c r="L9" s="20">
        <v>5</v>
      </c>
      <c r="M9" s="20">
        <v>4</v>
      </c>
      <c r="N9" s="20">
        <v>4</v>
      </c>
      <c r="O9" s="20"/>
      <c r="P9" s="20"/>
      <c r="Q9" s="20"/>
      <c r="R9" s="20"/>
      <c r="S9" s="42">
        <v>0.2</v>
      </c>
      <c r="T9" s="42">
        <v>0.15</v>
      </c>
      <c r="U9" s="42">
        <v>0.1</v>
      </c>
      <c r="V9" s="42">
        <v>0.05</v>
      </c>
      <c r="W9" s="20">
        <v>1</v>
      </c>
      <c r="X9" s="20">
        <v>1</v>
      </c>
      <c r="Y9" s="20">
        <v>1</v>
      </c>
      <c r="Z9" s="20">
        <v>1</v>
      </c>
      <c r="AA9" s="20"/>
      <c r="AB9" s="20"/>
      <c r="AC9" s="20"/>
      <c r="AD9" s="20"/>
      <c r="AE9" s="201">
        <f>1%*'Metrik Strategi Risiko'!$E$7*$K9*$S9</f>
        <v>3.5999999999999999E-3</v>
      </c>
      <c r="AF9" s="201">
        <f>1%*'Metrik Strategi Risiko'!$E$7*$L9*$T9</f>
        <v>2.6999999999999997E-3</v>
      </c>
      <c r="AG9" s="201">
        <f>1%*'Metrik Strategi Risiko'!$E$7*$M9*$U9</f>
        <v>1.4400000000000001E-3</v>
      </c>
      <c r="AH9" s="201">
        <f>1%*'Metrik Strategi Risiko'!$E$7*$N9*$V9</f>
        <v>7.2000000000000005E-4</v>
      </c>
      <c r="AI9" s="203">
        <f t="array" ref="AI9">INDEX($AI$24:$AM$28,W9,K9)</f>
        <v>0</v>
      </c>
      <c r="AJ9" s="203">
        <f t="array" ref="AJ9">INDEX($AI$24:$AM$28,X9,L9)</f>
        <v>0</v>
      </c>
      <c r="AK9" s="203">
        <f t="array" ref="AK9">INDEX($AI$24:$AM$28,Y9,M9)</f>
        <v>0</v>
      </c>
      <c r="AL9" s="203">
        <f t="array" ref="AL9">INDEX($AI$24:$AM$28,Z9,N9)</f>
        <v>0</v>
      </c>
      <c r="AM9" s="77" t="str">
        <f>IFERROR(VLOOKUP($O9&amp;$AA9,Master!$V$2:$W$26,2,0),"No Data")</f>
        <v>No Data</v>
      </c>
      <c r="AN9" s="77" t="str">
        <f>IFERROR(VLOOKUP($P9&amp;$AB9,Master!$V$2:$W$26,2,0),"No Data")</f>
        <v>No Data</v>
      </c>
      <c r="AO9" s="77" t="str">
        <f>IFERROR(VLOOKUP($Q9&amp;$AC9,Master!$V$2:$W$26,2,0),"No Data")</f>
        <v>No Data</v>
      </c>
      <c r="AP9" s="77" t="str">
        <f>IFERROR(VLOOKUP($R9&amp;$AD9,Master!$V$2:$W$26,2,0),"No Data")</f>
        <v>No Data</v>
      </c>
      <c r="AQ9" s="44" t="s">
        <v>1405</v>
      </c>
      <c r="AR9" s="44" t="s">
        <v>1405</v>
      </c>
      <c r="AS9" s="44" t="s">
        <v>1405</v>
      </c>
      <c r="AT9" s="44" t="s">
        <v>1405</v>
      </c>
      <c r="AU9" s="78" t="str">
        <f>IFERROR(VLOOKUP($O9&amp;$AA9,Master!$W$2:$Y$26,3,0),"No Data")</f>
        <v>No Data</v>
      </c>
      <c r="AV9" s="78" t="str">
        <f>IFERROR(VLOOKUP($P9&amp;$AB9,Master!$W$2:$Y$26,3,0),"No Data")</f>
        <v>No Data</v>
      </c>
      <c r="AW9" s="78" t="str">
        <f>IFERROR(VLOOKUP($Q9&amp;$AC9,Master!$W$2:$Y$26,3,0),"No Data")</f>
        <v>No Data</v>
      </c>
      <c r="AX9" s="78" t="str">
        <f>IFERROR(VLOOKUP($R9&amp;$AD9,Master!$W$2:$Y$26,3,0),"No Data")</f>
        <v>No Data</v>
      </c>
    </row>
    <row r="10" spans="1:50" s="21" customFormat="1" ht="20.45" customHeight="1">
      <c r="A10" s="35"/>
      <c r="B10" s="20"/>
      <c r="C10" s="16"/>
      <c r="D10" s="16"/>
      <c r="E10" s="8"/>
      <c r="F10" s="76"/>
      <c r="G10" s="41"/>
      <c r="H10" s="41"/>
      <c r="I10" s="41"/>
      <c r="J10" s="41"/>
      <c r="K10" s="20"/>
      <c r="L10" s="20"/>
      <c r="M10" s="20"/>
      <c r="N10" s="20"/>
      <c r="O10" s="20"/>
      <c r="P10" s="20"/>
      <c r="Q10" s="20"/>
      <c r="R10" s="20"/>
      <c r="S10" s="42"/>
      <c r="T10" s="42"/>
      <c r="U10" s="42"/>
      <c r="V10" s="42"/>
      <c r="W10" s="20"/>
      <c r="X10" s="20"/>
      <c r="Y10" s="20"/>
      <c r="Z10" s="20"/>
      <c r="AA10" s="20"/>
      <c r="AB10" s="20"/>
      <c r="AC10" s="20"/>
      <c r="AD10" s="20"/>
      <c r="AE10" s="43"/>
      <c r="AF10" s="43"/>
      <c r="AG10" s="43"/>
      <c r="AH10" s="43"/>
      <c r="AI10" s="44"/>
      <c r="AJ10" s="44"/>
      <c r="AK10" s="44"/>
      <c r="AL10" s="44"/>
      <c r="AM10" s="77"/>
      <c r="AN10" s="77"/>
      <c r="AO10" s="77"/>
      <c r="AP10" s="77"/>
      <c r="AQ10" s="44"/>
      <c r="AR10" s="44"/>
      <c r="AS10" s="44"/>
      <c r="AT10" s="44"/>
      <c r="AU10" s="78"/>
      <c r="AV10" s="78"/>
      <c r="AW10" s="78"/>
      <c r="AX10" s="78"/>
    </row>
    <row r="11" spans="1:50" s="21" customFormat="1" ht="20.45" customHeight="1">
      <c r="A11" s="35"/>
      <c r="B11" s="20"/>
      <c r="C11" s="16"/>
      <c r="D11" s="16"/>
      <c r="E11" s="8"/>
      <c r="F11" s="76"/>
      <c r="G11" s="41"/>
      <c r="H11" s="41"/>
      <c r="I11" s="41"/>
      <c r="J11" s="41"/>
      <c r="K11" s="20"/>
      <c r="L11" s="20"/>
      <c r="M11" s="20"/>
      <c r="N11" s="20"/>
      <c r="O11" s="20"/>
      <c r="P11" s="20"/>
      <c r="Q11" s="20"/>
      <c r="R11" s="20"/>
      <c r="S11" s="42"/>
      <c r="T11" s="42"/>
      <c r="U11" s="42"/>
      <c r="V11" s="42"/>
      <c r="W11" s="20"/>
      <c r="X11" s="20"/>
      <c r="Y11" s="20"/>
      <c r="Z11" s="20"/>
      <c r="AA11" s="20"/>
      <c r="AB11" s="20"/>
      <c r="AC11" s="20"/>
      <c r="AD11" s="20"/>
      <c r="AE11" s="43"/>
      <c r="AF11" s="43"/>
      <c r="AG11" s="43"/>
      <c r="AH11" s="43"/>
      <c r="AI11" s="44"/>
      <c r="AJ11" s="44"/>
      <c r="AK11" s="44"/>
      <c r="AL11" s="44"/>
      <c r="AM11" s="77"/>
      <c r="AN11" s="77"/>
      <c r="AO11" s="77"/>
      <c r="AP11" s="77"/>
      <c r="AQ11" s="44"/>
      <c r="AR11" s="44"/>
      <c r="AS11" s="44"/>
      <c r="AT11" s="44"/>
      <c r="AU11" s="78"/>
      <c r="AV11" s="78"/>
      <c r="AW11" s="78"/>
      <c r="AX11" s="78"/>
    </row>
    <row r="12" spans="1:50" ht="20.45" customHeight="1">
      <c r="A12" s="35"/>
      <c r="B12" s="20"/>
      <c r="C12" s="16"/>
      <c r="D12" s="16" t="str">
        <f>IFERROR(VLOOKUP(C12,Master!$D$2:$E$50,2,0),"")</f>
        <v/>
      </c>
      <c r="E12" s="8"/>
      <c r="F12" s="76" t="str">
        <f>IFERROR(VLOOKUP($E12,'Profil Risiko'!$I:$J,2,0),"")</f>
        <v/>
      </c>
      <c r="G12" s="41"/>
      <c r="H12" s="41"/>
      <c r="I12" s="41"/>
      <c r="J12" s="41"/>
      <c r="K12" s="20"/>
      <c r="L12" s="20"/>
      <c r="M12" s="20"/>
      <c r="N12" s="20"/>
      <c r="O12" s="20"/>
      <c r="P12" s="20"/>
      <c r="Q12" s="20"/>
      <c r="R12" s="20"/>
      <c r="S12" s="42"/>
      <c r="T12" s="42"/>
      <c r="U12" s="42"/>
      <c r="V12" s="42"/>
      <c r="W12" s="20"/>
      <c r="X12" s="20"/>
      <c r="Y12" s="20"/>
      <c r="Z12" s="20"/>
      <c r="AA12" s="20"/>
      <c r="AB12" s="20"/>
      <c r="AC12" s="20"/>
      <c r="AD12" s="20"/>
      <c r="AE12" s="43">
        <f>1%*'Metrik Strategi Risiko'!$E$7*$K12*$S12</f>
        <v>0</v>
      </c>
      <c r="AF12" s="43">
        <f>1%*'Metrik Strategi Risiko'!$E$7*$L12*$T12</f>
        <v>0</v>
      </c>
      <c r="AG12" s="43">
        <f>1%*'Metrik Strategi Risiko'!$E$7*$M12*$U12</f>
        <v>0</v>
      </c>
      <c r="AH12" s="43">
        <f>1%*'Metrik Strategi Risiko'!$E$7*$N12*$V12</f>
        <v>0</v>
      </c>
      <c r="AI12" s="44"/>
      <c r="AJ12" s="44"/>
      <c r="AK12" s="44"/>
      <c r="AL12" s="44"/>
      <c r="AM12" s="77" t="str">
        <f>IFERROR(VLOOKUP($O12&amp;$AA12,Master!$V$2:$W$26,2,0),"No Data")</f>
        <v>No Data</v>
      </c>
      <c r="AN12" s="77" t="str">
        <f>IFERROR(VLOOKUP($P12&amp;$AB12,Master!$V$2:$W$26,2,0),"No Data")</f>
        <v>No Data</v>
      </c>
      <c r="AO12" s="77" t="str">
        <f>IFERROR(VLOOKUP($Q12&amp;$AC12,Master!$V$2:$W$26,2,0),"No Data")</f>
        <v>No Data</v>
      </c>
      <c r="AP12" s="77" t="str">
        <f>IFERROR(VLOOKUP($R12&amp;$AD12,Master!$V$2:$W$26,2,0),"No Data")</f>
        <v>No Data</v>
      </c>
      <c r="AQ12" s="44"/>
      <c r="AR12" s="44"/>
      <c r="AS12" s="44"/>
      <c r="AT12" s="44"/>
      <c r="AU12" s="78" t="str">
        <f>IFERROR(VLOOKUP($O12&amp;$AA12,Master!$W$2:$Y$26,3,0),"No Data")</f>
        <v>No Data</v>
      </c>
      <c r="AV12" s="78" t="str">
        <f>IFERROR(VLOOKUP($P12&amp;$AB12,Master!$W$2:$Y$26,3,0),"No Data")</f>
        <v>No Data</v>
      </c>
      <c r="AW12" s="78" t="str">
        <f>IFERROR(VLOOKUP($Q12&amp;$AC12,Master!$W$2:$Y$26,3,0),"No Data")</f>
        <v>No Data</v>
      </c>
      <c r="AX12" s="78" t="str">
        <f>IFERROR(VLOOKUP($R12&amp;$AD12,Master!$W$2:$Y$26,3,0),"No Data")</f>
        <v>No Data</v>
      </c>
    </row>
  </sheetData>
  <mergeCells count="55">
    <mergeCell ref="G6:J6"/>
    <mergeCell ref="K6:N6"/>
    <mergeCell ref="O6:R6"/>
    <mergeCell ref="A2:A5"/>
    <mergeCell ref="B2:B5"/>
    <mergeCell ref="E2:E5"/>
    <mergeCell ref="C2:C5"/>
    <mergeCell ref="D2:D5"/>
    <mergeCell ref="F2:F5"/>
    <mergeCell ref="K4:N4"/>
    <mergeCell ref="O4:R4"/>
    <mergeCell ref="S6:V6"/>
    <mergeCell ref="W6:Z6"/>
    <mergeCell ref="AM8:AP8"/>
    <mergeCell ref="AQ8:AT8"/>
    <mergeCell ref="AM6:AP6"/>
    <mergeCell ref="AM7:AP7"/>
    <mergeCell ref="AI7:AL7"/>
    <mergeCell ref="AI8:AL8"/>
    <mergeCell ref="AA7:AD7"/>
    <mergeCell ref="AA8:AD8"/>
    <mergeCell ref="AE8:AH8"/>
    <mergeCell ref="AE7:AH7"/>
    <mergeCell ref="AA6:AD6"/>
    <mergeCell ref="AE6:AH6"/>
    <mergeCell ref="AI6:AL6"/>
    <mergeCell ref="AU8:AX8"/>
    <mergeCell ref="AU7:AX7"/>
    <mergeCell ref="AU6:AX6"/>
    <mergeCell ref="AU4:AX4"/>
    <mergeCell ref="AQ4:AT4"/>
    <mergeCell ref="AQ6:AT6"/>
    <mergeCell ref="AQ7:AT7"/>
    <mergeCell ref="G7:J7"/>
    <mergeCell ref="K7:N7"/>
    <mergeCell ref="O7:R7"/>
    <mergeCell ref="S7:V7"/>
    <mergeCell ref="W7:Z7"/>
    <mergeCell ref="G8:J8"/>
    <mergeCell ref="K8:N8"/>
    <mergeCell ref="O8:R8"/>
    <mergeCell ref="S8:V8"/>
    <mergeCell ref="W8:Z8"/>
    <mergeCell ref="AQ3:AX3"/>
    <mergeCell ref="G2:AX2"/>
    <mergeCell ref="K3:R3"/>
    <mergeCell ref="S3:V4"/>
    <mergeCell ref="W3:AD3"/>
    <mergeCell ref="G3:J4"/>
    <mergeCell ref="W4:Z4"/>
    <mergeCell ref="AM4:AP4"/>
    <mergeCell ref="AI4:AL4"/>
    <mergeCell ref="AE3:AH4"/>
    <mergeCell ref="AI3:AP3"/>
    <mergeCell ref="AA4:AD4"/>
  </mergeCells>
  <conditionalFormatting sqref="G7">
    <cfRule type="expression" dxfId="21" priority="22">
      <formula>#REF!="kualitatif"</formula>
    </cfRule>
  </conditionalFormatting>
  <conditionalFormatting sqref="G9:G12">
    <cfRule type="expression" dxfId="20" priority="21">
      <formula>$S9="kualitatif"</formula>
    </cfRule>
  </conditionalFormatting>
  <conditionalFormatting sqref="AU13:AX1048576">
    <cfRule type="cellIs" dxfId="19" priority="16" operator="equal">
      <formula>#REF!</formula>
    </cfRule>
    <cfRule type="cellIs" dxfId="18" priority="17" operator="equal">
      <formula>#REF!</formula>
    </cfRule>
    <cfRule type="cellIs" dxfId="17" priority="18" operator="equal">
      <formula>#REF!</formula>
    </cfRule>
    <cfRule type="cellIs" dxfId="16" priority="19" operator="equal">
      <formula>#REF!</formula>
    </cfRule>
    <cfRule type="cellIs" dxfId="15" priority="20" operator="equal">
      <formula>#REF!</formula>
    </cfRule>
  </conditionalFormatting>
  <conditionalFormatting sqref="AV9:AX12">
    <cfRule type="cellIs" dxfId="14" priority="1" operator="equal">
      <formula>#REF!</formula>
    </cfRule>
    <cfRule type="cellIs" dxfId="13" priority="2" operator="equal">
      <formula>#REF!</formula>
    </cfRule>
    <cfRule type="cellIs" dxfId="12" priority="3" operator="equal">
      <formula>#REF!</formula>
    </cfRule>
    <cfRule type="cellIs" dxfId="11" priority="4" operator="equal">
      <formula>#REF!</formula>
    </cfRule>
    <cfRule type="cellIs" dxfId="10" priority="5" operator="equal">
      <formula>#REF!</formula>
    </cfRule>
  </conditionalFormatting>
  <hyperlinks>
    <hyperlink ref="A1" location="'Daftar Isi'!A1" display="Kembali ke Daftar Isi" xr:uid="{9855E036-04EE-4E45-8DA7-6BE93C2CDAA9}"/>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B2F043A-6F54-407A-9D17-65228E29A050}">
          <x14:formula1>
            <xm:f>Master!$H$2:$H$6</xm:f>
          </x14:formula1>
          <xm:sqref>W9:Z12 K9:N12</xm:sqref>
        </x14:dataValidation>
        <x14:dataValidation type="list" allowBlank="1" showInputMessage="1" showErrorMessage="1" xr:uid="{763AA5A7-5E6A-5044-84A8-DBC9A17A1942}">
          <x14:formula1>
            <xm:f>Master!$I$2:$I$26</xm:f>
          </x14:formula1>
          <xm:sqref>AI9:AL12</xm:sqref>
        </x14:dataValidation>
        <x14:dataValidation type="list" allowBlank="1" showInputMessage="1" showErrorMessage="1" xr:uid="{4CA08066-A2BC-4A48-A865-CEB3AA8C5BBC}">
          <x14:formula1>
            <xm:f>Master!$D$2:$D$50</xm:f>
          </x14:formula1>
          <xm:sqref>C9:C12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E3A2-1D56-4370-8BB4-0B580C0472F4}">
  <sheetPr codeName="Sheet10">
    <tabColor rgb="FF1896A4"/>
  </sheetPr>
  <dimension ref="A1:AR35"/>
  <sheetViews>
    <sheetView showGridLines="0" zoomScale="55" zoomScaleNormal="55" workbookViewId="0">
      <selection activeCell="AT10" sqref="AT10"/>
    </sheetView>
  </sheetViews>
  <sheetFormatPr defaultColWidth="8.86328125" defaultRowHeight="13.5"/>
  <cols>
    <col min="1" max="1" width="8.86328125" style="2"/>
    <col min="2" max="2" width="8" style="2" bestFit="1" customWidth="1"/>
    <col min="3" max="3" width="21.1328125" style="21" customWidth="1"/>
    <col min="4" max="29" width="8.86328125" style="2" customWidth="1"/>
    <col min="30" max="30" width="8.86328125" style="2"/>
    <col min="31" max="31" width="5.86328125" style="2" hidden="1" customWidth="1"/>
    <col min="32" max="32" width="14.86328125" style="2" hidden="1" customWidth="1"/>
    <col min="33" max="33" width="0" style="2" hidden="1" customWidth="1"/>
    <col min="34" max="34" width="12.86328125" style="2" hidden="1" customWidth="1"/>
    <col min="35" max="36" width="0" style="2" hidden="1" customWidth="1"/>
    <col min="37" max="37" width="12.86328125" style="2" hidden="1" customWidth="1"/>
    <col min="38" max="39" width="0" style="2" hidden="1" customWidth="1"/>
    <col min="40" max="40" width="12.86328125" style="2" hidden="1" customWidth="1"/>
    <col min="41" max="42" width="0" style="2" hidden="1" customWidth="1"/>
    <col min="43" max="43" width="12.86328125" style="2" hidden="1" customWidth="1"/>
    <col min="44" max="44" width="0" style="2" hidden="1" customWidth="1"/>
    <col min="45" max="16384" width="8.86328125" style="2"/>
  </cols>
  <sheetData>
    <row r="1" spans="1:44" ht="14.25">
      <c r="A1" s="112" t="s">
        <v>29</v>
      </c>
    </row>
    <row r="2" spans="1:44" ht="13.9" thickBot="1">
      <c r="AE2" s="2">
        <v>1</v>
      </c>
      <c r="AF2" s="2">
        <f>AE2+1</f>
        <v>2</v>
      </c>
      <c r="AG2" s="2">
        <f t="shared" ref="AG2:AR2" si="0">AF2+1</f>
        <v>3</v>
      </c>
      <c r="AH2" s="2">
        <f t="shared" si="0"/>
        <v>4</v>
      </c>
      <c r="AI2" s="2">
        <f t="shared" si="0"/>
        <v>5</v>
      </c>
      <c r="AJ2" s="2">
        <f t="shared" si="0"/>
        <v>6</v>
      </c>
      <c r="AK2" s="2">
        <f t="shared" si="0"/>
        <v>7</v>
      </c>
      <c r="AL2" s="2">
        <f t="shared" si="0"/>
        <v>8</v>
      </c>
      <c r="AM2" s="2">
        <f t="shared" si="0"/>
        <v>9</v>
      </c>
      <c r="AN2" s="2">
        <f t="shared" si="0"/>
        <v>10</v>
      </c>
      <c r="AO2" s="2">
        <f t="shared" si="0"/>
        <v>11</v>
      </c>
      <c r="AP2" s="2">
        <f t="shared" si="0"/>
        <v>12</v>
      </c>
      <c r="AQ2" s="2">
        <f t="shared" si="0"/>
        <v>13</v>
      </c>
      <c r="AR2" s="2">
        <f t="shared" si="0"/>
        <v>14</v>
      </c>
    </row>
    <row r="3" spans="1:44" ht="18" customHeight="1">
      <c r="B3" s="1883" t="s">
        <v>1363</v>
      </c>
      <c r="C3" s="1884" t="s">
        <v>1222</v>
      </c>
      <c r="D3" s="1885">
        <v>5</v>
      </c>
      <c r="E3" s="1891" t="s">
        <v>1364</v>
      </c>
      <c r="F3" s="1892"/>
      <c r="G3" s="1892"/>
      <c r="H3" s="1892"/>
      <c r="I3" s="1893"/>
      <c r="J3" s="1921" t="s">
        <v>1365</v>
      </c>
      <c r="K3" s="1922"/>
      <c r="L3" s="1922"/>
      <c r="M3" s="1922"/>
      <c r="N3" s="1923"/>
      <c r="O3" s="1930" t="s">
        <v>1366</v>
      </c>
      <c r="P3" s="1931"/>
      <c r="Q3" s="1931"/>
      <c r="R3" s="1931"/>
      <c r="S3" s="1932"/>
      <c r="T3" s="1957" t="s">
        <v>1367</v>
      </c>
      <c r="U3" s="1958"/>
      <c r="V3" s="1958"/>
      <c r="W3" s="1958"/>
      <c r="X3" s="1959"/>
      <c r="Y3" s="1966" t="s">
        <v>1368</v>
      </c>
      <c r="Z3" s="1967"/>
      <c r="AA3" s="1967"/>
      <c r="AB3" s="1967"/>
      <c r="AC3" s="1968"/>
      <c r="AE3" s="1889" t="s">
        <v>47</v>
      </c>
      <c r="AF3" s="1889" t="s">
        <v>2432</v>
      </c>
      <c r="AG3" s="1889" t="s">
        <v>2433</v>
      </c>
      <c r="AH3" s="1889"/>
      <c r="AI3" s="1889"/>
      <c r="AJ3" s="1889"/>
      <c r="AK3" s="1889"/>
      <c r="AL3" s="1889"/>
      <c r="AM3" s="1889" t="s">
        <v>2434</v>
      </c>
      <c r="AN3" s="1889"/>
      <c r="AO3" s="1889"/>
      <c r="AP3" s="1889"/>
      <c r="AQ3" s="1889"/>
      <c r="AR3" s="1889"/>
    </row>
    <row r="4" spans="1:44" ht="18" customHeight="1">
      <c r="B4" s="1883"/>
      <c r="C4" s="1884"/>
      <c r="D4" s="1885"/>
      <c r="E4" s="1894"/>
      <c r="F4" s="1895"/>
      <c r="G4" s="1895"/>
      <c r="H4" s="1895"/>
      <c r="I4" s="1896"/>
      <c r="J4" s="1924"/>
      <c r="K4" s="1925"/>
      <c r="L4" s="1925"/>
      <c r="M4" s="1925"/>
      <c r="N4" s="1926"/>
      <c r="O4" s="1933"/>
      <c r="P4" s="1934"/>
      <c r="Q4" s="1934"/>
      <c r="R4" s="1934"/>
      <c r="S4" s="1935"/>
      <c r="T4" s="1960"/>
      <c r="U4" s="1961"/>
      <c r="V4" s="1961"/>
      <c r="W4" s="1961"/>
      <c r="X4" s="1962"/>
      <c r="Y4" s="1969"/>
      <c r="Z4" s="1970"/>
      <c r="AA4" s="1970"/>
      <c r="AB4" s="1970"/>
      <c r="AC4" s="1971"/>
      <c r="AE4" s="1889"/>
      <c r="AF4" s="1889"/>
      <c r="AG4" s="1920" t="s">
        <v>125</v>
      </c>
      <c r="AH4" s="1920"/>
      <c r="AI4" s="1920"/>
      <c r="AJ4" s="1920" t="s">
        <v>2395</v>
      </c>
      <c r="AK4" s="1920"/>
      <c r="AL4" s="1920"/>
      <c r="AM4" s="1920" t="s">
        <v>125</v>
      </c>
      <c r="AN4" s="1920"/>
      <c r="AO4" s="1920"/>
      <c r="AP4" s="1920" t="s">
        <v>2395</v>
      </c>
      <c r="AQ4" s="1920"/>
      <c r="AR4" s="1920"/>
    </row>
    <row r="5" spans="1:44" ht="18" customHeight="1">
      <c r="B5" s="1883"/>
      <c r="C5" s="1884"/>
      <c r="D5" s="1886"/>
      <c r="E5" s="1894"/>
      <c r="F5" s="1895"/>
      <c r="G5" s="1895"/>
      <c r="H5" s="1895"/>
      <c r="I5" s="1896"/>
      <c r="J5" s="1924"/>
      <c r="K5" s="1925"/>
      <c r="L5" s="1925"/>
      <c r="M5" s="1925"/>
      <c r="N5" s="1926"/>
      <c r="O5" s="1933"/>
      <c r="P5" s="1934"/>
      <c r="Q5" s="1934"/>
      <c r="R5" s="1934"/>
      <c r="S5" s="1935"/>
      <c r="T5" s="1960"/>
      <c r="U5" s="1961"/>
      <c r="V5" s="1961"/>
      <c r="W5" s="1961"/>
      <c r="X5" s="1962"/>
      <c r="Y5" s="1969"/>
      <c r="Z5" s="1970"/>
      <c r="AA5" s="1970"/>
      <c r="AB5" s="1970"/>
      <c r="AC5" s="1971"/>
      <c r="AE5" s="1889"/>
      <c r="AF5" s="1889"/>
      <c r="AG5" s="55" t="s">
        <v>2435</v>
      </c>
      <c r="AH5" s="55" t="s">
        <v>2436</v>
      </c>
      <c r="AI5" s="55" t="s">
        <v>1502</v>
      </c>
      <c r="AJ5" s="55" t="s">
        <v>2435</v>
      </c>
      <c r="AK5" s="55" t="s">
        <v>2436</v>
      </c>
      <c r="AL5" s="55" t="s">
        <v>1502</v>
      </c>
      <c r="AM5" s="55" t="s">
        <v>2435</v>
      </c>
      <c r="AN5" s="55" t="s">
        <v>2436</v>
      </c>
      <c r="AO5" s="55" t="s">
        <v>1502</v>
      </c>
      <c r="AP5" s="55" t="s">
        <v>2435</v>
      </c>
      <c r="AQ5" s="55" t="s">
        <v>2436</v>
      </c>
      <c r="AR5" s="55" t="s">
        <v>1502</v>
      </c>
    </row>
    <row r="6" spans="1:44" ht="18" customHeight="1">
      <c r="B6" s="1883"/>
      <c r="C6" s="1884"/>
      <c r="D6" s="1885"/>
      <c r="E6" s="1894"/>
      <c r="F6" s="1895"/>
      <c r="G6" s="1895"/>
      <c r="H6" s="1895"/>
      <c r="I6" s="1896"/>
      <c r="J6" s="1924"/>
      <c r="K6" s="1925"/>
      <c r="L6" s="1925"/>
      <c r="M6" s="1925"/>
      <c r="N6" s="1926"/>
      <c r="O6" s="1933"/>
      <c r="P6" s="1934"/>
      <c r="Q6" s="1934"/>
      <c r="R6" s="1934"/>
      <c r="S6" s="1935"/>
      <c r="T6" s="1960"/>
      <c r="U6" s="1961"/>
      <c r="V6" s="1961"/>
      <c r="W6" s="1961"/>
      <c r="X6" s="1962"/>
      <c r="Y6" s="1969"/>
      <c r="Z6" s="1970"/>
      <c r="AA6" s="1970"/>
      <c r="AB6" s="1970"/>
      <c r="AC6" s="1971"/>
      <c r="AE6" s="56">
        <v>1</v>
      </c>
      <c r="AF6" s="55"/>
      <c r="AG6" s="55"/>
      <c r="AH6" s="55"/>
      <c r="AI6" s="55"/>
      <c r="AJ6" s="55"/>
      <c r="AK6" s="55"/>
      <c r="AL6" s="55"/>
      <c r="AM6" s="55"/>
      <c r="AN6" s="55"/>
      <c r="AO6" s="55"/>
      <c r="AP6" s="55"/>
      <c r="AQ6" s="55"/>
      <c r="AR6" s="55"/>
    </row>
    <row r="7" spans="1:44" ht="18" customHeight="1">
      <c r="B7" s="1883"/>
      <c r="C7" s="1884"/>
      <c r="D7" s="1885"/>
      <c r="E7" s="1897"/>
      <c r="F7" s="1898"/>
      <c r="G7" s="1898"/>
      <c r="H7" s="1898"/>
      <c r="I7" s="1899"/>
      <c r="J7" s="1927"/>
      <c r="K7" s="1928"/>
      <c r="L7" s="1928"/>
      <c r="M7" s="1928"/>
      <c r="N7" s="1929"/>
      <c r="O7" s="1936"/>
      <c r="P7" s="1937"/>
      <c r="Q7" s="1937"/>
      <c r="R7" s="1937"/>
      <c r="S7" s="1938"/>
      <c r="T7" s="1963"/>
      <c r="U7" s="1964"/>
      <c r="V7" s="1964"/>
      <c r="W7" s="1964"/>
      <c r="X7" s="1965"/>
      <c r="Y7" s="1969"/>
      <c r="Z7" s="1970"/>
      <c r="AA7" s="1970"/>
      <c r="AB7" s="1970"/>
      <c r="AC7" s="1971"/>
      <c r="AE7" s="56">
        <f>AE6+1</f>
        <v>2</v>
      </c>
      <c r="AF7" s="55"/>
      <c r="AG7" s="55"/>
      <c r="AH7" s="55"/>
      <c r="AI7" s="55"/>
      <c r="AJ7" s="55"/>
      <c r="AK7" s="55"/>
      <c r="AL7" s="55"/>
      <c r="AM7" s="55"/>
      <c r="AN7" s="55"/>
      <c r="AO7" s="55"/>
      <c r="AP7" s="55"/>
      <c r="AQ7" s="55"/>
      <c r="AR7" s="55"/>
    </row>
    <row r="8" spans="1:44" ht="18" customHeight="1">
      <c r="B8" s="1883"/>
      <c r="C8" s="1884" t="s">
        <v>1221</v>
      </c>
      <c r="D8" s="1885">
        <v>4</v>
      </c>
      <c r="E8" s="1900" t="s">
        <v>1369</v>
      </c>
      <c r="F8" s="1901"/>
      <c r="G8" s="1901"/>
      <c r="H8" s="1901"/>
      <c r="I8" s="1902"/>
      <c r="J8" s="1915" t="s">
        <v>1370</v>
      </c>
      <c r="K8" s="1916"/>
      <c r="L8" s="1916"/>
      <c r="M8" s="1916"/>
      <c r="N8" s="1917"/>
      <c r="O8" s="1939" t="s">
        <v>1371</v>
      </c>
      <c r="P8" s="1940"/>
      <c r="Q8" s="1940"/>
      <c r="R8" s="1940"/>
      <c r="S8" s="1941"/>
      <c r="T8" s="1942" t="s">
        <v>1372</v>
      </c>
      <c r="U8" s="1943"/>
      <c r="V8" s="1943"/>
      <c r="W8" s="1943"/>
      <c r="X8" s="1944"/>
      <c r="Y8" s="1972" t="s">
        <v>1373</v>
      </c>
      <c r="Z8" s="1970"/>
      <c r="AA8" s="1970"/>
      <c r="AB8" s="1970"/>
      <c r="AC8" s="1971"/>
      <c r="AE8" s="56">
        <f t="shared" ref="AE8:AE10" si="1">AE7+1</f>
        <v>3</v>
      </c>
      <c r="AF8" s="55"/>
      <c r="AG8" s="55"/>
      <c r="AH8" s="55"/>
      <c r="AI8" s="55"/>
      <c r="AJ8" s="55"/>
      <c r="AK8" s="55"/>
      <c r="AL8" s="55"/>
      <c r="AM8" s="55"/>
      <c r="AN8" s="55"/>
      <c r="AO8" s="55"/>
      <c r="AP8" s="55"/>
      <c r="AQ8" s="55"/>
      <c r="AR8" s="55"/>
    </row>
    <row r="9" spans="1:44" ht="18" customHeight="1">
      <c r="B9" s="1883"/>
      <c r="C9" s="1884"/>
      <c r="D9" s="1885"/>
      <c r="E9" s="1903"/>
      <c r="F9" s="1904"/>
      <c r="G9" s="1904"/>
      <c r="H9" s="1904"/>
      <c r="I9" s="1905"/>
      <c r="J9" s="1918"/>
      <c r="K9" s="1895"/>
      <c r="L9" s="1895"/>
      <c r="M9" s="1895"/>
      <c r="N9" s="1896"/>
      <c r="O9" s="1924"/>
      <c r="P9" s="1925"/>
      <c r="Q9" s="1925"/>
      <c r="R9" s="1925"/>
      <c r="S9" s="1926"/>
      <c r="T9" s="1945"/>
      <c r="U9" s="1946"/>
      <c r="V9" s="1946"/>
      <c r="W9" s="1946"/>
      <c r="X9" s="1947"/>
      <c r="Y9" s="1969"/>
      <c r="Z9" s="1970"/>
      <c r="AA9" s="1970"/>
      <c r="AB9" s="1970"/>
      <c r="AC9" s="1971"/>
      <c r="AE9" s="56">
        <f t="shared" si="1"/>
        <v>4</v>
      </c>
      <c r="AF9" s="55"/>
      <c r="AG9" s="55"/>
      <c r="AH9" s="55"/>
      <c r="AI9" s="55"/>
      <c r="AJ9" s="55"/>
      <c r="AK9" s="55"/>
      <c r="AL9" s="55"/>
      <c r="AM9" s="55"/>
      <c r="AN9" s="55"/>
      <c r="AO9" s="55"/>
      <c r="AP9" s="55"/>
      <c r="AQ9" s="55"/>
      <c r="AR9" s="55"/>
    </row>
    <row r="10" spans="1:44" ht="18" customHeight="1">
      <c r="B10" s="1883"/>
      <c r="C10" s="1884"/>
      <c r="D10" s="1885"/>
      <c r="E10" s="1903"/>
      <c r="F10" s="1904"/>
      <c r="G10" s="1904"/>
      <c r="H10" s="1904"/>
      <c r="I10" s="1905"/>
      <c r="J10" s="1918"/>
      <c r="K10" s="1895"/>
      <c r="L10" s="1895"/>
      <c r="M10" s="1895"/>
      <c r="N10" s="1896"/>
      <c r="O10" s="1924"/>
      <c r="P10" s="1925"/>
      <c r="Q10" s="1925"/>
      <c r="R10" s="1925"/>
      <c r="S10" s="1926"/>
      <c r="T10" s="1945"/>
      <c r="U10" s="1946"/>
      <c r="V10" s="1946"/>
      <c r="W10" s="1946"/>
      <c r="X10" s="1947"/>
      <c r="Y10" s="1969"/>
      <c r="Z10" s="1970"/>
      <c r="AA10" s="1970"/>
      <c r="AB10" s="1970"/>
      <c r="AC10" s="1971"/>
      <c r="AE10" s="56">
        <f t="shared" si="1"/>
        <v>5</v>
      </c>
      <c r="AF10" s="57"/>
      <c r="AG10" s="57"/>
      <c r="AH10" s="57"/>
      <c r="AI10" s="57"/>
      <c r="AJ10" s="57"/>
      <c r="AK10" s="57"/>
      <c r="AL10" s="57"/>
      <c r="AM10" s="57"/>
      <c r="AN10" s="57"/>
      <c r="AO10" s="57"/>
      <c r="AP10" s="57"/>
      <c r="AQ10" s="57"/>
      <c r="AR10" s="57"/>
    </row>
    <row r="11" spans="1:44" ht="18" customHeight="1">
      <c r="B11" s="1883"/>
      <c r="C11" s="1884"/>
      <c r="D11" s="1885"/>
      <c r="E11" s="1903"/>
      <c r="F11" s="1904"/>
      <c r="G11" s="1904"/>
      <c r="H11" s="1904"/>
      <c r="I11" s="1905"/>
      <c r="J11" s="1918"/>
      <c r="K11" s="1895"/>
      <c r="L11" s="1895"/>
      <c r="M11" s="1895"/>
      <c r="N11" s="1896"/>
      <c r="O11" s="1924"/>
      <c r="P11" s="1925"/>
      <c r="Q11" s="1925"/>
      <c r="R11" s="1925"/>
      <c r="S11" s="1926"/>
      <c r="T11" s="1945"/>
      <c r="U11" s="1946"/>
      <c r="V11" s="1946"/>
      <c r="W11" s="1946"/>
      <c r="X11" s="1947"/>
      <c r="Y11" s="1969"/>
      <c r="Z11" s="1970"/>
      <c r="AA11" s="1970"/>
      <c r="AB11" s="1970"/>
      <c r="AC11" s="1971"/>
    </row>
    <row r="12" spans="1:44" ht="18" customHeight="1">
      <c r="B12" s="1883"/>
      <c r="C12" s="1884"/>
      <c r="D12" s="1885"/>
      <c r="E12" s="1906"/>
      <c r="F12" s="1907"/>
      <c r="G12" s="1907"/>
      <c r="H12" s="1907"/>
      <c r="I12" s="1908"/>
      <c r="J12" s="1919"/>
      <c r="K12" s="1898"/>
      <c r="L12" s="1898"/>
      <c r="M12" s="1898"/>
      <c r="N12" s="1899"/>
      <c r="O12" s="1927"/>
      <c r="P12" s="1928"/>
      <c r="Q12" s="1928"/>
      <c r="R12" s="1928"/>
      <c r="S12" s="1929"/>
      <c r="T12" s="1948"/>
      <c r="U12" s="1949"/>
      <c r="V12" s="1949"/>
      <c r="W12" s="1949"/>
      <c r="X12" s="1950"/>
      <c r="Y12" s="1969"/>
      <c r="Z12" s="1970"/>
      <c r="AA12" s="1970"/>
      <c r="AB12" s="1970"/>
      <c r="AC12" s="1971"/>
    </row>
    <row r="13" spans="1:44" ht="18" customHeight="1">
      <c r="B13" s="1883"/>
      <c r="C13" s="1884" t="s">
        <v>1220</v>
      </c>
      <c r="D13" s="1885">
        <v>3</v>
      </c>
      <c r="E13" s="1900" t="s">
        <v>1374</v>
      </c>
      <c r="F13" s="1901"/>
      <c r="G13" s="1901"/>
      <c r="H13" s="1901"/>
      <c r="I13" s="1902"/>
      <c r="J13" s="1915" t="s">
        <v>1375</v>
      </c>
      <c r="K13" s="1916"/>
      <c r="L13" s="1916"/>
      <c r="M13" s="1916"/>
      <c r="N13" s="1917"/>
      <c r="O13" s="1939" t="s">
        <v>1376</v>
      </c>
      <c r="P13" s="1940"/>
      <c r="Q13" s="1940"/>
      <c r="R13" s="1940"/>
      <c r="S13" s="1941"/>
      <c r="T13" s="1942" t="s">
        <v>1377</v>
      </c>
      <c r="U13" s="1943"/>
      <c r="V13" s="1943"/>
      <c r="W13" s="1943"/>
      <c r="X13" s="1944"/>
      <c r="Y13" s="1972" t="s">
        <v>1378</v>
      </c>
      <c r="Z13" s="1970"/>
      <c r="AA13" s="1970"/>
      <c r="AB13" s="1970"/>
      <c r="AC13" s="1971"/>
    </row>
    <row r="14" spans="1:44" ht="18" customHeight="1">
      <c r="B14" s="1883"/>
      <c r="C14" s="1884"/>
      <c r="D14" s="1885"/>
      <c r="E14" s="1903"/>
      <c r="F14" s="1904"/>
      <c r="G14" s="1904"/>
      <c r="H14" s="1904"/>
      <c r="I14" s="1905"/>
      <c r="J14" s="1918"/>
      <c r="K14" s="1895"/>
      <c r="L14" s="1895"/>
      <c r="M14" s="1895"/>
      <c r="N14" s="1896"/>
      <c r="O14" s="1924"/>
      <c r="P14" s="1925"/>
      <c r="Q14" s="1925"/>
      <c r="R14" s="1925"/>
      <c r="S14" s="1926"/>
      <c r="T14" s="1945"/>
      <c r="U14" s="1946"/>
      <c r="V14" s="1946"/>
      <c r="W14" s="1946"/>
      <c r="X14" s="1947"/>
      <c r="Y14" s="1969"/>
      <c r="Z14" s="1970"/>
      <c r="AA14" s="1970"/>
      <c r="AB14" s="1970"/>
      <c r="AC14" s="1971"/>
    </row>
    <row r="15" spans="1:44" ht="18" customHeight="1">
      <c r="B15" s="1883"/>
      <c r="C15" s="1884"/>
      <c r="D15" s="1885"/>
      <c r="E15" s="1903"/>
      <c r="F15" s="1904"/>
      <c r="G15" s="1904"/>
      <c r="H15" s="1904"/>
      <c r="I15" s="1905"/>
      <c r="J15" s="1918"/>
      <c r="K15" s="1895"/>
      <c r="L15" s="1895"/>
      <c r="M15" s="1895"/>
      <c r="N15" s="1896"/>
      <c r="O15" s="1924"/>
      <c r="P15" s="1925"/>
      <c r="Q15" s="1925"/>
      <c r="R15" s="1925"/>
      <c r="S15" s="1926"/>
      <c r="T15" s="1945"/>
      <c r="U15" s="1946"/>
      <c r="V15" s="1946"/>
      <c r="W15" s="1946"/>
      <c r="X15" s="1947"/>
      <c r="Y15" s="1969"/>
      <c r="Z15" s="1970"/>
      <c r="AA15" s="1970"/>
      <c r="AB15" s="1970"/>
      <c r="AC15" s="1971"/>
    </row>
    <row r="16" spans="1:44" ht="18" customHeight="1">
      <c r="B16" s="1883"/>
      <c r="C16" s="1884"/>
      <c r="D16" s="1885"/>
      <c r="E16" s="1903"/>
      <c r="F16" s="1904"/>
      <c r="G16" s="1904"/>
      <c r="H16" s="1904"/>
      <c r="I16" s="1905"/>
      <c r="J16" s="1918"/>
      <c r="K16" s="1895"/>
      <c r="L16" s="1895"/>
      <c r="M16" s="1895"/>
      <c r="N16" s="1896"/>
      <c r="O16" s="1924"/>
      <c r="P16" s="1925"/>
      <c r="Q16" s="1925"/>
      <c r="R16" s="1925"/>
      <c r="S16" s="1926"/>
      <c r="T16" s="1945"/>
      <c r="U16" s="1946"/>
      <c r="V16" s="1946"/>
      <c r="W16" s="1946"/>
      <c r="X16" s="1947"/>
      <c r="Y16" s="1969"/>
      <c r="Z16" s="1970"/>
      <c r="AA16" s="1970"/>
      <c r="AB16" s="1970"/>
      <c r="AC16" s="1971"/>
    </row>
    <row r="17" spans="2:29" ht="18" customHeight="1">
      <c r="B17" s="1883"/>
      <c r="C17" s="1884"/>
      <c r="D17" s="1885"/>
      <c r="E17" s="1906"/>
      <c r="F17" s="1907"/>
      <c r="G17" s="1907"/>
      <c r="H17" s="1907"/>
      <c r="I17" s="1908"/>
      <c r="J17" s="1919"/>
      <c r="K17" s="1898"/>
      <c r="L17" s="1898"/>
      <c r="M17" s="1898"/>
      <c r="N17" s="1899"/>
      <c r="O17" s="1927"/>
      <c r="P17" s="1928"/>
      <c r="Q17" s="1928"/>
      <c r="R17" s="1928"/>
      <c r="S17" s="1929"/>
      <c r="T17" s="1948"/>
      <c r="U17" s="1949"/>
      <c r="V17" s="1949"/>
      <c r="W17" s="1949"/>
      <c r="X17" s="1950"/>
      <c r="Y17" s="1969"/>
      <c r="Z17" s="1970"/>
      <c r="AA17" s="1970"/>
      <c r="AB17" s="1970"/>
      <c r="AC17" s="1971"/>
    </row>
    <row r="18" spans="2:29" ht="18" customHeight="1">
      <c r="B18" s="1883"/>
      <c r="C18" s="1884" t="s">
        <v>1219</v>
      </c>
      <c r="D18" s="1885">
        <v>2</v>
      </c>
      <c r="E18" s="1900" t="s">
        <v>1379</v>
      </c>
      <c r="F18" s="1901"/>
      <c r="G18" s="1901"/>
      <c r="H18" s="1901"/>
      <c r="I18" s="1902"/>
      <c r="J18" s="1915" t="s">
        <v>1380</v>
      </c>
      <c r="K18" s="1916"/>
      <c r="L18" s="1916"/>
      <c r="M18" s="1916"/>
      <c r="N18" s="1917"/>
      <c r="O18" s="1915" t="s">
        <v>1381</v>
      </c>
      <c r="P18" s="1916"/>
      <c r="Q18" s="1916"/>
      <c r="R18" s="1916"/>
      <c r="S18" s="1917"/>
      <c r="T18" s="1942" t="s">
        <v>1382</v>
      </c>
      <c r="U18" s="1943"/>
      <c r="V18" s="1943"/>
      <c r="W18" s="1943"/>
      <c r="X18" s="1944"/>
      <c r="Y18" s="1972" t="s">
        <v>1383</v>
      </c>
      <c r="Z18" s="1970"/>
      <c r="AA18" s="1970"/>
      <c r="AB18" s="1970"/>
      <c r="AC18" s="1971"/>
    </row>
    <row r="19" spans="2:29" ht="18" customHeight="1">
      <c r="B19" s="1883"/>
      <c r="C19" s="1884"/>
      <c r="D19" s="1885"/>
      <c r="E19" s="1903"/>
      <c r="F19" s="1904"/>
      <c r="G19" s="1904"/>
      <c r="H19" s="1904"/>
      <c r="I19" s="1905"/>
      <c r="J19" s="1918"/>
      <c r="K19" s="1895"/>
      <c r="L19" s="1895"/>
      <c r="M19" s="1895"/>
      <c r="N19" s="1896"/>
      <c r="O19" s="1918"/>
      <c r="P19" s="1895"/>
      <c r="Q19" s="1895"/>
      <c r="R19" s="1895"/>
      <c r="S19" s="1896"/>
      <c r="T19" s="1945"/>
      <c r="U19" s="1946"/>
      <c r="V19" s="1946"/>
      <c r="W19" s="1946"/>
      <c r="X19" s="1947"/>
      <c r="Y19" s="1969"/>
      <c r="Z19" s="1970"/>
      <c r="AA19" s="1970"/>
      <c r="AB19" s="1970"/>
      <c r="AC19" s="1971"/>
    </row>
    <row r="20" spans="2:29" ht="18" customHeight="1">
      <c r="B20" s="1883"/>
      <c r="C20" s="1884"/>
      <c r="D20" s="1885"/>
      <c r="E20" s="1903"/>
      <c r="F20" s="1904"/>
      <c r="G20" s="1904"/>
      <c r="H20" s="1904"/>
      <c r="I20" s="1905"/>
      <c r="J20" s="1918"/>
      <c r="K20" s="1895"/>
      <c r="L20" s="1895"/>
      <c r="M20" s="1895"/>
      <c r="N20" s="1896"/>
      <c r="O20" s="1918"/>
      <c r="P20" s="1895"/>
      <c r="Q20" s="1895"/>
      <c r="R20" s="1895"/>
      <c r="S20" s="1896"/>
      <c r="T20" s="1945"/>
      <c r="U20" s="1946"/>
      <c r="V20" s="1946"/>
      <c r="W20" s="1946"/>
      <c r="X20" s="1947"/>
      <c r="Y20" s="1969"/>
      <c r="Z20" s="1970"/>
      <c r="AA20" s="1970"/>
      <c r="AB20" s="1970"/>
      <c r="AC20" s="1971"/>
    </row>
    <row r="21" spans="2:29" ht="18" customHeight="1">
      <c r="B21" s="1883"/>
      <c r="C21" s="1884"/>
      <c r="D21" s="1885"/>
      <c r="E21" s="1903"/>
      <c r="F21" s="1904"/>
      <c r="G21" s="1904"/>
      <c r="H21" s="1904"/>
      <c r="I21" s="1905"/>
      <c r="J21" s="1918"/>
      <c r="K21" s="1895"/>
      <c r="L21" s="1895"/>
      <c r="M21" s="1895"/>
      <c r="N21" s="1896"/>
      <c r="O21" s="1918"/>
      <c r="P21" s="1895"/>
      <c r="Q21" s="1895"/>
      <c r="R21" s="1895"/>
      <c r="S21" s="1896"/>
      <c r="T21" s="1945"/>
      <c r="U21" s="1946"/>
      <c r="V21" s="1946"/>
      <c r="W21" s="1946"/>
      <c r="X21" s="1947"/>
      <c r="Y21" s="1969"/>
      <c r="Z21" s="1970"/>
      <c r="AA21" s="1970"/>
      <c r="AB21" s="1970"/>
      <c r="AC21" s="1971"/>
    </row>
    <row r="22" spans="2:29" ht="18" customHeight="1">
      <c r="B22" s="1883"/>
      <c r="C22" s="1884"/>
      <c r="D22" s="1885"/>
      <c r="E22" s="1906"/>
      <c r="F22" s="1907"/>
      <c r="G22" s="1907"/>
      <c r="H22" s="1907"/>
      <c r="I22" s="1908"/>
      <c r="J22" s="1919"/>
      <c r="K22" s="1898"/>
      <c r="L22" s="1898"/>
      <c r="M22" s="1898"/>
      <c r="N22" s="1899"/>
      <c r="O22" s="1919"/>
      <c r="P22" s="1898"/>
      <c r="Q22" s="1898"/>
      <c r="R22" s="1898"/>
      <c r="S22" s="1899"/>
      <c r="T22" s="1948"/>
      <c r="U22" s="1949"/>
      <c r="V22" s="1949"/>
      <c r="W22" s="1949"/>
      <c r="X22" s="1950"/>
      <c r="Y22" s="1969"/>
      <c r="Z22" s="1970"/>
      <c r="AA22" s="1970"/>
      <c r="AB22" s="1970"/>
      <c r="AC22" s="1971"/>
    </row>
    <row r="23" spans="2:29" ht="18" customHeight="1">
      <c r="B23" s="1883"/>
      <c r="C23" s="1884" t="s">
        <v>1384</v>
      </c>
      <c r="D23" s="1885">
        <v>1</v>
      </c>
      <c r="E23" s="1900" t="s">
        <v>1385</v>
      </c>
      <c r="F23" s="1901"/>
      <c r="G23" s="1901"/>
      <c r="H23" s="1901"/>
      <c r="I23" s="1902"/>
      <c r="J23" s="1912" t="s">
        <v>1386</v>
      </c>
      <c r="K23" s="1901"/>
      <c r="L23" s="1901"/>
      <c r="M23" s="1901"/>
      <c r="N23" s="1902"/>
      <c r="O23" s="1915" t="s">
        <v>1387</v>
      </c>
      <c r="P23" s="1916"/>
      <c r="Q23" s="1916"/>
      <c r="R23" s="1916"/>
      <c r="S23" s="1917"/>
      <c r="T23" s="1939" t="s">
        <v>1388</v>
      </c>
      <c r="U23" s="1940"/>
      <c r="V23" s="1940"/>
      <c r="W23" s="1940"/>
      <c r="X23" s="1941"/>
      <c r="Y23" s="1972" t="s">
        <v>1389</v>
      </c>
      <c r="Z23" s="1970"/>
      <c r="AA23" s="1970"/>
      <c r="AB23" s="1970"/>
      <c r="AC23" s="1971"/>
    </row>
    <row r="24" spans="2:29" ht="18" customHeight="1">
      <c r="B24" s="1883"/>
      <c r="C24" s="1884"/>
      <c r="D24" s="1885"/>
      <c r="E24" s="1903"/>
      <c r="F24" s="1904"/>
      <c r="G24" s="1904"/>
      <c r="H24" s="1904"/>
      <c r="I24" s="1905"/>
      <c r="J24" s="1913"/>
      <c r="K24" s="1904"/>
      <c r="L24" s="1904"/>
      <c r="M24" s="1904"/>
      <c r="N24" s="1905"/>
      <c r="O24" s="1918"/>
      <c r="P24" s="1895"/>
      <c r="Q24" s="1895"/>
      <c r="R24" s="1895"/>
      <c r="S24" s="1896"/>
      <c r="T24" s="1924"/>
      <c r="U24" s="1925"/>
      <c r="V24" s="1925"/>
      <c r="W24" s="1925"/>
      <c r="X24" s="1926"/>
      <c r="Y24" s="1969"/>
      <c r="Z24" s="1970"/>
      <c r="AA24" s="1970"/>
      <c r="AB24" s="1970"/>
      <c r="AC24" s="1971"/>
    </row>
    <row r="25" spans="2:29" ht="18" customHeight="1">
      <c r="B25" s="1883"/>
      <c r="C25" s="1884"/>
      <c r="D25" s="1885"/>
      <c r="E25" s="1903"/>
      <c r="F25" s="1904"/>
      <c r="G25" s="1904"/>
      <c r="H25" s="1904"/>
      <c r="I25" s="1905"/>
      <c r="J25" s="1913"/>
      <c r="K25" s="1904"/>
      <c r="L25" s="1904"/>
      <c r="M25" s="1904"/>
      <c r="N25" s="1905"/>
      <c r="O25" s="1918"/>
      <c r="P25" s="1895"/>
      <c r="Q25" s="1895"/>
      <c r="R25" s="1895"/>
      <c r="S25" s="1896"/>
      <c r="T25" s="1924"/>
      <c r="U25" s="1925"/>
      <c r="V25" s="1925"/>
      <c r="W25" s="1925"/>
      <c r="X25" s="1926"/>
      <c r="Y25" s="1969"/>
      <c r="Z25" s="1970"/>
      <c r="AA25" s="1970"/>
      <c r="AB25" s="1970"/>
      <c r="AC25" s="1971"/>
    </row>
    <row r="26" spans="2:29" ht="18" customHeight="1">
      <c r="B26" s="1883"/>
      <c r="C26" s="1884"/>
      <c r="D26" s="1885"/>
      <c r="E26" s="1903"/>
      <c r="F26" s="1904"/>
      <c r="G26" s="1904"/>
      <c r="H26" s="1904"/>
      <c r="I26" s="1905"/>
      <c r="J26" s="1913"/>
      <c r="K26" s="1904"/>
      <c r="L26" s="1904"/>
      <c r="M26" s="1904"/>
      <c r="N26" s="1905"/>
      <c r="O26" s="1918"/>
      <c r="P26" s="1895"/>
      <c r="Q26" s="1895"/>
      <c r="R26" s="1895"/>
      <c r="S26" s="1896"/>
      <c r="T26" s="1924"/>
      <c r="U26" s="1925"/>
      <c r="V26" s="1925"/>
      <c r="W26" s="1925"/>
      <c r="X26" s="1926"/>
      <c r="Y26" s="1969"/>
      <c r="Z26" s="1970"/>
      <c r="AA26" s="1970"/>
      <c r="AB26" s="1970"/>
      <c r="AC26" s="1971"/>
    </row>
    <row r="27" spans="2:29" ht="18" customHeight="1" thickBot="1">
      <c r="B27" s="1883"/>
      <c r="C27" s="1884"/>
      <c r="D27" s="1885"/>
      <c r="E27" s="1909"/>
      <c r="F27" s="1910"/>
      <c r="G27" s="1910"/>
      <c r="H27" s="1910"/>
      <c r="I27" s="1911"/>
      <c r="J27" s="1914"/>
      <c r="K27" s="1910"/>
      <c r="L27" s="1910"/>
      <c r="M27" s="1910"/>
      <c r="N27" s="1911"/>
      <c r="O27" s="1951"/>
      <c r="P27" s="1952"/>
      <c r="Q27" s="1952"/>
      <c r="R27" s="1952"/>
      <c r="S27" s="1953"/>
      <c r="T27" s="1954"/>
      <c r="U27" s="1955"/>
      <c r="V27" s="1955"/>
      <c r="W27" s="1955"/>
      <c r="X27" s="1956"/>
      <c r="Y27" s="1973"/>
      <c r="Z27" s="1974"/>
      <c r="AA27" s="1974"/>
      <c r="AB27" s="1974"/>
      <c r="AC27" s="1975"/>
    </row>
    <row r="28" spans="2:29" ht="18" customHeight="1">
      <c r="B28" s="58"/>
      <c r="C28" s="59"/>
      <c r="D28" s="58"/>
      <c r="E28" s="1888">
        <v>1</v>
      </c>
      <c r="F28" s="1888"/>
      <c r="G28" s="1888"/>
      <c r="H28" s="1888"/>
      <c r="I28" s="1888"/>
      <c r="J28" s="1888">
        <v>2</v>
      </c>
      <c r="K28" s="1888"/>
      <c r="L28" s="1888"/>
      <c r="M28" s="1888"/>
      <c r="N28" s="1888"/>
      <c r="O28" s="1888">
        <v>3</v>
      </c>
      <c r="P28" s="1888"/>
      <c r="Q28" s="1888"/>
      <c r="R28" s="1888"/>
      <c r="S28" s="1888"/>
      <c r="T28" s="1888">
        <v>4</v>
      </c>
      <c r="U28" s="1888"/>
      <c r="V28" s="1888"/>
      <c r="W28" s="1888"/>
      <c r="X28" s="1888"/>
      <c r="Y28" s="1888">
        <v>5</v>
      </c>
      <c r="Z28" s="1888"/>
      <c r="AA28" s="1888"/>
      <c r="AB28" s="1888"/>
      <c r="AC28" s="1888"/>
    </row>
    <row r="29" spans="2:29" s="21" customFormat="1" ht="18" customHeight="1">
      <c r="B29" s="59"/>
      <c r="C29" s="59"/>
      <c r="D29" s="59"/>
      <c r="E29" s="1890" t="s">
        <v>1195</v>
      </c>
      <c r="F29" s="1890"/>
      <c r="G29" s="1890"/>
      <c r="H29" s="1890"/>
      <c r="I29" s="1890"/>
      <c r="J29" s="1890" t="s">
        <v>1196</v>
      </c>
      <c r="K29" s="1890"/>
      <c r="L29" s="1890"/>
      <c r="M29" s="1890"/>
      <c r="N29" s="1890"/>
      <c r="O29" s="1890" t="s">
        <v>1197</v>
      </c>
      <c r="P29" s="1890"/>
      <c r="Q29" s="1890"/>
      <c r="R29" s="1890"/>
      <c r="S29" s="1890"/>
      <c r="T29" s="1890" t="s">
        <v>1198</v>
      </c>
      <c r="U29" s="1890"/>
      <c r="V29" s="1890"/>
      <c r="W29" s="1890"/>
      <c r="X29" s="1890"/>
      <c r="Y29" s="1890" t="s">
        <v>1199</v>
      </c>
      <c r="Z29" s="1890"/>
      <c r="AA29" s="1890"/>
      <c r="AB29" s="1890"/>
      <c r="AC29" s="1890"/>
    </row>
    <row r="30" spans="2:29" ht="18" customHeight="1">
      <c r="B30" s="60"/>
      <c r="C30" s="61"/>
      <c r="D30" s="60"/>
      <c r="E30" s="1887" t="s">
        <v>1391</v>
      </c>
      <c r="F30" s="1887"/>
      <c r="G30" s="1887"/>
      <c r="H30" s="1887"/>
      <c r="I30" s="1887"/>
      <c r="J30" s="1887"/>
      <c r="K30" s="1887"/>
      <c r="L30" s="1887"/>
      <c r="M30" s="1887"/>
      <c r="N30" s="1887"/>
      <c r="O30" s="1887"/>
      <c r="P30" s="1887"/>
      <c r="Q30" s="1887"/>
      <c r="R30" s="1887"/>
      <c r="S30" s="1887"/>
      <c r="T30" s="1887"/>
      <c r="U30" s="1887"/>
      <c r="V30" s="1887"/>
      <c r="W30" s="1887"/>
      <c r="X30" s="1887"/>
      <c r="Y30" s="1887"/>
      <c r="Z30" s="1887"/>
      <c r="AA30" s="1887"/>
      <c r="AB30" s="1887"/>
      <c r="AC30" s="1887"/>
    </row>
    <row r="31" spans="2:29">
      <c r="B31" s="58"/>
      <c r="C31" s="59"/>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row>
    <row r="32" spans="2:29" ht="20.65">
      <c r="B32" s="62"/>
      <c r="C32" s="59"/>
      <c r="D32" s="58"/>
      <c r="E32" s="63"/>
      <c r="F32" s="58"/>
      <c r="G32" s="58"/>
      <c r="H32" s="58"/>
      <c r="I32" s="58"/>
      <c r="J32" s="58"/>
      <c r="K32" s="58"/>
      <c r="L32" s="58"/>
      <c r="M32" s="58"/>
      <c r="N32" s="58"/>
      <c r="O32" s="58"/>
      <c r="P32" s="58"/>
      <c r="Q32" s="58"/>
      <c r="R32" s="58"/>
      <c r="S32" s="58"/>
      <c r="T32" s="58"/>
      <c r="U32" s="58"/>
      <c r="V32" s="58"/>
      <c r="W32" s="58"/>
      <c r="X32" s="58"/>
      <c r="Y32" s="58"/>
      <c r="Z32" s="58"/>
      <c r="AA32" s="58"/>
      <c r="AB32" s="58"/>
      <c r="AC32" s="58"/>
    </row>
    <row r="33" spans="2:15">
      <c r="B33" s="58"/>
      <c r="C33" s="59"/>
      <c r="D33" s="58"/>
      <c r="E33" s="58"/>
      <c r="F33" s="58"/>
      <c r="G33" s="58"/>
      <c r="H33" s="58"/>
      <c r="I33" s="58"/>
      <c r="J33" s="58"/>
      <c r="K33" s="58"/>
      <c r="L33" s="58"/>
      <c r="M33" s="58"/>
      <c r="N33" s="58"/>
      <c r="O33" s="58"/>
    </row>
    <row r="34" spans="2:15" ht="18.75" customHeight="1"/>
    <row r="35" spans="2:15" ht="15.75" customHeight="1"/>
  </sheetData>
  <protectedRanges>
    <protectedRange sqref="E3:AC27" name="Range1"/>
  </protectedRanges>
  <mergeCells count="55">
    <mergeCell ref="Y3:AC7"/>
    <mergeCell ref="Y8:AC12"/>
    <mergeCell ref="Y13:AC17"/>
    <mergeCell ref="Y18:AC22"/>
    <mergeCell ref="Y23:AC27"/>
    <mergeCell ref="T18:X22"/>
    <mergeCell ref="O18:S22"/>
    <mergeCell ref="O23:S27"/>
    <mergeCell ref="T23:X27"/>
    <mergeCell ref="T3:X7"/>
    <mergeCell ref="J3:N7"/>
    <mergeCell ref="O3:S7"/>
    <mergeCell ref="O8:S12"/>
    <mergeCell ref="O13:S17"/>
    <mergeCell ref="T8:X12"/>
    <mergeCell ref="T13:X17"/>
    <mergeCell ref="AG4:AI4"/>
    <mergeCell ref="AJ4:AL4"/>
    <mergeCell ref="AG3:AL3"/>
    <mergeCell ref="AM3:AR3"/>
    <mergeCell ref="AM4:AO4"/>
    <mergeCell ref="AP4:AR4"/>
    <mergeCell ref="AF3:AF5"/>
    <mergeCell ref="AE3:AE5"/>
    <mergeCell ref="E29:I29"/>
    <mergeCell ref="J29:N29"/>
    <mergeCell ref="O29:S29"/>
    <mergeCell ref="T29:X29"/>
    <mergeCell ref="Y29:AC29"/>
    <mergeCell ref="E3:I7"/>
    <mergeCell ref="E8:I12"/>
    <mergeCell ref="E13:I17"/>
    <mergeCell ref="E18:I22"/>
    <mergeCell ref="E23:I27"/>
    <mergeCell ref="J23:N27"/>
    <mergeCell ref="J18:N22"/>
    <mergeCell ref="J13:N17"/>
    <mergeCell ref="J8:N12"/>
    <mergeCell ref="E30:AC30"/>
    <mergeCell ref="D23:D27"/>
    <mergeCell ref="E28:I28"/>
    <mergeCell ref="J28:N28"/>
    <mergeCell ref="O28:S28"/>
    <mergeCell ref="T28:X28"/>
    <mergeCell ref="Y28:AC28"/>
    <mergeCell ref="B3:B27"/>
    <mergeCell ref="C3:C7"/>
    <mergeCell ref="D3:D7"/>
    <mergeCell ref="C8:C12"/>
    <mergeCell ref="D8:D12"/>
    <mergeCell ref="C13:C17"/>
    <mergeCell ref="D13:D17"/>
    <mergeCell ref="C18:C22"/>
    <mergeCell ref="D18:D22"/>
    <mergeCell ref="C23:C27"/>
  </mergeCells>
  <hyperlinks>
    <hyperlink ref="A1" location="'Daftar Isi'!A1" display="Kembali ke Daftar Isi" xr:uid="{90DB2BD4-FD8B-48EE-868C-2108E284FD24}"/>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28E8-DDCA-4995-9BAC-76BA63BC9D09}">
  <sheetPr>
    <tabColor rgb="FF00B050"/>
  </sheetPr>
  <dimension ref="A1:AE17"/>
  <sheetViews>
    <sheetView showGridLines="0" topLeftCell="A10" workbookViewId="0">
      <selection activeCell="Q12" sqref="Q12"/>
    </sheetView>
  </sheetViews>
  <sheetFormatPr defaultRowHeight="14.25"/>
  <cols>
    <col min="1" max="1" width="9.1328125" customWidth="1"/>
    <col min="2" max="2" width="23.73046875" bestFit="1" customWidth="1"/>
    <col min="3" max="18" width="2.73046875" bestFit="1" customWidth="1"/>
    <col min="19" max="22" width="3.86328125" bestFit="1" customWidth="1"/>
    <col min="23" max="23" width="4.86328125" bestFit="1" customWidth="1"/>
    <col min="24" max="26" width="3.59765625" bestFit="1" customWidth="1"/>
    <col min="27" max="30" width="2.73046875" bestFit="1" customWidth="1"/>
    <col min="31" max="31" width="25.59765625" bestFit="1" customWidth="1"/>
  </cols>
  <sheetData>
    <row r="1" spans="1:31">
      <c r="A1" s="1089" t="s">
        <v>29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c r="A2" s="1089" t="s">
        <v>2437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c r="A3" s="897" t="s">
        <v>2438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15" customHeight="1">
      <c r="A4" s="1976" t="s">
        <v>31</v>
      </c>
      <c r="B4" s="1979" t="s">
        <v>2439</v>
      </c>
      <c r="C4" s="1980"/>
      <c r="D4" s="1980"/>
      <c r="E4" s="1980"/>
      <c r="F4" s="1980"/>
      <c r="G4" s="1980"/>
      <c r="H4" s="1980"/>
      <c r="I4" s="1980"/>
      <c r="J4" s="1980"/>
      <c r="K4" s="1980"/>
      <c r="L4" s="1980"/>
      <c r="M4" s="1980"/>
      <c r="N4" s="1980"/>
      <c r="O4" s="1980"/>
      <c r="P4" s="1980"/>
      <c r="Q4" s="1980"/>
      <c r="R4" s="1980"/>
      <c r="S4" s="1980"/>
      <c r="T4" s="1980"/>
      <c r="U4" s="1980"/>
      <c r="V4" s="1980"/>
      <c r="W4" s="1980"/>
      <c r="X4" s="1980"/>
      <c r="Y4" s="1980"/>
      <c r="Z4" s="1980"/>
      <c r="AA4" s="1980"/>
      <c r="AB4" s="1980"/>
      <c r="AC4" s="1980"/>
      <c r="AD4" s="1980"/>
      <c r="AE4" s="1981" t="s">
        <v>2440</v>
      </c>
    </row>
    <row r="5" spans="1:31" ht="15" customHeight="1">
      <c r="A5" s="1977"/>
      <c r="B5" s="1864" t="s">
        <v>2392</v>
      </c>
      <c r="C5" s="1864" t="s">
        <v>141</v>
      </c>
      <c r="D5" s="1864"/>
      <c r="E5" s="1864"/>
      <c r="F5" s="1864"/>
      <c r="G5" s="1870" t="s">
        <v>142</v>
      </c>
      <c r="H5" s="1870"/>
      <c r="I5" s="1870"/>
      <c r="J5" s="1870"/>
      <c r="K5" s="1864" t="s">
        <v>143</v>
      </c>
      <c r="L5" s="1864"/>
      <c r="M5" s="1864"/>
      <c r="N5" s="1864"/>
      <c r="O5" s="1870" t="s">
        <v>172</v>
      </c>
      <c r="P5" s="1870"/>
      <c r="Q5" s="1870"/>
      <c r="R5" s="1870"/>
      <c r="S5" s="1864" t="s">
        <v>173</v>
      </c>
      <c r="T5" s="1864"/>
      <c r="U5" s="1864"/>
      <c r="V5" s="1864"/>
      <c r="W5" s="1870" t="s">
        <v>2441</v>
      </c>
      <c r="X5" s="1870"/>
      <c r="Y5" s="1870"/>
      <c r="Z5" s="1870"/>
      <c r="AA5" s="1870" t="s">
        <v>147</v>
      </c>
      <c r="AB5" s="1870"/>
      <c r="AC5" s="1870"/>
      <c r="AD5" s="1870"/>
      <c r="AE5" s="1981"/>
    </row>
    <row r="6" spans="1:31">
      <c r="A6" s="1977"/>
      <c r="B6" s="1864"/>
      <c r="C6" s="1864"/>
      <c r="D6" s="1864"/>
      <c r="E6" s="1864"/>
      <c r="F6" s="1864"/>
      <c r="G6" s="1864" t="s">
        <v>125</v>
      </c>
      <c r="H6" s="1864"/>
      <c r="I6" s="1864"/>
      <c r="J6" s="1864"/>
      <c r="K6" s="1864"/>
      <c r="L6" s="1864"/>
      <c r="M6" s="1864"/>
      <c r="N6" s="1864"/>
      <c r="O6" s="1864" t="s">
        <v>125</v>
      </c>
      <c r="P6" s="1864"/>
      <c r="Q6" s="1864"/>
      <c r="R6" s="1864"/>
      <c r="S6" s="1864"/>
      <c r="T6" s="1864"/>
      <c r="U6" s="1864"/>
      <c r="V6" s="1864"/>
      <c r="W6" s="1864" t="s">
        <v>125</v>
      </c>
      <c r="X6" s="1864"/>
      <c r="Y6" s="1864"/>
      <c r="Z6" s="1864"/>
      <c r="AA6" s="1864" t="s">
        <v>125</v>
      </c>
      <c r="AB6" s="1864"/>
      <c r="AC6" s="1864"/>
      <c r="AD6" s="1864"/>
      <c r="AE6" s="1981"/>
    </row>
    <row r="7" spans="1:31">
      <c r="A7" s="1978"/>
      <c r="B7" s="1864"/>
      <c r="C7" s="48" t="s">
        <v>186</v>
      </c>
      <c r="D7" s="48" t="s">
        <v>187</v>
      </c>
      <c r="E7" s="48" t="s">
        <v>188</v>
      </c>
      <c r="F7" s="48" t="s">
        <v>189</v>
      </c>
      <c r="G7" s="48" t="s">
        <v>186</v>
      </c>
      <c r="H7" s="48" t="s">
        <v>187</v>
      </c>
      <c r="I7" s="48" t="s">
        <v>188</v>
      </c>
      <c r="J7" s="48" t="s">
        <v>189</v>
      </c>
      <c r="K7" s="48" t="s">
        <v>186</v>
      </c>
      <c r="L7" s="48" t="s">
        <v>187</v>
      </c>
      <c r="M7" s="48" t="s">
        <v>188</v>
      </c>
      <c r="N7" s="48" t="s">
        <v>189</v>
      </c>
      <c r="O7" s="48" t="s">
        <v>186</v>
      </c>
      <c r="P7" s="48" t="s">
        <v>187</v>
      </c>
      <c r="Q7" s="48" t="s">
        <v>188</v>
      </c>
      <c r="R7" s="48" t="s">
        <v>189</v>
      </c>
      <c r="S7" s="48" t="s">
        <v>186</v>
      </c>
      <c r="T7" s="48" t="s">
        <v>187</v>
      </c>
      <c r="U7" s="48" t="s">
        <v>188</v>
      </c>
      <c r="V7" s="48" t="s">
        <v>189</v>
      </c>
      <c r="W7" s="48" t="s">
        <v>186</v>
      </c>
      <c r="X7" s="48" t="s">
        <v>187</v>
      </c>
      <c r="Y7" s="48" t="s">
        <v>188</v>
      </c>
      <c r="Z7" s="48" t="s">
        <v>189</v>
      </c>
      <c r="AA7" s="48" t="s">
        <v>186</v>
      </c>
      <c r="AB7" s="48" t="s">
        <v>187</v>
      </c>
      <c r="AC7" s="48" t="s">
        <v>188</v>
      </c>
      <c r="AD7" s="48" t="s">
        <v>189</v>
      </c>
      <c r="AE7" s="1981"/>
    </row>
    <row r="8" spans="1:31" ht="46.5" customHeight="1">
      <c r="A8" s="6" t="s">
        <v>36</v>
      </c>
      <c r="B8" s="5" t="s">
        <v>62</v>
      </c>
      <c r="C8" s="1848" t="s">
        <v>2442</v>
      </c>
      <c r="D8" s="1848"/>
      <c r="E8" s="1848"/>
      <c r="F8" s="1848"/>
      <c r="G8" s="1848" t="s">
        <v>58</v>
      </c>
      <c r="H8" s="1848"/>
      <c r="I8" s="1848"/>
      <c r="J8" s="1848"/>
      <c r="K8" s="1848" t="s">
        <v>202</v>
      </c>
      <c r="L8" s="1848"/>
      <c r="M8" s="1848"/>
      <c r="N8" s="1848"/>
      <c r="O8" s="1848" t="s">
        <v>58</v>
      </c>
      <c r="P8" s="1848"/>
      <c r="Q8" s="1848"/>
      <c r="R8" s="1848"/>
      <c r="S8" s="1848" t="s">
        <v>2396</v>
      </c>
      <c r="T8" s="1848"/>
      <c r="U8" s="1848"/>
      <c r="V8" s="1848"/>
      <c r="W8" s="1848" t="s">
        <v>203</v>
      </c>
      <c r="X8" s="1848"/>
      <c r="Y8" s="1848"/>
      <c r="Z8" s="1848"/>
      <c r="AA8" s="1848" t="s">
        <v>60</v>
      </c>
      <c r="AB8" s="1848"/>
      <c r="AC8" s="1848"/>
      <c r="AD8" s="1848"/>
      <c r="AE8" s="5" t="s">
        <v>58</v>
      </c>
    </row>
    <row r="9" spans="1:31" ht="202.5" customHeight="1">
      <c r="A9" s="6" t="s">
        <v>38</v>
      </c>
      <c r="B9" s="8" t="s">
        <v>2443</v>
      </c>
      <c r="C9" s="1847" t="s">
        <v>2444</v>
      </c>
      <c r="D9" s="1847"/>
      <c r="E9" s="1847"/>
      <c r="F9" s="1847"/>
      <c r="G9" s="1847" t="s">
        <v>2445</v>
      </c>
      <c r="H9" s="1847"/>
      <c r="I9" s="1847"/>
      <c r="J9" s="1847"/>
      <c r="K9" s="1847" t="s">
        <v>2446</v>
      </c>
      <c r="L9" s="1847"/>
      <c r="M9" s="1847"/>
      <c r="N9" s="1847"/>
      <c r="O9" s="1847" t="s">
        <v>2445</v>
      </c>
      <c r="P9" s="1847"/>
      <c r="Q9" s="1847"/>
      <c r="R9" s="1847"/>
      <c r="S9" s="1847" t="s">
        <v>2428</v>
      </c>
      <c r="T9" s="1847"/>
      <c r="U9" s="1847"/>
      <c r="V9" s="1847"/>
      <c r="W9" s="1982" t="s">
        <v>2447</v>
      </c>
      <c r="X9" s="1982"/>
      <c r="Y9" s="1982"/>
      <c r="Z9" s="1982"/>
      <c r="AA9" s="1868" t="s">
        <v>2448</v>
      </c>
      <c r="AB9" s="1868"/>
      <c r="AC9" s="1868"/>
      <c r="AD9" s="1868"/>
      <c r="AE9" s="9" t="s">
        <v>2449</v>
      </c>
    </row>
    <row r="10" spans="1:31" ht="90.75" customHeight="1">
      <c r="A10" s="1090" t="s">
        <v>43</v>
      </c>
      <c r="B10" s="52"/>
      <c r="C10" s="1478"/>
      <c r="D10" s="1478"/>
      <c r="E10" s="1478"/>
      <c r="F10" s="1478"/>
      <c r="G10" s="1478" t="s">
        <v>2450</v>
      </c>
      <c r="H10" s="1478"/>
      <c r="I10" s="1478"/>
      <c r="J10" s="1478"/>
      <c r="K10" s="1983"/>
      <c r="L10" s="1983"/>
      <c r="M10" s="1983"/>
      <c r="N10" s="1983"/>
      <c r="O10" s="1478"/>
      <c r="P10" s="1478"/>
      <c r="Q10" s="1478"/>
      <c r="R10" s="1478"/>
      <c r="S10" s="1478"/>
      <c r="T10" s="1478"/>
      <c r="U10" s="1478"/>
      <c r="V10" s="1478"/>
      <c r="W10" s="1478"/>
      <c r="X10" s="1478"/>
      <c r="Y10" s="1478"/>
      <c r="Z10" s="1478"/>
      <c r="AA10" s="1477"/>
      <c r="AB10" s="1477"/>
      <c r="AC10" s="1477"/>
      <c r="AD10" s="1477"/>
      <c r="AE10" s="9" t="s">
        <v>2451</v>
      </c>
    </row>
    <row r="11" spans="1:31" ht="93">
      <c r="A11" s="6" t="s">
        <v>45</v>
      </c>
      <c r="B11" s="52"/>
      <c r="C11" s="52"/>
      <c r="D11" s="52"/>
      <c r="E11" s="52"/>
      <c r="F11" s="52"/>
      <c r="G11" s="52">
        <v>3</v>
      </c>
      <c r="H11" s="52">
        <v>4</v>
      </c>
      <c r="I11" s="52">
        <v>2</v>
      </c>
      <c r="J11" s="52">
        <v>5</v>
      </c>
      <c r="K11" s="1091"/>
      <c r="L11" s="1091"/>
      <c r="M11" s="1091"/>
      <c r="N11" s="1091"/>
      <c r="O11" s="52">
        <v>5</v>
      </c>
      <c r="P11" s="52">
        <v>1</v>
      </c>
      <c r="Q11" s="52">
        <v>2</v>
      </c>
      <c r="R11" s="52">
        <v>5</v>
      </c>
      <c r="S11" s="1095">
        <f t="shared" ref="S11:S16" si="0">$C11*$K11</f>
        <v>0</v>
      </c>
      <c r="T11" s="1095">
        <f t="shared" ref="T11:T16" si="1">$D11*$L11</f>
        <v>0</v>
      </c>
      <c r="U11" s="1095">
        <f t="shared" ref="U11:U16" si="2">$E11*$M11</f>
        <v>0</v>
      </c>
      <c r="V11" s="1095">
        <f t="shared" ref="V11:V16" si="3">$F11*$N11</f>
        <v>0</v>
      </c>
      <c r="W11" s="1096">
        <f>INDEX(Source!$E$33:$I$37,MATCH(O11,Source!$D$33:$D$37,0),MATCH(G11,Source!$E$38:$I$38,0))</f>
        <v>17</v>
      </c>
      <c r="X11" s="1096">
        <f>INDEX(Source!$E$33:$I$37,MATCH(P11,Source!$D$33:$D$37,0),MATCH(H11,Source!$E$38:$I$38,0))</f>
        <v>15</v>
      </c>
      <c r="Y11" s="1096">
        <f>INDEX(Source!$E$33:$I$37,MATCH(Q11,Source!$D$33:$D$37,0),MATCH(I11,Source!$E$38:$I$38,0))</f>
        <v>6</v>
      </c>
      <c r="Z11" s="1096">
        <f>INDEX(Source!$E$33:$I$37,MATCH(R11,Source!$D$33:$D$37,0),MATCH(J11,Source!$E$38:$I$38,0))</f>
        <v>25</v>
      </c>
      <c r="AA11" s="372" t="str">
        <f>LOOKUP(MATCH(W11,'Perhitungan Heatmap'!$D$9:$AB$9),'Perhitungan Heatmap'!$D$9:$AB$9,'Perhitungan Heatmap'!$D$10:$AB$10)</f>
        <v>Moderate To High</v>
      </c>
      <c r="AB11" s="372" t="str">
        <f>LOOKUP(MATCH(X11,'Perhitungan Heatmap'!$D$9:$AB$9),'Perhitungan Heatmap'!$D$9:$AB$9,'Perhitungan Heatmap'!$D$10:$AB$10)</f>
        <v>Moderate</v>
      </c>
      <c r="AC11" s="372" t="str">
        <f>LOOKUP(MATCH(Y11,'Perhitungan Heatmap'!$D$9:$AB$9),'Perhitungan Heatmap'!$D$9:$AB$9,'Perhitungan Heatmap'!$D$10:$AB$10)</f>
        <v>Low To Moderate</v>
      </c>
      <c r="AD11" s="372" t="str">
        <f>LOOKUP(MATCH(Z11,'Perhitungan Heatmap'!$D$9:$AB$9),'Perhitungan Heatmap'!$D$9:$AB$9,'Perhitungan Heatmap'!$D$10:$AB$10)</f>
        <v>High</v>
      </c>
      <c r="AE11" s="9"/>
    </row>
    <row r="12" spans="1:31" ht="30.4">
      <c r="A12" s="1090">
        <v>1</v>
      </c>
      <c r="B12" s="52" t="str">
        <f>IFERROR(INDEX(SUMMARY!$AC$10:$AC$22,MATCH('LAP REAL III.A'!A12,SUMMARY!$L$10:$L$22,0)),"")</f>
        <v>Dari nilai tukar rupiah terhadap kurs untuk pembayaran biaya operasional dan beban bunga perusahaan</v>
      </c>
      <c r="C12" s="52"/>
      <c r="D12" s="52"/>
      <c r="E12" s="52"/>
      <c r="F12" s="52"/>
      <c r="G12" s="52"/>
      <c r="H12" s="52"/>
      <c r="I12" s="52"/>
      <c r="J12" s="52"/>
      <c r="K12" s="1091"/>
      <c r="L12" s="1091"/>
      <c r="M12" s="1091"/>
      <c r="N12" s="1091"/>
      <c r="O12" s="52"/>
      <c r="P12" s="52"/>
      <c r="Q12" s="52"/>
      <c r="R12" s="52"/>
      <c r="S12" s="1095">
        <f t="shared" si="0"/>
        <v>0</v>
      </c>
      <c r="T12" s="1095">
        <f t="shared" si="1"/>
        <v>0</v>
      </c>
      <c r="U12" s="1095">
        <f t="shared" si="2"/>
        <v>0</v>
      </c>
      <c r="V12" s="1095">
        <f t="shared" si="3"/>
        <v>0</v>
      </c>
      <c r="W12" s="1096" t="e">
        <f>INDEX(Source!$E$33:$I$37,MATCH(O12,Source!$D$33:$D$37,0),MATCH(G12,Source!$E$38:$I$38,0))</f>
        <v>#N/A</v>
      </c>
      <c r="X12" s="1096" t="e">
        <f>INDEX(Source!$E$33:$I$37,MATCH(P12,Source!$D$33:$D$37,0),MATCH(H12,Source!$E$38:$I$38,0))</f>
        <v>#N/A</v>
      </c>
      <c r="Y12" s="1096" t="e">
        <f>INDEX(Source!$E$33:$I$37,MATCH(Q12,Source!$D$33:$D$37,0),MATCH(I12,Source!$E$38:$I$38,0))</f>
        <v>#N/A</v>
      </c>
      <c r="Z12" s="1096" t="e">
        <f>INDEX(Source!$E$33:$I$37,MATCH(R12,Source!$D$33:$D$37,0),MATCH(J12,Source!$E$38:$I$38,0))</f>
        <v>#N/A</v>
      </c>
      <c r="AA12" s="372" t="e">
        <f>LOOKUP(MATCH(W12,'Perhitungan Heatmap'!$D$9:$AB$9),'Perhitungan Heatmap'!$D$9:$AB$9,'Perhitungan Heatmap'!$D$10:$AB$10)</f>
        <v>#N/A</v>
      </c>
      <c r="AB12" s="372" t="e">
        <f>LOOKUP(MATCH(X12,'Perhitungan Heatmap'!$D$9:$AB$9),'Perhitungan Heatmap'!$D$9:$AB$9,'Perhitungan Heatmap'!$D$10:$AB$10)</f>
        <v>#N/A</v>
      </c>
      <c r="AC12" s="372" t="e">
        <f>LOOKUP(MATCH(Y12,'Perhitungan Heatmap'!$D$9:$AB$9),'Perhitungan Heatmap'!$D$9:$AB$9,'Perhitungan Heatmap'!$D$10:$AB$10)</f>
        <v>#N/A</v>
      </c>
      <c r="AD12" s="372" t="e">
        <f>LOOKUP(MATCH(Z12,'Perhitungan Heatmap'!$D$9:$AB$9),'Perhitungan Heatmap'!$D$9:$AB$9,'Perhitungan Heatmap'!$D$10:$AB$10)</f>
        <v>#N/A</v>
      </c>
      <c r="AE12" s="9"/>
    </row>
    <row r="13" spans="1:31">
      <c r="A13" s="1090"/>
      <c r="B13" s="52"/>
      <c r="C13" s="52"/>
      <c r="D13" s="52"/>
      <c r="E13" s="52"/>
      <c r="F13" s="52"/>
      <c r="G13" s="52"/>
      <c r="H13" s="52"/>
      <c r="I13" s="52"/>
      <c r="J13" s="52"/>
      <c r="K13" s="1091"/>
      <c r="L13" s="1091"/>
      <c r="M13" s="1091"/>
      <c r="N13" s="1091"/>
      <c r="O13" s="52"/>
      <c r="P13" s="52"/>
      <c r="Q13" s="52"/>
      <c r="R13" s="52"/>
      <c r="S13" s="1095">
        <f t="shared" si="0"/>
        <v>0</v>
      </c>
      <c r="T13" s="1095">
        <f t="shared" si="1"/>
        <v>0</v>
      </c>
      <c r="U13" s="1095">
        <f t="shared" si="2"/>
        <v>0</v>
      </c>
      <c r="V13" s="1095">
        <f t="shared" si="3"/>
        <v>0</v>
      </c>
      <c r="W13" s="1096" t="e">
        <f>INDEX(Source!$E$33:$I$37,MATCH(O13,Source!$D$33:$D$37,0),MATCH(G13,Source!$E$38:$I$38,0))</f>
        <v>#N/A</v>
      </c>
      <c r="X13" s="1096" t="e">
        <f>INDEX(Source!$E$33:$I$37,MATCH(P13,Source!$D$33:$D$37,0),MATCH(H13,Source!$E$38:$I$38,0))</f>
        <v>#N/A</v>
      </c>
      <c r="Y13" s="1096" t="e">
        <f>INDEX(Source!$E$33:$I$37,MATCH(Q13,Source!$D$33:$D$37,0),MATCH(I13,Source!$E$38:$I$38,0))</f>
        <v>#N/A</v>
      </c>
      <c r="Z13" s="1096" t="e">
        <f>INDEX(Source!$E$33:$I$37,MATCH(R13,Source!$D$33:$D$37,0),MATCH(J13,Source!$E$38:$I$38,0))</f>
        <v>#N/A</v>
      </c>
      <c r="AA13" s="372" t="e">
        <f>LOOKUP(MATCH(W13,'Perhitungan Heatmap'!$D$9:$AB$9),'Perhitungan Heatmap'!$D$9:$AB$9,'Perhitungan Heatmap'!$D$10:$AB$10)</f>
        <v>#N/A</v>
      </c>
      <c r="AB13" s="372" t="e">
        <f>LOOKUP(MATCH(X13,'Perhitungan Heatmap'!$D$9:$AB$9),'Perhitungan Heatmap'!$D$9:$AB$9,'Perhitungan Heatmap'!$D$10:$AB$10)</f>
        <v>#N/A</v>
      </c>
      <c r="AC13" s="372" t="e">
        <f>LOOKUP(MATCH(Y13,'Perhitungan Heatmap'!$D$9:$AB$9),'Perhitungan Heatmap'!$D$9:$AB$9,'Perhitungan Heatmap'!$D$10:$AB$10)</f>
        <v>#N/A</v>
      </c>
      <c r="AD13" s="372" t="e">
        <f>LOOKUP(MATCH(Z13,'Perhitungan Heatmap'!$D$9:$AB$9),'Perhitungan Heatmap'!$D$9:$AB$9,'Perhitungan Heatmap'!$D$10:$AB$10)</f>
        <v>#N/A</v>
      </c>
      <c r="AE13" s="9"/>
    </row>
    <row r="14" spans="1:31">
      <c r="A14" s="1090"/>
      <c r="B14" s="52"/>
      <c r="C14" s="52"/>
      <c r="D14" s="52"/>
      <c r="E14" s="52"/>
      <c r="F14" s="52"/>
      <c r="G14" s="52"/>
      <c r="H14" s="52"/>
      <c r="I14" s="52"/>
      <c r="J14" s="52"/>
      <c r="K14" s="1091"/>
      <c r="L14" s="1091"/>
      <c r="M14" s="1091"/>
      <c r="N14" s="1091"/>
      <c r="O14" s="52"/>
      <c r="P14" s="52"/>
      <c r="Q14" s="52"/>
      <c r="R14" s="52"/>
      <c r="S14" s="1095">
        <f t="shared" si="0"/>
        <v>0</v>
      </c>
      <c r="T14" s="1095">
        <f t="shared" si="1"/>
        <v>0</v>
      </c>
      <c r="U14" s="1095">
        <f t="shared" si="2"/>
        <v>0</v>
      </c>
      <c r="V14" s="1095">
        <f t="shared" si="3"/>
        <v>0</v>
      </c>
      <c r="W14" s="1096" t="e">
        <f>INDEX(Source!$E$33:$I$37,MATCH(O14,Source!$D$33:$D$37,0),MATCH(G14,Source!$E$38:$I$38,0))</f>
        <v>#N/A</v>
      </c>
      <c r="X14" s="1096" t="e">
        <f>INDEX(Source!$E$33:$I$37,MATCH(P14,Source!$D$33:$D$37,0),MATCH(H14,Source!$E$38:$I$38,0))</f>
        <v>#N/A</v>
      </c>
      <c r="Y14" s="1096" t="e">
        <f>INDEX(Source!$E$33:$I$37,MATCH(Q14,Source!$D$33:$D$37,0),MATCH(I14,Source!$E$38:$I$38,0))</f>
        <v>#N/A</v>
      </c>
      <c r="Z14" s="1096" t="e">
        <f>INDEX(Source!$E$33:$I$37,MATCH(R14,Source!$D$33:$D$37,0),MATCH(J14,Source!$E$38:$I$38,0))</f>
        <v>#N/A</v>
      </c>
      <c r="AA14" s="372" t="e">
        <f>LOOKUP(MATCH(W14,'Perhitungan Heatmap'!$D$9:$AB$9),'Perhitungan Heatmap'!$D$9:$AB$9,'Perhitungan Heatmap'!$D$10:$AB$10)</f>
        <v>#N/A</v>
      </c>
      <c r="AB14" s="372" t="e">
        <f>LOOKUP(MATCH(X14,'Perhitungan Heatmap'!$D$9:$AB$9),'Perhitungan Heatmap'!$D$9:$AB$9,'Perhitungan Heatmap'!$D$10:$AB$10)</f>
        <v>#N/A</v>
      </c>
      <c r="AC14" s="372" t="e">
        <f>LOOKUP(MATCH(Y14,'Perhitungan Heatmap'!$D$9:$AB$9),'Perhitungan Heatmap'!$D$9:$AB$9,'Perhitungan Heatmap'!$D$10:$AB$10)</f>
        <v>#N/A</v>
      </c>
      <c r="AD14" s="372" t="e">
        <f>LOOKUP(MATCH(Z14,'Perhitungan Heatmap'!$D$9:$AB$9),'Perhitungan Heatmap'!$D$9:$AB$9,'Perhitungan Heatmap'!$D$10:$AB$10)</f>
        <v>#N/A</v>
      </c>
      <c r="AE14" s="9"/>
    </row>
    <row r="15" spans="1:31">
      <c r="A15" s="1090"/>
      <c r="B15" s="52"/>
      <c r="C15" s="52"/>
      <c r="D15" s="52"/>
      <c r="E15" s="52"/>
      <c r="F15" s="52"/>
      <c r="G15" s="52"/>
      <c r="H15" s="52"/>
      <c r="I15" s="52"/>
      <c r="J15" s="52"/>
      <c r="K15" s="1091"/>
      <c r="L15" s="1091"/>
      <c r="M15" s="1091"/>
      <c r="N15" s="1091"/>
      <c r="O15" s="52"/>
      <c r="P15" s="52"/>
      <c r="Q15" s="52"/>
      <c r="R15" s="52"/>
      <c r="S15" s="1095">
        <f t="shared" si="0"/>
        <v>0</v>
      </c>
      <c r="T15" s="1095">
        <f t="shared" si="1"/>
        <v>0</v>
      </c>
      <c r="U15" s="1095">
        <f t="shared" si="2"/>
        <v>0</v>
      </c>
      <c r="V15" s="1095">
        <f t="shared" si="3"/>
        <v>0</v>
      </c>
      <c r="W15" s="1096" t="e">
        <f>INDEX(Source!$E$33:$I$37,MATCH(O15,Source!$D$33:$D$37,0),MATCH(G15,Source!$E$38:$I$38,0))</f>
        <v>#N/A</v>
      </c>
      <c r="X15" s="1096" t="e">
        <f>INDEX(Source!$E$33:$I$37,MATCH(P15,Source!$D$33:$D$37,0),MATCH(H15,Source!$E$38:$I$38,0))</f>
        <v>#N/A</v>
      </c>
      <c r="Y15" s="1096" t="e">
        <f>INDEX(Source!$E$33:$I$37,MATCH(Q15,Source!$D$33:$D$37,0),MATCH(I15,Source!$E$38:$I$38,0))</f>
        <v>#N/A</v>
      </c>
      <c r="Z15" s="1096" t="e">
        <f>INDEX(Source!$E$33:$I$37,MATCH(R15,Source!$D$33:$D$37,0),MATCH(J15,Source!$E$38:$I$38,0))</f>
        <v>#N/A</v>
      </c>
      <c r="AA15" s="372" t="e">
        <f>LOOKUP(MATCH(W15,'Perhitungan Heatmap'!$D$9:$AB$9),'Perhitungan Heatmap'!$D$9:$AB$9,'Perhitungan Heatmap'!$D$10:$AB$10)</f>
        <v>#N/A</v>
      </c>
      <c r="AB15" s="372" t="e">
        <f>LOOKUP(MATCH(X15,'Perhitungan Heatmap'!$D$9:$AB$9),'Perhitungan Heatmap'!$D$9:$AB$9,'Perhitungan Heatmap'!$D$10:$AB$10)</f>
        <v>#N/A</v>
      </c>
      <c r="AC15" s="372" t="e">
        <f>LOOKUP(MATCH(Y15,'Perhitungan Heatmap'!$D$9:$AB$9),'Perhitungan Heatmap'!$D$9:$AB$9,'Perhitungan Heatmap'!$D$10:$AB$10)</f>
        <v>#N/A</v>
      </c>
      <c r="AD15" s="372" t="e">
        <f>LOOKUP(MATCH(Z15,'Perhitungan Heatmap'!$D$9:$AB$9),'Perhitungan Heatmap'!$D$9:$AB$9,'Perhitungan Heatmap'!$D$10:$AB$10)</f>
        <v>#N/A</v>
      </c>
      <c r="AE15" s="9"/>
    </row>
    <row r="16" spans="1:31">
      <c r="A16" s="1090"/>
      <c r="B16" s="52"/>
      <c r="C16" s="52"/>
      <c r="D16" s="52"/>
      <c r="E16" s="52"/>
      <c r="F16" s="52"/>
      <c r="G16" s="52"/>
      <c r="H16" s="52"/>
      <c r="I16" s="52"/>
      <c r="J16" s="52"/>
      <c r="K16" s="1091"/>
      <c r="L16" s="1091"/>
      <c r="M16" s="1091"/>
      <c r="N16" s="1091"/>
      <c r="O16" s="52"/>
      <c r="P16" s="52"/>
      <c r="Q16" s="52"/>
      <c r="R16" s="52"/>
      <c r="S16" s="1095">
        <f t="shared" si="0"/>
        <v>0</v>
      </c>
      <c r="T16" s="1095">
        <f t="shared" si="1"/>
        <v>0</v>
      </c>
      <c r="U16" s="1095">
        <f t="shared" si="2"/>
        <v>0</v>
      </c>
      <c r="V16" s="1095">
        <f t="shared" si="3"/>
        <v>0</v>
      </c>
      <c r="W16" s="1096" t="e">
        <f>INDEX(Source!$E$33:$I$37,MATCH(O16,Source!$D$33:$D$37,0),MATCH(G16,Source!$E$38:$I$38,0))</f>
        <v>#N/A</v>
      </c>
      <c r="X16" s="1096" t="e">
        <f>INDEX(Source!$E$33:$I$37,MATCH(P16,Source!$D$33:$D$37,0),MATCH(H16,Source!$E$38:$I$38,0))</f>
        <v>#N/A</v>
      </c>
      <c r="Y16" s="1096" t="e">
        <f>INDEX(Source!$E$33:$I$37,MATCH(Q16,Source!$D$33:$D$37,0),MATCH(I16,Source!$E$38:$I$38,0))</f>
        <v>#N/A</v>
      </c>
      <c r="Z16" s="1096" t="e">
        <f>INDEX(Source!$E$33:$I$37,MATCH(R16,Source!$D$33:$D$37,0),MATCH(J16,Source!$E$38:$I$38,0))</f>
        <v>#N/A</v>
      </c>
      <c r="AA16" s="372" t="e">
        <f>LOOKUP(MATCH(W16,'Perhitungan Heatmap'!$D$9:$AB$9),'Perhitungan Heatmap'!$D$9:$AB$9,'Perhitungan Heatmap'!$D$10:$AB$10)</f>
        <v>#N/A</v>
      </c>
      <c r="AB16" s="372" t="e">
        <f>LOOKUP(MATCH(X16,'Perhitungan Heatmap'!$D$9:$AB$9),'Perhitungan Heatmap'!$D$9:$AB$9,'Perhitungan Heatmap'!$D$10:$AB$10)</f>
        <v>#N/A</v>
      </c>
      <c r="AC16" s="372" t="e">
        <f>LOOKUP(MATCH(Y16,'Perhitungan Heatmap'!$D$9:$AB$9),'Perhitungan Heatmap'!$D$9:$AB$9,'Perhitungan Heatmap'!$D$10:$AB$10)</f>
        <v>#N/A</v>
      </c>
      <c r="AD16" s="372" t="e">
        <f>LOOKUP(MATCH(Z16,'Perhitungan Heatmap'!$D$9:$AB$9),'Perhitungan Heatmap'!$D$9:$AB$9,'Perhitungan Heatmap'!$D$10:$AB$10)</f>
        <v>#N/A</v>
      </c>
      <c r="AE16" s="9"/>
    </row>
    <row r="17" spans="1:31" ht="20.25">
      <c r="A17" s="6" t="s">
        <v>45</v>
      </c>
      <c r="B17" s="15"/>
      <c r="C17" s="15"/>
      <c r="D17" s="15"/>
      <c r="E17" s="15"/>
      <c r="F17" s="15"/>
      <c r="G17" s="52"/>
      <c r="H17" s="52"/>
      <c r="I17" s="52"/>
      <c r="J17" s="52"/>
      <c r="K17" s="17"/>
      <c r="L17" s="17"/>
      <c r="M17" s="17"/>
      <c r="N17" s="17"/>
      <c r="O17" s="52"/>
      <c r="P17" s="52"/>
      <c r="Q17" s="52"/>
      <c r="R17" s="52"/>
      <c r="S17" s="1095">
        <f>$C17*$K17</f>
        <v>0</v>
      </c>
      <c r="T17" s="1095">
        <f>$D17*$L17</f>
        <v>0</v>
      </c>
      <c r="U17" s="1095">
        <f>$E17*$M17</f>
        <v>0</v>
      </c>
      <c r="V17" s="1095">
        <f>$F17*$N17</f>
        <v>0</v>
      </c>
      <c r="W17" s="1096" t="e">
        <f>INDEX(Source!$E$33:$I$37,MATCH(O17,Source!$D$33:$D$37,0),MATCH(G17,Source!$E$38:$I$38,0))</f>
        <v>#N/A</v>
      </c>
      <c r="X17" s="1096" t="e">
        <f>INDEX(Source!$E$33:$I$37,MATCH(P17,Source!$D$33:$D$37,0),MATCH(H17,Source!$E$38:$I$38,0))</f>
        <v>#N/A</v>
      </c>
      <c r="Y17" s="1096" t="e">
        <f>INDEX(Source!$E$33:$I$37,MATCH(Q17,Source!$D$33:$D$37,0),MATCH(I17,Source!$E$38:$I$38,0))</f>
        <v>#N/A</v>
      </c>
      <c r="Z17" s="1096" t="e">
        <f>INDEX(Source!$E$33:$I$37,MATCH(R17,Source!$D$33:$D$37,0),MATCH(J17,Source!$E$38:$I$38,0))</f>
        <v>#N/A</v>
      </c>
      <c r="AA17" s="372" t="e">
        <f>LOOKUP(MATCH(W17,'Perhitungan Heatmap'!$D$9:$AB$9),'Perhitungan Heatmap'!$D$9:$AB$9,'Perhitungan Heatmap'!$D$10:$AB$10)</f>
        <v>#N/A</v>
      </c>
      <c r="AB17" s="372" t="e">
        <f>LOOKUP(MATCH(X17,'Perhitungan Heatmap'!$D$9:$AB$9),'Perhitungan Heatmap'!$D$9:$AB$9,'Perhitungan Heatmap'!$D$10:$AB$10)</f>
        <v>#N/A</v>
      </c>
      <c r="AC17" s="372" t="e">
        <f>LOOKUP(MATCH(Y17,'Perhitungan Heatmap'!$D$9:$AB$9),'Perhitungan Heatmap'!$D$9:$AB$9,'Perhitungan Heatmap'!$D$10:$AB$10)</f>
        <v>#N/A</v>
      </c>
      <c r="AD17" s="372" t="e">
        <f>LOOKUP(MATCH(Z17,'Perhitungan Heatmap'!$D$9:$AB$9),'Perhitungan Heatmap'!$D$9:$AB$9,'Perhitungan Heatmap'!$D$10:$AB$10)</f>
        <v>#N/A</v>
      </c>
      <c r="AE17" s="15"/>
    </row>
  </sheetData>
  <mergeCells count="36">
    <mergeCell ref="S10:V10"/>
    <mergeCell ref="W10:Z10"/>
    <mergeCell ref="AA10:AD10"/>
    <mergeCell ref="C10:F10"/>
    <mergeCell ref="G10:J10"/>
    <mergeCell ref="K10:N10"/>
    <mergeCell ref="O10:R10"/>
    <mergeCell ref="S9:V9"/>
    <mergeCell ref="W9:Z9"/>
    <mergeCell ref="AA9:AD9"/>
    <mergeCell ref="S8:V8"/>
    <mergeCell ref="W8:Z8"/>
    <mergeCell ref="AA8:AD8"/>
    <mergeCell ref="C9:F9"/>
    <mergeCell ref="G9:J9"/>
    <mergeCell ref="K9:N9"/>
    <mergeCell ref="O9:R9"/>
    <mergeCell ref="C8:F8"/>
    <mergeCell ref="G8:J8"/>
    <mergeCell ref="K8:N8"/>
    <mergeCell ref="O8:R8"/>
    <mergeCell ref="A4:A7"/>
    <mergeCell ref="B4:AD4"/>
    <mergeCell ref="AE4:AE7"/>
    <mergeCell ref="B5:B7"/>
    <mergeCell ref="C5:F6"/>
    <mergeCell ref="G5:J5"/>
    <mergeCell ref="K5:N6"/>
    <mergeCell ref="O5:R5"/>
    <mergeCell ref="S5:V6"/>
    <mergeCell ref="W5:Z5"/>
    <mergeCell ref="AA5:AD5"/>
    <mergeCell ref="G6:J6"/>
    <mergeCell ref="O6:R6"/>
    <mergeCell ref="W6:Z6"/>
    <mergeCell ref="AA6:AD6"/>
  </mergeCells>
  <conditionalFormatting sqref="C9">
    <cfRule type="expression" dxfId="9" priority="7">
      <formula>#REF!="kualitatif"</formula>
    </cfRule>
  </conditionalFormatting>
  <conditionalFormatting sqref="AA11:AD17">
    <cfRule type="containsText" dxfId="8" priority="1" operator="containsText" text="Moderate to High">
      <formula>NOT(ISERROR(SEARCH(("Moderate to High"),(AA11))))</formula>
    </cfRule>
    <cfRule type="containsText" dxfId="7" priority="2" operator="containsText" text="Low to Moderate">
      <formula>NOT(ISERROR(SEARCH(("Low to Moderate"),(AA11))))</formula>
    </cfRule>
    <cfRule type="containsText" dxfId="6" priority="3" operator="containsText" text="Moderate">
      <formula>NOT(ISERROR(SEARCH(("Moderate"),(AA11))))</formula>
    </cfRule>
    <cfRule type="containsText" dxfId="5" priority="4" operator="containsText" text="Low">
      <formula>NOT(ISERROR(SEARCH(("Low"),(AA11))))</formula>
    </cfRule>
    <cfRule type="containsText" dxfId="4" priority="5" operator="containsText" text="High">
      <formula>NOT(ISERROR(SEARCH(("High"),(AA11))))</formula>
    </cfRule>
  </conditionalFormatting>
  <conditionalFormatting sqref="AE9:AE16">
    <cfRule type="cellIs" dxfId="3" priority="6" operator="equal">
      <formula>1</formula>
    </cfRule>
  </conditionalFormatting>
  <hyperlinks>
    <hyperlink ref="A2" location="'III. Tabel Pelaporan MR'!A1" display="Kembali Bab III" xr:uid="{D1C84217-BB3D-452D-928C-B2F8FB7D3363}"/>
    <hyperlink ref="A1" location="'Daftar Isi'!A1" display="Kembali ke Daftar Isi" xr:uid="{6646D5DF-84B3-43A1-AEA0-2DA7BFF8538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D321359-C919-4CAB-BF26-E410ADDCD0EF}">
          <x14:formula1>
            <xm:f>Source!$E$38:$I$38</xm:f>
          </x14:formula1>
          <xm:sqref>G11:J17 O11:R17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89FE-2982-4573-ACAD-39491CAC60BD}">
  <sheetPr>
    <tabColor rgb="FF00B050"/>
  </sheetPr>
  <dimension ref="A1:AA10"/>
  <sheetViews>
    <sheetView showGridLines="0" topLeftCell="G8" workbookViewId="0">
      <selection activeCell="G8" sqref="G8"/>
    </sheetView>
  </sheetViews>
  <sheetFormatPr defaultRowHeight="14.25"/>
  <cols>
    <col min="2" max="2" width="10.265625" customWidth="1"/>
    <col min="3" max="3" width="20.1328125" customWidth="1"/>
    <col min="4" max="4" width="13.265625" customWidth="1"/>
    <col min="5" max="5" width="11.265625" customWidth="1"/>
    <col min="6" max="6" width="10.59765625" customWidth="1"/>
    <col min="7" max="7" width="2.1328125" bestFit="1" customWidth="1"/>
    <col min="8" max="15" width="1.86328125" bestFit="1" customWidth="1"/>
    <col min="16" max="18" width="2.73046875" bestFit="1" customWidth="1"/>
    <col min="19" max="19" width="11.265625" customWidth="1"/>
    <col min="22" max="22" width="15.265625" customWidth="1"/>
    <col min="23" max="23" width="16.265625" customWidth="1"/>
  </cols>
  <sheetData>
    <row r="1" spans="1:27">
      <c r="A1" s="1089" t="s">
        <v>29</v>
      </c>
      <c r="B1" s="2"/>
      <c r="C1" s="2"/>
      <c r="D1" s="2"/>
      <c r="E1" s="2"/>
      <c r="F1" s="2"/>
      <c r="G1" s="2"/>
      <c r="H1" s="2"/>
      <c r="I1" s="2"/>
      <c r="J1" s="2"/>
      <c r="K1" s="2"/>
      <c r="L1" s="2"/>
      <c r="M1" s="2"/>
      <c r="N1" s="2"/>
      <c r="O1" s="2"/>
      <c r="P1" s="2"/>
      <c r="Q1" s="2"/>
      <c r="R1" s="2"/>
      <c r="S1" s="2"/>
      <c r="T1" s="2"/>
      <c r="U1" s="2"/>
      <c r="V1" s="2"/>
      <c r="W1" s="2"/>
      <c r="X1" s="2"/>
      <c r="Y1" s="2"/>
      <c r="Z1" s="2"/>
      <c r="AA1" s="2"/>
    </row>
    <row r="2" spans="1:27">
      <c r="A2" s="1089" t="s">
        <v>2437</v>
      </c>
      <c r="B2" s="2"/>
      <c r="C2" s="2"/>
      <c r="D2" s="2"/>
      <c r="E2" s="2"/>
      <c r="F2" s="2"/>
      <c r="G2" s="2"/>
      <c r="H2" s="2"/>
      <c r="I2" s="2"/>
      <c r="J2" s="2"/>
      <c r="K2" s="2"/>
      <c r="L2" s="2"/>
      <c r="M2" s="2"/>
      <c r="N2" s="2"/>
      <c r="O2" s="2"/>
      <c r="P2" s="2"/>
      <c r="Q2" s="2"/>
      <c r="R2" s="2"/>
      <c r="S2" s="2"/>
      <c r="T2" s="2"/>
      <c r="U2" s="2"/>
      <c r="V2" s="2"/>
      <c r="W2" s="2"/>
      <c r="X2" s="2"/>
      <c r="Y2" s="2"/>
      <c r="Z2" s="2"/>
      <c r="AA2" s="2"/>
    </row>
    <row r="3" spans="1:27">
      <c r="A3" s="897" t="s">
        <v>2452</v>
      </c>
      <c r="B3" s="2"/>
      <c r="C3" s="2"/>
      <c r="D3" s="2"/>
      <c r="E3" s="2"/>
      <c r="F3" s="2"/>
      <c r="G3" s="2"/>
      <c r="H3" s="2"/>
      <c r="I3" s="2"/>
      <c r="J3" s="2"/>
      <c r="K3" s="2"/>
      <c r="L3" s="2"/>
      <c r="M3" s="2"/>
      <c r="N3" s="2"/>
      <c r="O3" s="2"/>
      <c r="P3" s="2"/>
      <c r="Q3" s="2"/>
      <c r="R3" s="2"/>
      <c r="S3" s="2"/>
      <c r="T3" s="2"/>
      <c r="U3" s="2"/>
      <c r="V3" s="2"/>
      <c r="W3" s="2"/>
      <c r="X3" s="2"/>
      <c r="Y3" s="2"/>
      <c r="Z3" s="2"/>
      <c r="AA3" s="2"/>
    </row>
    <row r="4" spans="1:27" s="1092" customFormat="1" ht="15" customHeight="1">
      <c r="A4" s="1984" t="s">
        <v>31</v>
      </c>
      <c r="B4" s="1984" t="s">
        <v>2453</v>
      </c>
      <c r="C4" s="1984" t="s">
        <v>2454</v>
      </c>
      <c r="D4" s="1984" t="s">
        <v>2455</v>
      </c>
      <c r="E4" s="1984" t="s">
        <v>2456</v>
      </c>
      <c r="F4" s="1984" t="s">
        <v>2457</v>
      </c>
      <c r="G4" s="1987" t="s">
        <v>2458</v>
      </c>
      <c r="H4" s="1988"/>
      <c r="I4" s="1988"/>
      <c r="J4" s="1988"/>
      <c r="K4" s="1988"/>
      <c r="L4" s="1988"/>
      <c r="M4" s="1988"/>
      <c r="N4" s="1988"/>
      <c r="O4" s="1988"/>
      <c r="P4" s="1988"/>
      <c r="Q4" s="1988"/>
      <c r="R4" s="1989"/>
      <c r="S4" s="1984" t="s">
        <v>159</v>
      </c>
      <c r="T4" s="1987" t="s">
        <v>2459</v>
      </c>
      <c r="U4" s="1989"/>
      <c r="V4" s="1984" t="s">
        <v>2460</v>
      </c>
      <c r="W4" s="1984" t="s">
        <v>2461</v>
      </c>
      <c r="X4" s="1987" t="s">
        <v>2462</v>
      </c>
      <c r="Y4" s="1988"/>
      <c r="Z4" s="1988"/>
      <c r="AA4" s="1989"/>
    </row>
    <row r="5" spans="1:27" s="1092" customFormat="1">
      <c r="A5" s="1985"/>
      <c r="B5" s="1985"/>
      <c r="C5" s="1985"/>
      <c r="D5" s="1985"/>
      <c r="E5" s="1985"/>
      <c r="F5" s="1985"/>
      <c r="G5" s="1990"/>
      <c r="H5" s="1991"/>
      <c r="I5" s="1991"/>
      <c r="J5" s="1991"/>
      <c r="K5" s="1991"/>
      <c r="L5" s="1991"/>
      <c r="M5" s="1991"/>
      <c r="N5" s="1991"/>
      <c r="O5" s="1991"/>
      <c r="P5" s="1991"/>
      <c r="Q5" s="1991"/>
      <c r="R5" s="1992"/>
      <c r="S5" s="1985"/>
      <c r="T5" s="1990"/>
      <c r="U5" s="1992"/>
      <c r="V5" s="1985"/>
      <c r="W5" s="1985"/>
      <c r="X5" s="1990"/>
      <c r="Y5" s="1991"/>
      <c r="Z5" s="1991"/>
      <c r="AA5" s="1992"/>
    </row>
    <row r="6" spans="1:27" s="1092" customFormat="1">
      <c r="A6" s="1986"/>
      <c r="B6" s="1986"/>
      <c r="C6" s="1986"/>
      <c r="D6" s="1986"/>
      <c r="E6" s="1986"/>
      <c r="F6" s="1986"/>
      <c r="G6" s="48">
        <v>1</v>
      </c>
      <c r="H6" s="48">
        <f t="shared" ref="H6:R6" si="0">G6+1</f>
        <v>2</v>
      </c>
      <c r="I6" s="48">
        <f t="shared" si="0"/>
        <v>3</v>
      </c>
      <c r="J6" s="48">
        <f t="shared" si="0"/>
        <v>4</v>
      </c>
      <c r="K6" s="48">
        <f t="shared" si="0"/>
        <v>5</v>
      </c>
      <c r="L6" s="48">
        <f t="shared" si="0"/>
        <v>6</v>
      </c>
      <c r="M6" s="48">
        <f t="shared" si="0"/>
        <v>7</v>
      </c>
      <c r="N6" s="48">
        <f t="shared" si="0"/>
        <v>8</v>
      </c>
      <c r="O6" s="48">
        <f t="shared" si="0"/>
        <v>9</v>
      </c>
      <c r="P6" s="48">
        <f t="shared" si="0"/>
        <v>10</v>
      </c>
      <c r="Q6" s="48">
        <f t="shared" si="0"/>
        <v>11</v>
      </c>
      <c r="R6" s="48">
        <f t="shared" si="0"/>
        <v>12</v>
      </c>
      <c r="S6" s="1986"/>
      <c r="T6" s="34" t="s">
        <v>2463</v>
      </c>
      <c r="U6" s="34" t="s">
        <v>335</v>
      </c>
      <c r="V6" s="1986"/>
      <c r="W6" s="1986"/>
      <c r="X6" s="48" t="s">
        <v>186</v>
      </c>
      <c r="Y6" s="48" t="s">
        <v>187</v>
      </c>
      <c r="Z6" s="48" t="s">
        <v>188</v>
      </c>
      <c r="AA6" s="48" t="s">
        <v>189</v>
      </c>
    </row>
    <row r="7" spans="1:27" ht="30.4">
      <c r="A7" s="3" t="s">
        <v>36</v>
      </c>
      <c r="B7" s="5" t="s">
        <v>60</v>
      </c>
      <c r="C7" s="5" t="s">
        <v>60</v>
      </c>
      <c r="D7" s="5" t="s">
        <v>2442</v>
      </c>
      <c r="E7" s="5" t="s">
        <v>59</v>
      </c>
      <c r="F7" s="5" t="s">
        <v>60</v>
      </c>
      <c r="G7" s="1848" t="s">
        <v>2464</v>
      </c>
      <c r="H7" s="1848"/>
      <c r="I7" s="1848"/>
      <c r="J7" s="1848"/>
      <c r="K7" s="1848"/>
      <c r="L7" s="1848"/>
      <c r="M7" s="1848"/>
      <c r="N7" s="1848"/>
      <c r="O7" s="1848"/>
      <c r="P7" s="1848"/>
      <c r="Q7" s="1848"/>
      <c r="R7" s="1848"/>
      <c r="S7" s="5" t="s">
        <v>59</v>
      </c>
      <c r="T7" s="5" t="s">
        <v>61</v>
      </c>
      <c r="U7" s="5" t="s">
        <v>63</v>
      </c>
      <c r="V7" s="5" t="s">
        <v>61</v>
      </c>
      <c r="W7" s="5" t="s">
        <v>62</v>
      </c>
      <c r="X7" s="1848" t="s">
        <v>59</v>
      </c>
      <c r="Y7" s="1848"/>
      <c r="Z7" s="1848"/>
      <c r="AA7" s="1848"/>
    </row>
    <row r="8" spans="1:27" ht="243">
      <c r="A8" s="6" t="s">
        <v>38</v>
      </c>
      <c r="B8" s="9" t="s">
        <v>2465</v>
      </c>
      <c r="C8" s="9" t="s">
        <v>2466</v>
      </c>
      <c r="D8" s="9" t="s">
        <v>2467</v>
      </c>
      <c r="E8" s="9" t="s">
        <v>2468</v>
      </c>
      <c r="F8" s="9" t="s">
        <v>198</v>
      </c>
      <c r="G8" s="1867" t="s">
        <v>2469</v>
      </c>
      <c r="H8" s="1867"/>
      <c r="I8" s="1867"/>
      <c r="J8" s="1867"/>
      <c r="K8" s="1867"/>
      <c r="L8" s="1867"/>
      <c r="M8" s="1867"/>
      <c r="N8" s="1867"/>
      <c r="O8" s="1867"/>
      <c r="P8" s="1867"/>
      <c r="Q8" s="1867"/>
      <c r="R8" s="1867"/>
      <c r="S8" s="9" t="s">
        <v>2470</v>
      </c>
      <c r="T8" s="1867" t="s">
        <v>2471</v>
      </c>
      <c r="U8" s="1867"/>
      <c r="V8" s="51" t="s">
        <v>2472</v>
      </c>
      <c r="W8" s="36" t="s">
        <v>2473</v>
      </c>
      <c r="X8" s="1993" t="s">
        <v>2474</v>
      </c>
      <c r="Y8" s="1994"/>
      <c r="Z8" s="1994"/>
      <c r="AA8" s="1995"/>
    </row>
    <row r="9" spans="1:27" ht="40.5">
      <c r="A9" s="1090" t="s">
        <v>43</v>
      </c>
      <c r="B9" s="39"/>
      <c r="C9" s="39"/>
      <c r="D9" s="39"/>
      <c r="E9" s="1093"/>
      <c r="F9" s="39"/>
      <c r="G9" s="1477"/>
      <c r="H9" s="1477"/>
      <c r="I9" s="1477"/>
      <c r="J9" s="1477"/>
      <c r="K9" s="1477"/>
      <c r="L9" s="1477"/>
      <c r="M9" s="1477"/>
      <c r="N9" s="1477"/>
      <c r="O9" s="1477"/>
      <c r="P9" s="1477"/>
      <c r="Q9" s="1477"/>
      <c r="R9" s="1477"/>
      <c r="S9" s="9" t="s">
        <v>2475</v>
      </c>
      <c r="T9" s="9"/>
      <c r="U9" s="9"/>
      <c r="V9" s="39"/>
      <c r="W9" s="39"/>
      <c r="X9" s="1093"/>
      <c r="Y9" s="1093"/>
      <c r="Z9" s="1093"/>
      <c r="AA9" s="1093"/>
    </row>
    <row r="10" spans="1:27" ht="20.25">
      <c r="A10" s="6" t="s">
        <v>45</v>
      </c>
      <c r="B10" s="983"/>
      <c r="C10" s="983"/>
      <c r="D10" s="983"/>
      <c r="E10" s="1094"/>
      <c r="F10" s="983"/>
      <c r="G10" s="76"/>
      <c r="H10" s="76"/>
      <c r="I10" s="76"/>
      <c r="J10" s="76"/>
      <c r="K10" s="76"/>
      <c r="L10" s="76"/>
      <c r="M10" s="76"/>
      <c r="N10" s="76"/>
      <c r="O10" s="76"/>
      <c r="P10" s="76"/>
      <c r="Q10" s="76"/>
      <c r="R10" s="76"/>
      <c r="S10" s="983"/>
      <c r="T10" s="983"/>
      <c r="U10" s="983"/>
      <c r="V10" s="983"/>
      <c r="W10" s="983"/>
      <c r="X10" s="983"/>
      <c r="Y10" s="983"/>
      <c r="Z10" s="983"/>
      <c r="AA10" s="983"/>
    </row>
  </sheetData>
  <mergeCells count="18">
    <mergeCell ref="G9:R9"/>
    <mergeCell ref="G7:R7"/>
    <mergeCell ref="X7:AA7"/>
    <mergeCell ref="G8:R8"/>
    <mergeCell ref="T8:U8"/>
    <mergeCell ref="X8:AA8"/>
    <mergeCell ref="W4:W6"/>
    <mergeCell ref="X4:AA5"/>
    <mergeCell ref="A4:A6"/>
    <mergeCell ref="B4:B6"/>
    <mergeCell ref="C4:C6"/>
    <mergeCell ref="D4:D6"/>
    <mergeCell ref="E4:E6"/>
    <mergeCell ref="F4:F6"/>
    <mergeCell ref="G4:R5"/>
    <mergeCell ref="S4:S6"/>
    <mergeCell ref="T4:U5"/>
    <mergeCell ref="V4:V6"/>
  </mergeCells>
  <conditionalFormatting sqref="E7 X7 G8 V8:W9">
    <cfRule type="cellIs" dxfId="2" priority="2" operator="equal">
      <formula>1</formula>
    </cfRule>
  </conditionalFormatting>
  <conditionalFormatting sqref="G10:R10">
    <cfRule type="cellIs" dxfId="1" priority="1" operator="equal">
      <formula>1</formula>
    </cfRule>
  </conditionalFormatting>
  <conditionalFormatting sqref="G7:U7 S8:T8 S9:U9">
    <cfRule type="cellIs" dxfId="0" priority="3" operator="equal">
      <formula>1</formula>
    </cfRule>
  </conditionalFormatting>
  <hyperlinks>
    <hyperlink ref="A1" location="'Daftar Isi'!A1" display="Kembali ke Daftar Isi" xr:uid="{496887BC-69C9-42CF-A06C-5ECCEAA80B16}"/>
    <hyperlink ref="A2" location="'III. Tabel Pelaporan MR'!A1" display="Kembali Bab III" xr:uid="{1CD78B67-347B-408E-878F-02BCE9AB5EE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37972-8C00-4318-B8D2-71610A4FCC48}">
  <sheetPr>
    <tabColor rgb="FFFFFF00"/>
  </sheetPr>
  <dimension ref="A4"/>
  <sheetViews>
    <sheetView showGridLines="0" topLeftCell="D1" workbookViewId="0">
      <selection activeCell="Y11" sqref="Y11"/>
    </sheetView>
  </sheetViews>
  <sheetFormatPr defaultColWidth="8.59765625" defaultRowHeight="14.25"/>
  <cols>
    <col min="1" max="16384" width="8.59765625" style="1074"/>
  </cols>
  <sheetData>
    <row r="4" ht="5.25" customHeight="1"/>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EC02-5C49-411D-BD74-4A9EC028C249}">
  <sheetPr>
    <tabColor theme="1"/>
  </sheetPr>
  <dimension ref="A1:K75"/>
  <sheetViews>
    <sheetView topLeftCell="A35" zoomScale="80" zoomScaleNormal="80" workbookViewId="0">
      <selection activeCell="B43" sqref="B43"/>
    </sheetView>
  </sheetViews>
  <sheetFormatPr defaultColWidth="9.1328125" defaultRowHeight="13.5"/>
  <cols>
    <col min="1" max="1" width="3.3984375" style="2" customWidth="1"/>
    <col min="2" max="2" width="12.3984375" style="2" customWidth="1"/>
    <col min="3" max="3" width="15" style="2" customWidth="1"/>
    <col min="4" max="4" width="19.86328125" style="2" customWidth="1"/>
    <col min="5" max="5" width="26.86328125" style="2" customWidth="1"/>
    <col min="6" max="6" width="17.86328125" style="2" customWidth="1"/>
    <col min="7" max="7" width="17.3984375" style="2" customWidth="1"/>
    <col min="8" max="9" width="9.1328125" style="2"/>
    <col min="10" max="10" width="10.1328125" style="2" bestFit="1" customWidth="1"/>
    <col min="11" max="16384" width="9.1328125" style="2"/>
  </cols>
  <sheetData>
    <row r="1" spans="1:11" ht="14.25">
      <c r="A1" s="112" t="s">
        <v>29</v>
      </c>
    </row>
    <row r="2" spans="1:11" ht="14.25" thickBot="1">
      <c r="A2" s="1996" t="s">
        <v>2476</v>
      </c>
      <c r="B2" s="1996"/>
      <c r="C2" s="1996"/>
      <c r="D2" s="1996"/>
      <c r="E2" s="1996"/>
      <c r="F2" s="1996"/>
      <c r="G2" s="1996"/>
    </row>
    <row r="3" spans="1:11" ht="13.9" thickTop="1"/>
    <row r="4" spans="1:11" ht="13.9">
      <c r="A4" s="83" t="s">
        <v>2477</v>
      </c>
      <c r="B4" s="83" t="s">
        <v>2478</v>
      </c>
      <c r="F4" s="2" t="s">
        <v>2479</v>
      </c>
      <c r="G4" s="2">
        <v>0.61</v>
      </c>
      <c r="H4" s="2" t="s">
        <v>2480</v>
      </c>
      <c r="J4" s="2">
        <f>G4*1000</f>
        <v>610</v>
      </c>
      <c r="K4" s="2" t="s">
        <v>2481</v>
      </c>
    </row>
    <row r="5" spans="1:11" ht="25.5">
      <c r="B5" s="84" t="s">
        <v>1194</v>
      </c>
      <c r="C5" s="84" t="s">
        <v>1186</v>
      </c>
      <c r="D5" s="85" t="s">
        <v>2482</v>
      </c>
      <c r="E5" s="84" t="s">
        <v>2483</v>
      </c>
    </row>
    <row r="6" spans="1:11">
      <c r="B6" s="1488">
        <v>1</v>
      </c>
      <c r="C6" s="1997" t="s">
        <v>1195</v>
      </c>
      <c r="D6" s="1485" t="s">
        <v>2484</v>
      </c>
      <c r="E6" s="1998" t="s">
        <v>2485</v>
      </c>
    </row>
    <row r="7" spans="1:11" ht="60" customHeight="1">
      <c r="B7" s="1488"/>
      <c r="C7" s="1997"/>
      <c r="D7" s="1487"/>
      <c r="E7" s="1998"/>
      <c r="F7" s="2">
        <v>0</v>
      </c>
      <c r="G7" s="127">
        <v>0.2</v>
      </c>
      <c r="H7" s="2">
        <f>G7*$G$4</f>
        <v>0.122</v>
      </c>
      <c r="J7" s="2">
        <f>H7*1000</f>
        <v>122</v>
      </c>
    </row>
    <row r="8" spans="1:11">
      <c r="B8" s="1488">
        <v>2</v>
      </c>
      <c r="C8" s="1997" t="s">
        <v>1196</v>
      </c>
      <c r="D8" s="1485" t="s">
        <v>2486</v>
      </c>
      <c r="E8" s="1998" t="s">
        <v>2487</v>
      </c>
    </row>
    <row r="9" spans="1:11" ht="53.25" customHeight="1">
      <c r="B9" s="1488"/>
      <c r="C9" s="1997"/>
      <c r="D9" s="1487"/>
      <c r="E9" s="1998"/>
      <c r="F9" s="2">
        <f>H7</f>
        <v>0.122</v>
      </c>
      <c r="G9" s="127">
        <v>0.4</v>
      </c>
      <c r="H9" s="2">
        <f t="shared" ref="H9:H15" si="0">G9*$G$4</f>
        <v>0.24399999999999999</v>
      </c>
      <c r="J9" s="2">
        <f>H9*1000</f>
        <v>244</v>
      </c>
    </row>
    <row r="10" spans="1:11">
      <c r="B10" s="1488">
        <v>3</v>
      </c>
      <c r="C10" s="1997" t="s">
        <v>1197</v>
      </c>
      <c r="D10" s="1485" t="s">
        <v>2488</v>
      </c>
      <c r="E10" s="1998" t="s">
        <v>2489</v>
      </c>
    </row>
    <row r="11" spans="1:11" ht="53.25" customHeight="1">
      <c r="B11" s="1488"/>
      <c r="C11" s="1997"/>
      <c r="D11" s="1487"/>
      <c r="E11" s="1998"/>
      <c r="F11" s="2">
        <f>H9</f>
        <v>0.24399999999999999</v>
      </c>
      <c r="G11" s="127">
        <v>0.6</v>
      </c>
      <c r="H11" s="2">
        <f t="shared" si="0"/>
        <v>0.36599999999999999</v>
      </c>
      <c r="J11" s="2">
        <f>H11*1000</f>
        <v>366</v>
      </c>
    </row>
    <row r="12" spans="1:11">
      <c r="B12" s="1488">
        <v>4</v>
      </c>
      <c r="C12" s="1997" t="s">
        <v>1198</v>
      </c>
      <c r="D12" s="1485" t="s">
        <v>2490</v>
      </c>
      <c r="E12" s="1998" t="s">
        <v>2491</v>
      </c>
    </row>
    <row r="13" spans="1:11" ht="46.5" customHeight="1">
      <c r="B13" s="1488"/>
      <c r="C13" s="1997"/>
      <c r="D13" s="1487"/>
      <c r="E13" s="1998"/>
      <c r="F13" s="2">
        <f>H11</f>
        <v>0.36599999999999999</v>
      </c>
      <c r="G13" s="127">
        <v>0.8</v>
      </c>
      <c r="H13" s="2">
        <f t="shared" si="0"/>
        <v>0.48799999999999999</v>
      </c>
      <c r="J13" s="2">
        <f>H13*1000</f>
        <v>488</v>
      </c>
    </row>
    <row r="14" spans="1:11">
      <c r="B14" s="1488">
        <v>5</v>
      </c>
      <c r="C14" s="1997" t="s">
        <v>1199</v>
      </c>
      <c r="D14" s="1485" t="s">
        <v>2492</v>
      </c>
      <c r="E14" s="1998" t="s">
        <v>2493</v>
      </c>
    </row>
    <row r="15" spans="1:11" ht="36.75" customHeight="1">
      <c r="B15" s="1488"/>
      <c r="C15" s="1997"/>
      <c r="D15" s="1487"/>
      <c r="E15" s="1998"/>
      <c r="F15" s="2">
        <f>H13</f>
        <v>0.48799999999999999</v>
      </c>
      <c r="G15" s="127">
        <v>1</v>
      </c>
      <c r="H15" s="2">
        <f t="shared" si="0"/>
        <v>0.61</v>
      </c>
      <c r="J15" s="2">
        <f>H15*1000</f>
        <v>610</v>
      </c>
    </row>
    <row r="16" spans="1:11">
      <c r="B16" s="2" t="s">
        <v>2494</v>
      </c>
    </row>
    <row r="17" spans="1:7">
      <c r="B17" s="1505" t="s">
        <v>2495</v>
      </c>
      <c r="C17" s="1505"/>
      <c r="D17" s="1505"/>
      <c r="E17" s="1505"/>
    </row>
    <row r="18" spans="1:7">
      <c r="B18" s="1505"/>
      <c r="C18" s="1505"/>
      <c r="D18" s="1505"/>
      <c r="E18" s="1505"/>
    </row>
    <row r="20" spans="1:7" ht="13.9">
      <c r="A20" s="83" t="s">
        <v>2496</v>
      </c>
      <c r="B20" s="83" t="s">
        <v>2497</v>
      </c>
    </row>
    <row r="21" spans="1:7">
      <c r="B21" s="2000" t="s">
        <v>1193</v>
      </c>
      <c r="C21" s="2002" t="s">
        <v>1194</v>
      </c>
      <c r="D21" s="2002"/>
      <c r="E21" s="2002"/>
      <c r="F21" s="2002"/>
      <c r="G21" s="2002"/>
    </row>
    <row r="22" spans="1:7">
      <c r="B22" s="2001"/>
      <c r="C22" s="86">
        <v>1</v>
      </c>
      <c r="D22" s="86">
        <v>2</v>
      </c>
      <c r="E22" s="86">
        <v>3</v>
      </c>
      <c r="F22" s="86">
        <v>4</v>
      </c>
      <c r="G22" s="86">
        <v>5</v>
      </c>
    </row>
    <row r="23" spans="1:7">
      <c r="B23" s="2001"/>
      <c r="C23" s="87" t="s">
        <v>1195</v>
      </c>
      <c r="D23" s="87" t="s">
        <v>1196</v>
      </c>
      <c r="E23" s="87" t="s">
        <v>1197</v>
      </c>
      <c r="F23" s="87" t="s">
        <v>1198</v>
      </c>
      <c r="G23" s="87" t="s">
        <v>1199</v>
      </c>
    </row>
    <row r="24" spans="1:7">
      <c r="B24" s="1999" t="s">
        <v>2498</v>
      </c>
      <c r="C24" s="2003"/>
      <c r="D24" s="2003"/>
      <c r="E24" s="2003"/>
      <c r="F24" s="2003"/>
      <c r="G24" s="2003"/>
    </row>
    <row r="25" spans="1:7" ht="89.25">
      <c r="B25" s="88" t="s">
        <v>2499</v>
      </c>
      <c r="C25" s="88" t="s">
        <v>2500</v>
      </c>
      <c r="D25" s="88" t="s">
        <v>2501</v>
      </c>
      <c r="E25" s="88" t="s">
        <v>2502</v>
      </c>
      <c r="F25" s="88" t="s">
        <v>2503</v>
      </c>
      <c r="G25" s="88" t="s">
        <v>2504</v>
      </c>
    </row>
    <row r="26" spans="1:7">
      <c r="B26" s="1999" t="s">
        <v>2505</v>
      </c>
      <c r="C26" s="1999"/>
      <c r="D26" s="1999"/>
      <c r="E26" s="1999"/>
      <c r="F26" s="1999"/>
      <c r="G26" s="1999"/>
    </row>
    <row r="27" spans="1:7" ht="51">
      <c r="B27" s="88" t="s">
        <v>2506</v>
      </c>
      <c r="C27" s="88" t="s">
        <v>2507</v>
      </c>
      <c r="D27" s="88" t="s">
        <v>2508</v>
      </c>
      <c r="E27" s="88" t="s">
        <v>2509</v>
      </c>
      <c r="F27" s="88" t="s">
        <v>2510</v>
      </c>
      <c r="G27" s="88" t="s">
        <v>2511</v>
      </c>
    </row>
    <row r="28" spans="1:7">
      <c r="B28" s="1999" t="s">
        <v>2512</v>
      </c>
      <c r="C28" s="1999"/>
      <c r="D28" s="1999"/>
      <c r="E28" s="1999"/>
      <c r="F28" s="1999"/>
      <c r="G28" s="1999"/>
    </row>
    <row r="29" spans="1:7" ht="127.5">
      <c r="B29" s="88" t="s">
        <v>1243</v>
      </c>
      <c r="C29" s="88" t="s">
        <v>1244</v>
      </c>
      <c r="D29" s="89" t="s">
        <v>1245</v>
      </c>
      <c r="E29" s="89" t="s">
        <v>1246</v>
      </c>
      <c r="F29" s="89" t="s">
        <v>1247</v>
      </c>
      <c r="G29" s="89" t="s">
        <v>2513</v>
      </c>
    </row>
    <row r="30" spans="1:7">
      <c r="B30" s="1999" t="s">
        <v>2514</v>
      </c>
      <c r="C30" s="1999"/>
      <c r="D30" s="1999"/>
      <c r="E30" s="1999"/>
      <c r="F30" s="1999"/>
      <c r="G30" s="1999"/>
    </row>
    <row r="31" spans="1:7" ht="165.75">
      <c r="B31" s="89" t="s">
        <v>2515</v>
      </c>
      <c r="C31" s="89" t="s">
        <v>2516</v>
      </c>
      <c r="D31" s="89" t="s">
        <v>2517</v>
      </c>
      <c r="E31" s="89" t="s">
        <v>2518</v>
      </c>
      <c r="F31" s="89" t="s">
        <v>2519</v>
      </c>
      <c r="G31" s="89" t="s">
        <v>2520</v>
      </c>
    </row>
    <row r="32" spans="1:7" ht="114.75">
      <c r="B32" s="89" t="s">
        <v>2521</v>
      </c>
      <c r="C32" s="89" t="s">
        <v>2522</v>
      </c>
      <c r="D32" s="89" t="s">
        <v>2523</v>
      </c>
      <c r="E32" s="89" t="s">
        <v>2524</v>
      </c>
      <c r="F32" s="89" t="s">
        <v>2525</v>
      </c>
      <c r="G32" s="89" t="s">
        <v>2526</v>
      </c>
    </row>
    <row r="33" spans="2:7" ht="51">
      <c r="B33" s="89" t="s">
        <v>2527</v>
      </c>
      <c r="C33" s="89" t="s">
        <v>2528</v>
      </c>
      <c r="D33" s="89" t="s">
        <v>2529</v>
      </c>
      <c r="E33" s="89" t="s">
        <v>2530</v>
      </c>
      <c r="F33" s="89" t="s">
        <v>2531</v>
      </c>
      <c r="G33" s="89" t="s">
        <v>2532</v>
      </c>
    </row>
    <row r="34" spans="2:7">
      <c r="B34" s="1999" t="s">
        <v>2533</v>
      </c>
      <c r="C34" s="1999"/>
      <c r="D34" s="1999"/>
      <c r="E34" s="1999"/>
      <c r="F34" s="1999"/>
      <c r="G34" s="1999"/>
    </row>
    <row r="35" spans="2:7" ht="102">
      <c r="B35" s="89" t="s">
        <v>2534</v>
      </c>
      <c r="C35" s="89" t="s">
        <v>2535</v>
      </c>
      <c r="D35" s="89" t="s">
        <v>2536</v>
      </c>
      <c r="E35" s="89" t="s">
        <v>2537</v>
      </c>
      <c r="F35" s="89" t="s">
        <v>2538</v>
      </c>
      <c r="G35" s="89" t="s">
        <v>2539</v>
      </c>
    </row>
    <row r="36" spans="2:7" ht="38.25">
      <c r="B36" s="90" t="s">
        <v>2540</v>
      </c>
      <c r="C36" s="2004" t="s">
        <v>2541</v>
      </c>
      <c r="D36" s="2004" t="s">
        <v>2542</v>
      </c>
      <c r="E36" s="2004" t="s">
        <v>2543</v>
      </c>
      <c r="F36" s="2004" t="s">
        <v>2544</v>
      </c>
      <c r="G36" s="2004" t="s">
        <v>2545</v>
      </c>
    </row>
    <row r="37" spans="2:7" ht="25.5">
      <c r="B37" s="91" t="s">
        <v>2546</v>
      </c>
      <c r="C37" s="2004"/>
      <c r="D37" s="2004"/>
      <c r="E37" s="2004"/>
      <c r="F37" s="2004"/>
      <c r="G37" s="2004"/>
    </row>
    <row r="38" spans="2:7">
      <c r="B38" s="1999" t="s">
        <v>1179</v>
      </c>
      <c r="C38" s="1999"/>
      <c r="D38" s="1999"/>
      <c r="E38" s="1999"/>
      <c r="F38" s="1999"/>
      <c r="G38" s="1999"/>
    </row>
    <row r="39" spans="2:7" ht="102">
      <c r="B39" s="89" t="s">
        <v>2547</v>
      </c>
      <c r="C39" s="89" t="s">
        <v>2548</v>
      </c>
      <c r="D39" s="89" t="s">
        <v>2549</v>
      </c>
      <c r="E39" s="89" t="s">
        <v>2550</v>
      </c>
      <c r="F39" s="89" t="s">
        <v>2551</v>
      </c>
      <c r="G39" s="89" t="s">
        <v>2552</v>
      </c>
    </row>
    <row r="40" spans="2:7" ht="51">
      <c r="B40" s="89" t="s">
        <v>2553</v>
      </c>
      <c r="C40" s="89" t="s">
        <v>2554</v>
      </c>
      <c r="D40" s="89" t="s">
        <v>2555</v>
      </c>
      <c r="E40" s="89" t="s">
        <v>2556</v>
      </c>
      <c r="F40" s="89" t="s">
        <v>2557</v>
      </c>
      <c r="G40" s="89" t="s">
        <v>2558</v>
      </c>
    </row>
    <row r="41" spans="2:7" ht="51">
      <c r="B41" s="89" t="s">
        <v>2559</v>
      </c>
      <c r="C41" s="89" t="s">
        <v>2560</v>
      </c>
      <c r="D41" s="89" t="s">
        <v>2561</v>
      </c>
      <c r="E41" s="89" t="s">
        <v>2562</v>
      </c>
      <c r="F41" s="89" t="s">
        <v>2563</v>
      </c>
      <c r="G41" s="89" t="s">
        <v>2564</v>
      </c>
    </row>
    <row r="42" spans="2:7">
      <c r="B42" s="1999" t="s">
        <v>2565</v>
      </c>
      <c r="C42" s="1999"/>
      <c r="D42" s="1999"/>
      <c r="E42" s="1999"/>
      <c r="F42" s="1999"/>
      <c r="G42" s="1999"/>
    </row>
    <row r="43" spans="2:7" ht="140.25">
      <c r="B43" s="89" t="s">
        <v>2566</v>
      </c>
      <c r="C43" s="89" t="s">
        <v>2567</v>
      </c>
      <c r="D43" s="89" t="s">
        <v>2568</v>
      </c>
      <c r="E43" s="89" t="s">
        <v>2569</v>
      </c>
      <c r="F43" s="89" t="s">
        <v>2570</v>
      </c>
      <c r="G43" s="89" t="s">
        <v>2571</v>
      </c>
    </row>
    <row r="44" spans="2:7">
      <c r="B44" s="1999" t="s">
        <v>2572</v>
      </c>
      <c r="C44" s="1999"/>
      <c r="D44" s="1999"/>
      <c r="E44" s="1999"/>
      <c r="F44" s="1999"/>
      <c r="G44" s="1999"/>
    </row>
    <row r="45" spans="2:7" ht="51">
      <c r="B45" s="2004" t="s">
        <v>1200</v>
      </c>
      <c r="C45" s="88" t="s">
        <v>1201</v>
      </c>
      <c r="D45" s="88" t="s">
        <v>1202</v>
      </c>
      <c r="E45" s="88" t="s">
        <v>1203</v>
      </c>
      <c r="F45" s="88" t="s">
        <v>1204</v>
      </c>
      <c r="G45" s="88" t="s">
        <v>1205</v>
      </c>
    </row>
    <row r="46" spans="2:7" ht="51">
      <c r="B46" s="2004"/>
      <c r="C46" s="89" t="s">
        <v>1206</v>
      </c>
      <c r="D46" s="89" t="s">
        <v>1207</v>
      </c>
      <c r="E46" s="89" t="s">
        <v>1208</v>
      </c>
      <c r="F46" s="89" t="s">
        <v>1209</v>
      </c>
      <c r="G46" s="88" t="s">
        <v>1210</v>
      </c>
    </row>
    <row r="47" spans="2:7" ht="76.5">
      <c r="B47" s="2004"/>
      <c r="C47" s="92"/>
      <c r="D47" s="92"/>
      <c r="E47" s="92"/>
      <c r="F47" s="92"/>
      <c r="G47" s="89" t="s">
        <v>1211</v>
      </c>
    </row>
    <row r="48" spans="2:7">
      <c r="B48" s="2005" t="s">
        <v>2573</v>
      </c>
      <c r="C48" s="2005" t="s">
        <v>2574</v>
      </c>
      <c r="D48" s="2005" t="s">
        <v>2575</v>
      </c>
      <c r="E48" s="2005" t="s">
        <v>2576</v>
      </c>
      <c r="F48" s="2005" t="s">
        <v>2577</v>
      </c>
      <c r="G48" s="88" t="s">
        <v>2578</v>
      </c>
    </row>
    <row r="49" spans="2:7" ht="63.75">
      <c r="B49" s="2005"/>
      <c r="C49" s="2005"/>
      <c r="D49" s="2005"/>
      <c r="E49" s="2005"/>
      <c r="F49" s="2005"/>
      <c r="G49" s="89" t="s">
        <v>2579</v>
      </c>
    </row>
    <row r="50" spans="2:7" ht="38.25">
      <c r="B50" s="2005" t="s">
        <v>2580</v>
      </c>
      <c r="C50" s="89" t="s">
        <v>2581</v>
      </c>
      <c r="D50" s="89" t="s">
        <v>2582</v>
      </c>
      <c r="E50" s="2005" t="s">
        <v>2583</v>
      </c>
      <c r="F50" s="89" t="s">
        <v>2584</v>
      </c>
      <c r="G50" s="88" t="s">
        <v>2585</v>
      </c>
    </row>
    <row r="51" spans="2:7">
      <c r="B51" s="2005"/>
      <c r="C51" s="89" t="s">
        <v>2586</v>
      </c>
      <c r="D51" s="89" t="s">
        <v>2587</v>
      </c>
      <c r="E51" s="2005"/>
      <c r="F51" s="89" t="s">
        <v>2588</v>
      </c>
      <c r="G51" s="88" t="s">
        <v>2589</v>
      </c>
    </row>
    <row r="52" spans="2:7">
      <c r="B52" s="1999" t="s">
        <v>2590</v>
      </c>
      <c r="C52" s="1999"/>
      <c r="D52" s="1999"/>
      <c r="E52" s="1999"/>
      <c r="F52" s="1999"/>
      <c r="G52" s="1999"/>
    </row>
    <row r="53" spans="2:7" ht="38.25">
      <c r="B53" s="89" t="s">
        <v>2591</v>
      </c>
      <c r="C53" s="89" t="s">
        <v>2592</v>
      </c>
      <c r="D53" s="89" t="s">
        <v>2593</v>
      </c>
      <c r="E53" s="89" t="s">
        <v>2594</v>
      </c>
      <c r="F53" s="89" t="s">
        <v>2595</v>
      </c>
      <c r="G53" s="88" t="s">
        <v>2596</v>
      </c>
    </row>
    <row r="54" spans="2:7">
      <c r="B54" s="1999" t="s">
        <v>2597</v>
      </c>
      <c r="C54" s="1999"/>
      <c r="D54" s="1999"/>
      <c r="E54" s="1999"/>
      <c r="F54" s="1999"/>
      <c r="G54" s="1999"/>
    </row>
    <row r="55" spans="2:7" ht="38.25">
      <c r="B55" s="89" t="s">
        <v>2598</v>
      </c>
      <c r="C55" s="89" t="s">
        <v>2599</v>
      </c>
      <c r="D55" s="89" t="s">
        <v>2600</v>
      </c>
      <c r="E55" s="89" t="s">
        <v>2601</v>
      </c>
      <c r="F55" s="89" t="s">
        <v>2602</v>
      </c>
      <c r="G55" s="88" t="s">
        <v>2603</v>
      </c>
    </row>
    <row r="56" spans="2:7">
      <c r="B56" s="1999" t="s">
        <v>2604</v>
      </c>
      <c r="C56" s="1999"/>
      <c r="D56" s="1999"/>
      <c r="E56" s="1999"/>
      <c r="F56" s="1999"/>
      <c r="G56" s="1999"/>
    </row>
    <row r="57" spans="2:7" ht="38.25">
      <c r="B57" s="2005" t="s">
        <v>2605</v>
      </c>
      <c r="C57" s="89" t="s">
        <v>2606</v>
      </c>
      <c r="D57" s="89" t="s">
        <v>2607</v>
      </c>
      <c r="E57" s="89" t="s">
        <v>2608</v>
      </c>
      <c r="F57" s="89" t="s">
        <v>2609</v>
      </c>
      <c r="G57" s="89" t="s">
        <v>2610</v>
      </c>
    </row>
    <row r="58" spans="2:7" ht="51">
      <c r="B58" s="2005"/>
      <c r="C58" s="89" t="s">
        <v>2611</v>
      </c>
      <c r="D58" s="89" t="s">
        <v>2612</v>
      </c>
      <c r="E58" s="89" t="s">
        <v>2613</v>
      </c>
      <c r="F58" s="89" t="s">
        <v>2614</v>
      </c>
      <c r="G58" s="88" t="s">
        <v>2615</v>
      </c>
    </row>
    <row r="59" spans="2:7">
      <c r="B59" s="1999" t="s">
        <v>2616</v>
      </c>
      <c r="C59" s="1999"/>
      <c r="D59" s="1999"/>
      <c r="E59" s="1999"/>
      <c r="F59" s="1999"/>
      <c r="G59" s="1999"/>
    </row>
    <row r="60" spans="2:7" ht="25.5">
      <c r="B60" s="89" t="s">
        <v>2617</v>
      </c>
      <c r="C60" s="89" t="s">
        <v>2618</v>
      </c>
      <c r="D60" s="89" t="s">
        <v>2619</v>
      </c>
      <c r="E60" s="89" t="s">
        <v>2620</v>
      </c>
      <c r="F60" s="89" t="s">
        <v>2621</v>
      </c>
      <c r="G60" s="88" t="s">
        <v>2622</v>
      </c>
    </row>
    <row r="61" spans="2:7">
      <c r="B61" s="2" t="s">
        <v>671</v>
      </c>
    </row>
    <row r="62" spans="2:7">
      <c r="B62" s="2" t="s">
        <v>2623</v>
      </c>
    </row>
    <row r="63" spans="2:7">
      <c r="B63" s="2" t="s">
        <v>2624</v>
      </c>
    </row>
    <row r="65" spans="1:7" ht="13.9">
      <c r="A65" s="83" t="s">
        <v>2625</v>
      </c>
      <c r="B65" s="83" t="s">
        <v>2626</v>
      </c>
    </row>
    <row r="66" spans="1:7">
      <c r="B66" s="2000" t="s">
        <v>54</v>
      </c>
      <c r="C66" s="2002" t="s">
        <v>1194</v>
      </c>
      <c r="D66" s="2002"/>
      <c r="E66" s="2002"/>
      <c r="F66" s="2002"/>
      <c r="G66" s="2002"/>
    </row>
    <row r="67" spans="1:7">
      <c r="B67" s="2001"/>
      <c r="C67" s="86">
        <v>1</v>
      </c>
      <c r="D67" s="86">
        <v>2</v>
      </c>
      <c r="E67" s="86">
        <v>3</v>
      </c>
      <c r="F67" s="86">
        <v>4</v>
      </c>
      <c r="G67" s="86">
        <v>5</v>
      </c>
    </row>
    <row r="68" spans="1:7" ht="25.5">
      <c r="B68" s="2001"/>
      <c r="C68" s="87" t="s">
        <v>1218</v>
      </c>
      <c r="D68" s="87" t="s">
        <v>1219</v>
      </c>
      <c r="E68" s="87" t="s">
        <v>1220</v>
      </c>
      <c r="F68" s="87" t="s">
        <v>1221</v>
      </c>
      <c r="G68" s="87" t="s">
        <v>1222</v>
      </c>
    </row>
    <row r="69" spans="1:7" ht="63.75">
      <c r="B69" s="89" t="s">
        <v>1223</v>
      </c>
      <c r="C69" s="93" t="s">
        <v>1224</v>
      </c>
      <c r="D69" s="93" t="s">
        <v>1225</v>
      </c>
      <c r="E69" s="93" t="s">
        <v>1226</v>
      </c>
      <c r="F69" s="93" t="s">
        <v>1227</v>
      </c>
      <c r="G69" s="93" t="s">
        <v>1228</v>
      </c>
    </row>
    <row r="70" spans="1:7" ht="51">
      <c r="B70" s="89" t="s">
        <v>1229</v>
      </c>
      <c r="C70" s="89" t="s">
        <v>1230</v>
      </c>
      <c r="D70" s="89" t="s">
        <v>1231</v>
      </c>
      <c r="E70" s="89" t="s">
        <v>1232</v>
      </c>
      <c r="F70" s="89" t="s">
        <v>1233</v>
      </c>
      <c r="G70" s="88" t="s">
        <v>1234</v>
      </c>
    </row>
    <row r="71" spans="1:7" ht="51">
      <c r="B71" s="89" t="s">
        <v>827</v>
      </c>
      <c r="C71" s="89" t="s">
        <v>1235</v>
      </c>
      <c r="D71" s="89" t="s">
        <v>1236</v>
      </c>
      <c r="E71" s="89" t="s">
        <v>1237</v>
      </c>
      <c r="F71" s="89" t="s">
        <v>1238</v>
      </c>
      <c r="G71" s="89" t="s">
        <v>1239</v>
      </c>
    </row>
    <row r="74" spans="1:7">
      <c r="E74" s="1109"/>
    </row>
    <row r="75" spans="1:7">
      <c r="E75" s="1109"/>
    </row>
  </sheetData>
  <mergeCells count="52">
    <mergeCell ref="B59:G59"/>
    <mergeCell ref="B66:B68"/>
    <mergeCell ref="C66:G66"/>
    <mergeCell ref="B50:B51"/>
    <mergeCell ref="E50:E51"/>
    <mergeCell ref="B52:G52"/>
    <mergeCell ref="B54:G54"/>
    <mergeCell ref="B56:G56"/>
    <mergeCell ref="B57:B58"/>
    <mergeCell ref="B38:G38"/>
    <mergeCell ref="B42:G42"/>
    <mergeCell ref="B44:G44"/>
    <mergeCell ref="B45:B47"/>
    <mergeCell ref="B48:B49"/>
    <mergeCell ref="C48:C49"/>
    <mergeCell ref="D48:D49"/>
    <mergeCell ref="E48:E49"/>
    <mergeCell ref="F48:F49"/>
    <mergeCell ref="B30:G30"/>
    <mergeCell ref="B34:G34"/>
    <mergeCell ref="C36:C37"/>
    <mergeCell ref="D36:D37"/>
    <mergeCell ref="E36:E37"/>
    <mergeCell ref="F36:F37"/>
    <mergeCell ref="G36:G37"/>
    <mergeCell ref="B28:G28"/>
    <mergeCell ref="B12:B13"/>
    <mergeCell ref="C12:C13"/>
    <mergeCell ref="D12:D13"/>
    <mergeCell ref="E12:E13"/>
    <mergeCell ref="B14:B15"/>
    <mergeCell ref="C14:C15"/>
    <mergeCell ref="D14:D15"/>
    <mergeCell ref="E14:E15"/>
    <mergeCell ref="B17:E18"/>
    <mergeCell ref="B21:B23"/>
    <mergeCell ref="C21:G21"/>
    <mergeCell ref="B24:G24"/>
    <mergeCell ref="B26:G26"/>
    <mergeCell ref="B8:B9"/>
    <mergeCell ref="C8:C9"/>
    <mergeCell ref="D8:D9"/>
    <mergeCell ref="E8:E9"/>
    <mergeCell ref="B10:B11"/>
    <mergeCell ref="C10:C11"/>
    <mergeCell ref="D10:D11"/>
    <mergeCell ref="E10:E11"/>
    <mergeCell ref="A2:G2"/>
    <mergeCell ref="B6:B7"/>
    <mergeCell ref="C6:C7"/>
    <mergeCell ref="D6:D7"/>
    <mergeCell ref="E6:E7"/>
  </mergeCells>
  <hyperlinks>
    <hyperlink ref="A1" location="'Daftar Isi'!A1" display="Kembali ke Daftar Isi" xr:uid="{DD17E8DB-D5B0-4921-933E-D1BB96B6E85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5680-7BFC-45B3-8141-A5B431329CF4}">
  <sheetPr>
    <tabColor theme="1"/>
  </sheetPr>
  <dimension ref="A1:C42"/>
  <sheetViews>
    <sheetView showGridLines="0" topLeftCell="A20" workbookViewId="0">
      <selection activeCell="C37" sqref="C37"/>
    </sheetView>
  </sheetViews>
  <sheetFormatPr defaultColWidth="9.1328125" defaultRowHeight="13.5"/>
  <cols>
    <col min="1" max="1" width="4" style="2" customWidth="1"/>
    <col min="2" max="2" width="4" style="10" customWidth="1"/>
    <col min="3" max="3" width="123.3984375" style="2" customWidth="1"/>
    <col min="4" max="16384" width="9.1328125" style="2"/>
  </cols>
  <sheetData>
    <row r="1" spans="1:3" ht="14.25">
      <c r="A1" s="112" t="s">
        <v>29</v>
      </c>
      <c r="B1" s="2"/>
    </row>
    <row r="2" spans="1:3" ht="14.25" thickBot="1">
      <c r="A2" s="1996" t="s">
        <v>2627</v>
      </c>
      <c r="B2" s="1996"/>
      <c r="C2" s="1996"/>
    </row>
    <row r="3" spans="1:3" ht="13.9" thickTop="1"/>
    <row r="4" spans="1:3" ht="13.9">
      <c r="A4" s="83" t="s">
        <v>2628</v>
      </c>
      <c r="B4" s="113" t="s">
        <v>2629</v>
      </c>
    </row>
    <row r="5" spans="1:3" ht="40.9">
      <c r="B5" s="94">
        <v>1</v>
      </c>
      <c r="C5" s="95" t="s">
        <v>2630</v>
      </c>
    </row>
    <row r="6" spans="1:3" ht="40.9">
      <c r="B6" s="94">
        <v>2</v>
      </c>
      <c r="C6" s="166" t="s">
        <v>2631</v>
      </c>
    </row>
    <row r="7" spans="1:3" ht="40.9">
      <c r="B7" s="94">
        <v>3</v>
      </c>
      <c r="C7" s="166" t="s">
        <v>2632</v>
      </c>
    </row>
    <row r="8" spans="1:3" ht="13.9">
      <c r="B8" s="94">
        <v>4</v>
      </c>
      <c r="C8" s="166" t="s">
        <v>2633</v>
      </c>
    </row>
    <row r="10" spans="1:3" ht="31.5" customHeight="1">
      <c r="A10" s="167" t="s">
        <v>2496</v>
      </c>
      <c r="B10" s="2006" t="s">
        <v>2634</v>
      </c>
      <c r="C10" s="2006"/>
    </row>
    <row r="11" spans="1:3" ht="27.4">
      <c r="B11" s="94">
        <v>1</v>
      </c>
      <c r="C11" s="166" t="s">
        <v>2635</v>
      </c>
    </row>
    <row r="12" spans="1:3" ht="27.4">
      <c r="B12" s="94">
        <v>2</v>
      </c>
      <c r="C12" s="166" t="s">
        <v>2636</v>
      </c>
    </row>
    <row r="13" spans="1:3" ht="13.9">
      <c r="B13" s="94">
        <v>3</v>
      </c>
      <c r="C13" s="166" t="s">
        <v>2637</v>
      </c>
    </row>
    <row r="14" spans="1:3" ht="41.25" thickBot="1">
      <c r="B14" s="94">
        <v>4</v>
      </c>
      <c r="C14" s="166" t="s">
        <v>2638</v>
      </c>
    </row>
    <row r="15" spans="1:3" ht="40.9">
      <c r="B15" s="94">
        <v>5</v>
      </c>
      <c r="C15" s="166" t="s">
        <v>2639</v>
      </c>
    </row>
    <row r="16" spans="1:3" ht="27.4">
      <c r="B16" s="94">
        <v>6</v>
      </c>
      <c r="C16" s="166" t="s">
        <v>2640</v>
      </c>
    </row>
    <row r="17" spans="1:3" ht="32.25" customHeight="1">
      <c r="B17" s="94">
        <v>7</v>
      </c>
      <c r="C17" s="166" t="s">
        <v>2641</v>
      </c>
    </row>
    <row r="18" spans="1:3" ht="27.4">
      <c r="B18" s="94">
        <v>8</v>
      </c>
      <c r="C18" s="166" t="s">
        <v>2642</v>
      </c>
    </row>
    <row r="19" spans="1:3" ht="13.9">
      <c r="B19" s="94">
        <v>9</v>
      </c>
      <c r="C19" s="166" t="s">
        <v>2643</v>
      </c>
    </row>
    <row r="21" spans="1:3" ht="31.5" customHeight="1">
      <c r="A21" s="96" t="s">
        <v>2625</v>
      </c>
      <c r="B21" s="2007" t="s">
        <v>2644</v>
      </c>
      <c r="C21" s="2007"/>
    </row>
    <row r="22" spans="1:3" ht="27.4">
      <c r="B22" s="94">
        <v>1</v>
      </c>
      <c r="C22" s="95" t="s">
        <v>2645</v>
      </c>
    </row>
    <row r="23" spans="1:3" ht="27.4">
      <c r="B23" s="94">
        <v>2</v>
      </c>
      <c r="C23" s="95" t="s">
        <v>2646</v>
      </c>
    </row>
    <row r="24" spans="1:3" ht="27.75">
      <c r="B24" s="94">
        <v>3</v>
      </c>
      <c r="C24" s="169" t="s">
        <v>2647</v>
      </c>
    </row>
    <row r="25" spans="1:3" ht="27.4">
      <c r="B25" s="94">
        <v>4</v>
      </c>
      <c r="C25" s="95" t="s">
        <v>2648</v>
      </c>
    </row>
    <row r="26" spans="1:3" ht="27.4">
      <c r="B26" s="94">
        <v>5</v>
      </c>
      <c r="C26" s="95" t="s">
        <v>2649</v>
      </c>
    </row>
    <row r="27" spans="1:3" ht="27.4">
      <c r="B27" s="94">
        <v>6</v>
      </c>
      <c r="C27" s="95" t="s">
        <v>2650</v>
      </c>
    </row>
    <row r="28" spans="1:3" ht="27.4">
      <c r="B28" s="94">
        <v>7</v>
      </c>
      <c r="C28" s="95" t="s">
        <v>2651</v>
      </c>
    </row>
    <row r="29" spans="1:3" ht="54.75">
      <c r="B29" s="94">
        <v>8</v>
      </c>
      <c r="C29" s="169" t="s">
        <v>2652</v>
      </c>
    </row>
    <row r="30" spans="1:3" ht="40.9">
      <c r="B30" s="94">
        <v>9</v>
      </c>
      <c r="C30" s="169" t="s">
        <v>2653</v>
      </c>
    </row>
    <row r="31" spans="1:3" ht="40.9">
      <c r="B31" s="94">
        <v>10</v>
      </c>
      <c r="C31" s="169" t="s">
        <v>2654</v>
      </c>
    </row>
    <row r="32" spans="1:3" ht="27.4">
      <c r="B32" s="94">
        <v>11</v>
      </c>
      <c r="C32" s="169" t="s">
        <v>2655</v>
      </c>
    </row>
    <row r="33" spans="2:3" ht="40.9">
      <c r="B33" s="94">
        <v>12</v>
      </c>
      <c r="C33" s="169" t="s">
        <v>2656</v>
      </c>
    </row>
    <row r="34" spans="2:3" ht="54.4">
      <c r="B34" s="94">
        <v>13</v>
      </c>
      <c r="C34" s="95" t="s">
        <v>2657</v>
      </c>
    </row>
    <row r="35" spans="2:3" ht="41.65">
      <c r="B35" s="94">
        <v>14</v>
      </c>
      <c r="C35" s="95" t="s">
        <v>2658</v>
      </c>
    </row>
    <row r="36" spans="2:3" ht="41.25">
      <c r="B36" s="94">
        <v>15</v>
      </c>
      <c r="C36" s="95" t="s">
        <v>2659</v>
      </c>
    </row>
    <row r="37" spans="2:3" ht="40.9">
      <c r="B37" s="94">
        <v>16</v>
      </c>
      <c r="C37" s="169" t="s">
        <v>2660</v>
      </c>
    </row>
    <row r="38" spans="2:3" ht="27.4">
      <c r="B38" s="94">
        <v>17</v>
      </c>
      <c r="C38" s="95" t="s">
        <v>2661</v>
      </c>
    </row>
    <row r="39" spans="2:3" ht="40.9">
      <c r="B39" s="94">
        <v>18</v>
      </c>
      <c r="C39" s="95" t="s">
        <v>2662</v>
      </c>
    </row>
    <row r="40" spans="2:3" ht="41.65">
      <c r="B40" s="94">
        <v>19</v>
      </c>
      <c r="C40" s="169" t="s">
        <v>2663</v>
      </c>
    </row>
    <row r="41" spans="2:3" ht="67.900000000000006">
      <c r="B41" s="94">
        <v>20</v>
      </c>
      <c r="C41" s="169" t="s">
        <v>2664</v>
      </c>
    </row>
    <row r="42" spans="2:3" ht="13.9">
      <c r="B42" s="94">
        <v>21</v>
      </c>
      <c r="C42" s="95" t="s">
        <v>2665</v>
      </c>
    </row>
  </sheetData>
  <mergeCells count="3">
    <mergeCell ref="A2:C2"/>
    <mergeCell ref="B10:C10"/>
    <mergeCell ref="B21:C21"/>
  </mergeCells>
  <hyperlinks>
    <hyperlink ref="A1" location="'Daftar Isi'!A1" display="Home Daftar Isi" xr:uid="{1D6E448A-8014-4E71-8C6C-40C48BB205D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A025-E677-42F9-81FD-16A7A9E39730}">
  <sheetPr>
    <tabColor theme="1"/>
  </sheetPr>
  <dimension ref="A1:O377"/>
  <sheetViews>
    <sheetView showGridLines="0" topLeftCell="A73" workbookViewId="0">
      <selection activeCell="O3" sqref="O3"/>
    </sheetView>
  </sheetViews>
  <sheetFormatPr defaultColWidth="9.1328125" defaultRowHeight="13.5"/>
  <cols>
    <col min="1" max="1" width="4.1328125" style="2" customWidth="1"/>
    <col min="2" max="2" width="4.3984375" style="10" customWidth="1"/>
    <col min="3" max="16384" width="9.1328125" style="2"/>
  </cols>
  <sheetData>
    <row r="1" spans="1:12" ht="14.25">
      <c r="A1" s="112" t="s">
        <v>29</v>
      </c>
      <c r="B1" s="2"/>
    </row>
    <row r="2" spans="1:12" ht="30" customHeight="1" thickBot="1">
      <c r="A2" s="2008" t="s">
        <v>2666</v>
      </c>
      <c r="B2" s="2008"/>
      <c r="C2" s="2008"/>
      <c r="D2" s="2008"/>
      <c r="E2" s="2008"/>
      <c r="F2" s="2008"/>
      <c r="G2" s="2008"/>
      <c r="H2" s="2008"/>
      <c r="I2" s="2008"/>
      <c r="J2" s="2008"/>
      <c r="K2" s="2008"/>
      <c r="L2" s="2008"/>
    </row>
    <row r="3" spans="1:12" ht="13.9" thickTop="1"/>
    <row r="4" spans="1:12" ht="13.9">
      <c r="A4" s="83" t="s">
        <v>2628</v>
      </c>
      <c r="B4" s="113" t="s">
        <v>2667</v>
      </c>
    </row>
    <row r="5" spans="1:12">
      <c r="B5" s="10">
        <v>1</v>
      </c>
      <c r="C5" s="2" t="s">
        <v>2668</v>
      </c>
    </row>
    <row r="6" spans="1:12">
      <c r="B6" s="10">
        <v>2</v>
      </c>
      <c r="C6" s="2" t="s">
        <v>2669</v>
      </c>
    </row>
    <row r="21" spans="2:3">
      <c r="B21" s="10">
        <v>3</v>
      </c>
      <c r="C21" s="2" t="s">
        <v>2670</v>
      </c>
    </row>
    <row r="36" spans="2:3">
      <c r="B36" s="10">
        <v>4</v>
      </c>
      <c r="C36" s="2" t="s">
        <v>2671</v>
      </c>
    </row>
    <row r="50" spans="2:4">
      <c r="B50" s="10">
        <v>5</v>
      </c>
      <c r="C50" s="2" t="s">
        <v>2672</v>
      </c>
    </row>
    <row r="63" spans="2:4">
      <c r="C63" s="21"/>
    </row>
    <row r="64" spans="2:4">
      <c r="C64" s="21" t="s">
        <v>245</v>
      </c>
      <c r="D64" s="2" t="s">
        <v>2673</v>
      </c>
    </row>
    <row r="65" spans="2:11">
      <c r="C65" s="21" t="s">
        <v>1958</v>
      </c>
      <c r="D65" s="2" t="s">
        <v>2674</v>
      </c>
    </row>
    <row r="66" spans="2:11" ht="80.25" customHeight="1">
      <c r="C66" s="21"/>
      <c r="D66" s="2009" t="s">
        <v>2675</v>
      </c>
      <c r="E66" s="2009"/>
      <c r="F66" s="2009"/>
      <c r="G66" s="2009"/>
      <c r="H66" s="2009"/>
    </row>
    <row r="67" spans="2:11">
      <c r="C67" s="21" t="s">
        <v>1963</v>
      </c>
      <c r="D67" s="2" t="s">
        <v>2676</v>
      </c>
    </row>
    <row r="68" spans="2:11">
      <c r="C68" s="21" t="s">
        <v>1967</v>
      </c>
      <c r="D68" s="2" t="s">
        <v>2677</v>
      </c>
    </row>
    <row r="69" spans="2:11">
      <c r="C69" s="21" t="s">
        <v>1971</v>
      </c>
      <c r="D69" s="2" t="s">
        <v>2678</v>
      </c>
    </row>
    <row r="70" spans="2:11">
      <c r="I70" s="95"/>
    </row>
    <row r="71" spans="2:11">
      <c r="B71" s="10">
        <v>6</v>
      </c>
      <c r="C71" s="2" t="s">
        <v>2679</v>
      </c>
      <c r="E71" s="95"/>
      <c r="I71" s="95"/>
    </row>
    <row r="72" spans="2:11">
      <c r="E72" s="95"/>
      <c r="I72" s="95"/>
    </row>
    <row r="79" spans="2:11">
      <c r="C79" s="21" t="s">
        <v>245</v>
      </c>
      <c r="D79" s="2" t="s">
        <v>2674</v>
      </c>
    </row>
    <row r="80" spans="2:11" ht="69.75" customHeight="1">
      <c r="C80" s="21"/>
      <c r="D80" s="2010" t="s">
        <v>2675</v>
      </c>
      <c r="E80" s="2010"/>
      <c r="F80" s="2010"/>
      <c r="G80" s="2010"/>
      <c r="H80" s="2010"/>
      <c r="I80" s="2010"/>
      <c r="J80" s="2010"/>
      <c r="K80" s="2010"/>
    </row>
    <row r="81" spans="2:9" ht="12.75" customHeight="1">
      <c r="C81" s="21" t="s">
        <v>1958</v>
      </c>
      <c r="D81" s="2" t="s">
        <v>2676</v>
      </c>
    </row>
    <row r="82" spans="2:9">
      <c r="C82" s="21" t="s">
        <v>1963</v>
      </c>
      <c r="D82" s="2" t="s">
        <v>2677</v>
      </c>
      <c r="I82" s="95"/>
    </row>
    <row r="83" spans="2:9">
      <c r="C83" s="21" t="s">
        <v>1967</v>
      </c>
      <c r="D83" s="2" t="s">
        <v>2680</v>
      </c>
    </row>
    <row r="85" spans="2:9">
      <c r="B85" s="10">
        <v>7</v>
      </c>
      <c r="C85" s="2" t="s">
        <v>2681</v>
      </c>
      <c r="I85" s="95"/>
    </row>
    <row r="98" spans="2:10">
      <c r="C98" s="21" t="s">
        <v>245</v>
      </c>
      <c r="D98" s="2" t="s">
        <v>2674</v>
      </c>
    </row>
    <row r="99" spans="2:10" ht="66" customHeight="1">
      <c r="C99" s="21"/>
      <c r="D99" s="2010" t="s">
        <v>2682</v>
      </c>
      <c r="E99" s="2010"/>
      <c r="F99" s="2010"/>
      <c r="G99" s="2010"/>
      <c r="H99" s="2010"/>
      <c r="I99" s="2010"/>
      <c r="J99" s="2010"/>
    </row>
    <row r="100" spans="2:10">
      <c r="C100" s="21" t="s">
        <v>1958</v>
      </c>
      <c r="D100" s="2" t="s">
        <v>2676</v>
      </c>
    </row>
    <row r="101" spans="2:10">
      <c r="C101" s="21" t="s">
        <v>1963</v>
      </c>
      <c r="D101" s="2" t="s">
        <v>2677</v>
      </c>
    </row>
    <row r="102" spans="2:10">
      <c r="C102" s="21" t="s">
        <v>1967</v>
      </c>
      <c r="D102" s="2" t="s">
        <v>2683</v>
      </c>
    </row>
    <row r="104" spans="2:10">
      <c r="B104" s="10">
        <v>8</v>
      </c>
      <c r="C104" s="2" t="s">
        <v>2684</v>
      </c>
    </row>
    <row r="116" spans="2:11">
      <c r="C116" s="2" t="s">
        <v>2685</v>
      </c>
    </row>
    <row r="117" spans="2:11" ht="62.25" customHeight="1">
      <c r="D117" s="2010" t="s">
        <v>2675</v>
      </c>
      <c r="E117" s="2010"/>
      <c r="F117" s="2010"/>
      <c r="G117" s="2010"/>
      <c r="H117" s="2010"/>
      <c r="I117" s="2010"/>
      <c r="J117" s="2010"/>
      <c r="K117" s="2010"/>
    </row>
    <row r="118" spans="2:11">
      <c r="C118" s="2" t="s">
        <v>2686</v>
      </c>
    </row>
    <row r="119" spans="2:11">
      <c r="C119" s="2" t="s">
        <v>2687</v>
      </c>
    </row>
    <row r="120" spans="2:11">
      <c r="C120" s="2" t="s">
        <v>2688</v>
      </c>
    </row>
    <row r="122" spans="2:11">
      <c r="B122" s="10">
        <v>9</v>
      </c>
      <c r="C122" s="2" t="s">
        <v>2689</v>
      </c>
    </row>
    <row r="132" spans="2:11">
      <c r="C132" s="2" t="s">
        <v>2685</v>
      </c>
    </row>
    <row r="133" spans="2:11" ht="68.25" customHeight="1">
      <c r="D133" s="2010" t="s">
        <v>2675</v>
      </c>
      <c r="E133" s="2010"/>
      <c r="F133" s="2010"/>
      <c r="G133" s="2010"/>
      <c r="H133" s="2010"/>
      <c r="I133" s="2010"/>
      <c r="J133" s="2010"/>
      <c r="K133" s="2010"/>
    </row>
    <row r="134" spans="2:11">
      <c r="C134" s="2" t="s">
        <v>2686</v>
      </c>
    </row>
    <row r="135" spans="2:11">
      <c r="C135" s="2" t="s">
        <v>2687</v>
      </c>
    </row>
    <row r="136" spans="2:11">
      <c r="C136" s="2" t="s">
        <v>2690</v>
      </c>
    </row>
    <row r="138" spans="2:11">
      <c r="B138" s="10" t="s">
        <v>2691</v>
      </c>
      <c r="C138" s="2" t="s">
        <v>2692</v>
      </c>
    </row>
    <row r="149" spans="2:10">
      <c r="C149" s="2" t="s">
        <v>2685</v>
      </c>
    </row>
    <row r="150" spans="2:10" ht="65.25" customHeight="1">
      <c r="D150" s="2010" t="s">
        <v>2675</v>
      </c>
      <c r="E150" s="2010"/>
      <c r="F150" s="2010"/>
      <c r="G150" s="2010"/>
      <c r="H150" s="2010"/>
      <c r="I150" s="2010"/>
      <c r="J150" s="2010"/>
    </row>
    <row r="151" spans="2:10">
      <c r="C151" s="2" t="s">
        <v>2686</v>
      </c>
    </row>
    <row r="152" spans="2:10">
      <c r="C152" s="2" t="s">
        <v>2687</v>
      </c>
    </row>
    <row r="153" spans="2:10">
      <c r="C153" s="2" t="s">
        <v>2693</v>
      </c>
    </row>
    <row r="155" spans="2:10">
      <c r="B155" s="10">
        <v>11</v>
      </c>
      <c r="C155" s="2" t="s">
        <v>2694</v>
      </c>
    </row>
    <row r="166" spans="2:11">
      <c r="C166" s="2" t="s">
        <v>2685</v>
      </c>
    </row>
    <row r="167" spans="2:11" ht="65.25" customHeight="1">
      <c r="D167" s="2010" t="s">
        <v>2675</v>
      </c>
      <c r="E167" s="2010"/>
      <c r="F167" s="2010"/>
      <c r="G167" s="2010"/>
      <c r="H167" s="2010"/>
      <c r="I167" s="2010"/>
      <c r="J167" s="2010"/>
      <c r="K167" s="2010"/>
    </row>
    <row r="168" spans="2:11">
      <c r="C168" s="2" t="s">
        <v>2686</v>
      </c>
    </row>
    <row r="169" spans="2:11">
      <c r="C169" s="2" t="s">
        <v>2687</v>
      </c>
    </row>
    <row r="170" spans="2:11">
      <c r="C170" s="2" t="s">
        <v>2695</v>
      </c>
    </row>
    <row r="172" spans="2:11">
      <c r="B172" s="10">
        <v>12</v>
      </c>
      <c r="C172" s="2" t="s">
        <v>2696</v>
      </c>
    </row>
    <row r="181" spans="2:10">
      <c r="C181" s="2" t="s">
        <v>2685</v>
      </c>
    </row>
    <row r="182" spans="2:10" ht="67.5" customHeight="1">
      <c r="D182" s="2010" t="s">
        <v>2675</v>
      </c>
      <c r="E182" s="2010"/>
      <c r="F182" s="2010"/>
      <c r="G182" s="2010"/>
      <c r="H182" s="2010"/>
      <c r="I182" s="2010"/>
      <c r="J182" s="2010"/>
    </row>
    <row r="183" spans="2:10">
      <c r="C183" s="2" t="s">
        <v>2686</v>
      </c>
    </row>
    <row r="184" spans="2:10">
      <c r="C184" s="2" t="s">
        <v>2687</v>
      </c>
    </row>
    <row r="185" spans="2:10">
      <c r="C185" s="2" t="s">
        <v>2697</v>
      </c>
    </row>
    <row r="187" spans="2:10">
      <c r="B187" s="10">
        <v>13</v>
      </c>
      <c r="C187" s="2" t="s">
        <v>2698</v>
      </c>
    </row>
    <row r="196" spans="2:12">
      <c r="C196" s="2" t="s">
        <v>2685</v>
      </c>
    </row>
    <row r="197" spans="2:12" ht="66" customHeight="1">
      <c r="D197" s="2010" t="s">
        <v>2675</v>
      </c>
      <c r="E197" s="2010"/>
      <c r="F197" s="2010"/>
      <c r="G197" s="2010"/>
      <c r="H197" s="2010"/>
      <c r="I197" s="2010"/>
      <c r="J197" s="2010"/>
      <c r="K197" s="2010"/>
      <c r="L197" s="2010"/>
    </row>
    <row r="198" spans="2:12">
      <c r="C198" s="2" t="s">
        <v>2686</v>
      </c>
    </row>
    <row r="199" spans="2:12">
      <c r="C199" s="2" t="s">
        <v>2687</v>
      </c>
    </row>
    <row r="200" spans="2:12">
      <c r="C200" s="2" t="s">
        <v>2699</v>
      </c>
    </row>
    <row r="202" spans="2:12">
      <c r="B202" s="10">
        <v>14</v>
      </c>
      <c r="C202" s="2" t="s">
        <v>2700</v>
      </c>
    </row>
    <row r="211" spans="2:11">
      <c r="C211" s="2" t="s">
        <v>2685</v>
      </c>
    </row>
    <row r="212" spans="2:11" ht="66" customHeight="1">
      <c r="D212" s="2010" t="s">
        <v>2675</v>
      </c>
      <c r="E212" s="2010"/>
      <c r="F212" s="2010"/>
      <c r="G212" s="2010"/>
      <c r="H212" s="2010"/>
      <c r="I212" s="2010"/>
      <c r="J212" s="2010"/>
      <c r="K212" s="2010"/>
    </row>
    <row r="213" spans="2:11">
      <c r="C213" s="2" t="s">
        <v>2686</v>
      </c>
    </row>
    <row r="214" spans="2:11">
      <c r="C214" s="2" t="s">
        <v>2687</v>
      </c>
    </row>
    <row r="215" spans="2:11">
      <c r="C215" s="2" t="s">
        <v>2701</v>
      </c>
    </row>
    <row r="217" spans="2:11">
      <c r="B217" s="10">
        <v>15</v>
      </c>
      <c r="C217" s="2" t="s">
        <v>2702</v>
      </c>
    </row>
    <row r="226" spans="2:12">
      <c r="C226" s="2" t="s">
        <v>2685</v>
      </c>
    </row>
    <row r="227" spans="2:12" ht="63" customHeight="1">
      <c r="D227" s="2010" t="s">
        <v>2675</v>
      </c>
      <c r="E227" s="2010"/>
      <c r="F227" s="2010"/>
      <c r="G227" s="2010"/>
      <c r="H227" s="2010"/>
      <c r="I227" s="2010"/>
      <c r="J227" s="2010"/>
      <c r="K227" s="2010"/>
    </row>
    <row r="228" spans="2:12">
      <c r="C228" s="2" t="s">
        <v>2686</v>
      </c>
    </row>
    <row r="229" spans="2:12">
      <c r="C229" s="2" t="s">
        <v>2687</v>
      </c>
    </row>
    <row r="230" spans="2:12">
      <c r="C230" s="2" t="s">
        <v>2703</v>
      </c>
    </row>
    <row r="232" spans="2:12">
      <c r="B232" s="10">
        <v>16</v>
      </c>
      <c r="C232" s="2" t="s">
        <v>2704</v>
      </c>
    </row>
    <row r="237" spans="2:12">
      <c r="C237" s="2" t="s">
        <v>2685</v>
      </c>
    </row>
    <row r="238" spans="2:12" ht="63.75" customHeight="1">
      <c r="D238" s="2010" t="s">
        <v>2675</v>
      </c>
      <c r="E238" s="2010"/>
      <c r="F238" s="2010"/>
      <c r="G238" s="2010"/>
      <c r="H238" s="2010"/>
      <c r="I238" s="2010"/>
      <c r="J238" s="2010"/>
      <c r="K238" s="2010"/>
      <c r="L238" s="2010"/>
    </row>
    <row r="239" spans="2:12">
      <c r="C239" s="2" t="s">
        <v>2705</v>
      </c>
    </row>
    <row r="241" spans="1:11">
      <c r="B241" s="10">
        <v>17</v>
      </c>
      <c r="C241" s="2" t="s">
        <v>2706</v>
      </c>
    </row>
    <row r="251" spans="1:11">
      <c r="C251" s="2" t="s">
        <v>2685</v>
      </c>
    </row>
    <row r="252" spans="1:11" ht="63" customHeight="1">
      <c r="D252" s="2010" t="s">
        <v>2675</v>
      </c>
      <c r="E252" s="2010"/>
      <c r="F252" s="2010"/>
      <c r="G252" s="2010"/>
      <c r="H252" s="2010"/>
      <c r="I252" s="2010"/>
      <c r="J252" s="2010"/>
      <c r="K252" s="2010"/>
    </row>
    <row r="253" spans="1:11">
      <c r="C253" s="2" t="s">
        <v>2686</v>
      </c>
    </row>
    <row r="254" spans="1:11">
      <c r="C254" s="2" t="s">
        <v>2707</v>
      </c>
    </row>
    <row r="256" spans="1:11" ht="13.9">
      <c r="A256" s="83" t="s">
        <v>2708</v>
      </c>
      <c r="B256" s="113" t="s">
        <v>2709</v>
      </c>
    </row>
    <row r="264" spans="2:2">
      <c r="B264" s="2" t="s">
        <v>2710</v>
      </c>
    </row>
    <row r="265" spans="2:2">
      <c r="B265" s="2" t="s">
        <v>2711</v>
      </c>
    </row>
    <row r="266" spans="2:2">
      <c r="B266" s="2" t="s">
        <v>2712</v>
      </c>
    </row>
    <row r="267" spans="2:2">
      <c r="B267" s="2" t="s">
        <v>2713</v>
      </c>
    </row>
    <row r="268" spans="2:2">
      <c r="B268" s="2" t="s">
        <v>2714</v>
      </c>
    </row>
    <row r="269" spans="2:2">
      <c r="B269" s="2" t="s">
        <v>2715</v>
      </c>
    </row>
    <row r="270" spans="2:2">
      <c r="B270" s="2" t="s">
        <v>2716</v>
      </c>
    </row>
    <row r="271" spans="2:2">
      <c r="B271" s="2" t="s">
        <v>2717</v>
      </c>
    </row>
    <row r="273" spans="1:3" ht="13.9">
      <c r="A273" s="83" t="s">
        <v>2625</v>
      </c>
      <c r="B273" s="113" t="s">
        <v>2718</v>
      </c>
    </row>
    <row r="274" spans="1:3">
      <c r="B274" s="2" t="s">
        <v>2719</v>
      </c>
    </row>
    <row r="286" spans="1:3">
      <c r="C286" s="2" t="s">
        <v>2720</v>
      </c>
    </row>
    <row r="287" spans="1:3">
      <c r="C287" s="2" t="s">
        <v>2721</v>
      </c>
    </row>
    <row r="288" spans="1:3">
      <c r="B288" s="10" t="s">
        <v>2722</v>
      </c>
    </row>
    <row r="303" spans="3:4">
      <c r="C303" s="2" t="s">
        <v>2723</v>
      </c>
    </row>
    <row r="304" spans="3:4">
      <c r="D304" s="2" t="s">
        <v>2724</v>
      </c>
    </row>
    <row r="305" spans="4:8">
      <c r="D305" s="2" t="s">
        <v>2725</v>
      </c>
    </row>
    <row r="306" spans="4:8">
      <c r="D306" s="2" t="s">
        <v>2726</v>
      </c>
    </row>
    <row r="307" spans="4:8">
      <c r="D307" s="2" t="s">
        <v>2727</v>
      </c>
    </row>
    <row r="314" spans="4:8">
      <c r="D314" s="2" t="s">
        <v>2728</v>
      </c>
    </row>
    <row r="315" spans="4:8">
      <c r="D315" s="2" t="s">
        <v>2729</v>
      </c>
    </row>
    <row r="316" spans="4:8">
      <c r="D316" s="2" t="s">
        <v>2730</v>
      </c>
    </row>
    <row r="317" spans="4:8">
      <c r="D317" s="2" t="s">
        <v>2731</v>
      </c>
    </row>
    <row r="318" spans="4:8">
      <c r="D318" s="2" t="s">
        <v>2732</v>
      </c>
    </row>
    <row r="319" spans="4:8">
      <c r="D319" s="2" t="s">
        <v>2733</v>
      </c>
    </row>
    <row r="320" spans="4:8">
      <c r="E320" s="2" t="s">
        <v>2734</v>
      </c>
      <c r="H320" s="2" t="s">
        <v>2735</v>
      </c>
    </row>
    <row r="321" spans="4:9">
      <c r="E321" s="2" t="s">
        <v>2736</v>
      </c>
      <c r="H321" s="2" t="s">
        <v>2737</v>
      </c>
    </row>
    <row r="322" spans="4:9">
      <c r="E322" s="2" t="s">
        <v>2738</v>
      </c>
      <c r="H322" s="2" t="s">
        <v>2739</v>
      </c>
    </row>
    <row r="323" spans="4:9">
      <c r="D323" s="2" t="s">
        <v>2740</v>
      </c>
    </row>
    <row r="324" spans="4:9">
      <c r="E324" s="2" t="s">
        <v>2741</v>
      </c>
      <c r="I324" s="2" t="s">
        <v>2742</v>
      </c>
    </row>
    <row r="325" spans="4:9">
      <c r="E325" s="2" t="s">
        <v>2743</v>
      </c>
      <c r="I325" s="2" t="s">
        <v>2744</v>
      </c>
    </row>
    <row r="326" spans="4:9">
      <c r="E326" s="2" t="s">
        <v>2745</v>
      </c>
      <c r="I326" s="2" t="s">
        <v>2746</v>
      </c>
    </row>
    <row r="327" spans="4:9">
      <c r="E327" s="2" t="s">
        <v>2747</v>
      </c>
      <c r="I327" s="2" t="s">
        <v>2748</v>
      </c>
    </row>
    <row r="328" spans="4:9">
      <c r="E328" s="2" t="s">
        <v>2749</v>
      </c>
      <c r="I328" s="2" t="s">
        <v>2750</v>
      </c>
    </row>
    <row r="329" spans="4:9">
      <c r="E329" s="2" t="s">
        <v>2751</v>
      </c>
      <c r="I329" s="2" t="s">
        <v>2752</v>
      </c>
    </row>
    <row r="330" spans="4:9">
      <c r="E330" s="2" t="s">
        <v>2753</v>
      </c>
      <c r="I330" s="2" t="s">
        <v>2754</v>
      </c>
    </row>
    <row r="331" spans="4:9">
      <c r="E331" s="2" t="s">
        <v>2755</v>
      </c>
      <c r="I331" s="2" t="s">
        <v>2756</v>
      </c>
    </row>
    <row r="332" spans="4:9">
      <c r="E332" s="2" t="s">
        <v>2757</v>
      </c>
      <c r="I332" s="2" t="s">
        <v>2758</v>
      </c>
    </row>
    <row r="333" spans="4:9">
      <c r="E333" s="2" t="s">
        <v>2759</v>
      </c>
      <c r="I333" s="2" t="s">
        <v>2760</v>
      </c>
    </row>
    <row r="334" spans="4:9">
      <c r="D334" s="2" t="s">
        <v>2761</v>
      </c>
    </row>
    <row r="335" spans="4:9">
      <c r="D335" s="2" t="s">
        <v>2762</v>
      </c>
    </row>
    <row r="336" spans="4:9">
      <c r="D336" s="2" t="s">
        <v>2763</v>
      </c>
    </row>
    <row r="337" spans="2:15">
      <c r="E337" s="2" t="s">
        <v>2764</v>
      </c>
      <c r="I337" s="2" t="s">
        <v>2765</v>
      </c>
    </row>
    <row r="338" spans="2:15">
      <c r="E338" s="2" t="s">
        <v>2766</v>
      </c>
      <c r="I338" s="2" t="s">
        <v>2767</v>
      </c>
    </row>
    <row r="339" spans="2:15">
      <c r="D339" s="2" t="s">
        <v>2768</v>
      </c>
    </row>
    <row r="340" spans="2:15">
      <c r="E340" s="2" t="s">
        <v>2769</v>
      </c>
      <c r="I340" s="2" t="s">
        <v>2770</v>
      </c>
    </row>
    <row r="341" spans="2:15">
      <c r="E341" s="2" t="s">
        <v>2771</v>
      </c>
      <c r="I341" s="2" t="s">
        <v>2772</v>
      </c>
    </row>
    <row r="342" spans="2:15">
      <c r="D342" s="2" t="s">
        <v>2773</v>
      </c>
    </row>
    <row r="343" spans="2:15" ht="13.9">
      <c r="D343" s="83" t="s">
        <v>2774</v>
      </c>
      <c r="E343" s="83"/>
      <c r="F343" s="83"/>
      <c r="G343" s="83"/>
      <c r="H343" s="83"/>
      <c r="I343" s="83"/>
      <c r="J343" s="83"/>
      <c r="K343" s="83"/>
      <c r="L343" s="83"/>
      <c r="M343" s="83"/>
      <c r="N343" s="83"/>
      <c r="O343" s="83"/>
    </row>
    <row r="344" spans="2:15">
      <c r="C344" s="2" t="s">
        <v>2775</v>
      </c>
    </row>
    <row r="345" spans="2:15">
      <c r="D345" s="2" t="s">
        <v>2776</v>
      </c>
    </row>
    <row r="346" spans="2:15">
      <c r="D346" s="2" t="s">
        <v>2777</v>
      </c>
    </row>
    <row r="347" spans="2:15">
      <c r="D347" s="2" t="s">
        <v>2778</v>
      </c>
    </row>
    <row r="349" spans="2:15">
      <c r="B349" s="10" t="s">
        <v>2779</v>
      </c>
    </row>
    <row r="357" spans="2:4">
      <c r="C357" s="2" t="s">
        <v>2780</v>
      </c>
    </row>
    <row r="358" spans="2:4">
      <c r="C358" s="2" t="s">
        <v>2781</v>
      </c>
    </row>
    <row r="359" spans="2:4">
      <c r="D359" s="2" t="s">
        <v>2782</v>
      </c>
    </row>
    <row r="360" spans="2:4">
      <c r="D360" s="2" t="s">
        <v>2783</v>
      </c>
    </row>
    <row r="362" spans="2:4">
      <c r="B362" s="10">
        <v>4</v>
      </c>
      <c r="C362" s="2" t="s">
        <v>2784</v>
      </c>
    </row>
    <row r="371" spans="2:4">
      <c r="C371" s="2" t="s">
        <v>2785</v>
      </c>
    </row>
    <row r="372" spans="2:4">
      <c r="D372" s="2" t="s">
        <v>2786</v>
      </c>
    </row>
    <row r="373" spans="2:4">
      <c r="D373" s="2" t="s">
        <v>2787</v>
      </c>
    </row>
    <row r="374" spans="2:4">
      <c r="D374" s="2" t="s">
        <v>2788</v>
      </c>
    </row>
    <row r="375" spans="2:4">
      <c r="C375" s="2" t="s">
        <v>2789</v>
      </c>
    </row>
    <row r="377" spans="2:4">
      <c r="B377" s="10" t="s">
        <v>2790</v>
      </c>
    </row>
  </sheetData>
  <mergeCells count="14">
    <mergeCell ref="D227:K227"/>
    <mergeCell ref="D238:L238"/>
    <mergeCell ref="D252:K252"/>
    <mergeCell ref="D133:K133"/>
    <mergeCell ref="D150:J150"/>
    <mergeCell ref="D167:K167"/>
    <mergeCell ref="D182:J182"/>
    <mergeCell ref="D197:L197"/>
    <mergeCell ref="D212:K212"/>
    <mergeCell ref="A2:L2"/>
    <mergeCell ref="D66:H66"/>
    <mergeCell ref="D80:K80"/>
    <mergeCell ref="D99:J99"/>
    <mergeCell ref="D117:K117"/>
  </mergeCells>
  <hyperlinks>
    <hyperlink ref="A1" location="'Daftar Isi'!A1" display="Kembali ke Daftar Isi" xr:uid="{FA0D6701-B845-4B56-8632-7B59AA1A3FE1}"/>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A4BD-CCAA-4BC3-8402-EFC6D78E24E9}">
  <sheetPr>
    <tabColor theme="1"/>
  </sheetPr>
  <dimension ref="A1:M334"/>
  <sheetViews>
    <sheetView showGridLines="0" topLeftCell="A251" zoomScaleNormal="100" workbookViewId="0">
      <selection activeCell="N266" sqref="N266"/>
    </sheetView>
  </sheetViews>
  <sheetFormatPr defaultColWidth="9.1328125" defaultRowHeight="13.5"/>
  <cols>
    <col min="1" max="1" width="3.86328125" style="2" customWidth="1"/>
    <col min="2" max="2" width="7.86328125" style="2" customWidth="1"/>
    <col min="3" max="3" width="10.1328125" style="2" customWidth="1"/>
    <col min="4" max="5" width="9.86328125" style="2" customWidth="1"/>
    <col min="6" max="11" width="9.1328125" style="2"/>
    <col min="12" max="12" width="10.1328125" style="2" customWidth="1"/>
    <col min="13" max="16384" width="9.1328125" style="2"/>
  </cols>
  <sheetData>
    <row r="1" spans="1:12" ht="14.25">
      <c r="A1" s="112" t="s">
        <v>29</v>
      </c>
    </row>
    <row r="2" spans="1:12" ht="14.25" thickBot="1">
      <c r="A2" s="2008" t="s">
        <v>2791</v>
      </c>
      <c r="B2" s="2008"/>
      <c r="C2" s="2008"/>
      <c r="D2" s="2008"/>
      <c r="E2" s="2008"/>
      <c r="F2" s="2008"/>
      <c r="G2" s="2008"/>
      <c r="H2" s="2008"/>
      <c r="I2" s="2008"/>
      <c r="J2" s="2008"/>
      <c r="K2" s="2008"/>
      <c r="L2" s="2008"/>
    </row>
    <row r="3" spans="1:12" ht="13.9" thickTop="1"/>
    <row r="4" spans="1:12" ht="28.5" customHeight="1">
      <c r="A4" s="2010" t="s">
        <v>2792</v>
      </c>
      <c r="B4" s="2010"/>
      <c r="C4" s="2010"/>
      <c r="D4" s="2010"/>
      <c r="E4" s="2010"/>
      <c r="F4" s="2010"/>
      <c r="G4" s="2010"/>
      <c r="H4" s="2010"/>
      <c r="I4" s="2010"/>
      <c r="J4" s="2010"/>
      <c r="K4" s="2010"/>
      <c r="L4" s="2010"/>
    </row>
    <row r="5" spans="1:12" ht="13.9">
      <c r="A5" s="83" t="s">
        <v>2628</v>
      </c>
      <c r="B5" s="83" t="s">
        <v>2793</v>
      </c>
    </row>
    <row r="6" spans="1:12" ht="64.7" customHeight="1">
      <c r="B6" s="2009" t="s">
        <v>2794</v>
      </c>
      <c r="C6" s="2009"/>
      <c r="D6" s="2009"/>
      <c r="E6" s="2009"/>
      <c r="F6" s="2009"/>
      <c r="G6" s="2009"/>
      <c r="H6" s="2009"/>
      <c r="I6" s="2009"/>
      <c r="J6" s="2009"/>
      <c r="K6" s="2009"/>
      <c r="L6" s="2009"/>
    </row>
    <row r="7" spans="1:12">
      <c r="B7" s="114" t="s">
        <v>2795</v>
      </c>
    </row>
    <row r="8" spans="1:12" ht="38.25" customHeight="1">
      <c r="B8" s="89" t="s">
        <v>2796</v>
      </c>
      <c r="C8" s="115">
        <v>30000</v>
      </c>
      <c r="D8" s="2011" t="s">
        <v>2797</v>
      </c>
      <c r="E8" s="2011"/>
      <c r="F8" s="115">
        <v>25000</v>
      </c>
    </row>
    <row r="9" spans="1:12" ht="38.25" customHeight="1">
      <c r="B9" s="89" t="s">
        <v>2798</v>
      </c>
      <c r="C9" s="115">
        <v>40000</v>
      </c>
      <c r="D9" s="2011" t="s">
        <v>2799</v>
      </c>
      <c r="E9" s="2011"/>
      <c r="F9" s="115">
        <v>30000</v>
      </c>
    </row>
    <row r="10" spans="1:12">
      <c r="B10" s="89"/>
      <c r="C10" s="116"/>
      <c r="D10" s="2011" t="s">
        <v>2800</v>
      </c>
      <c r="E10" s="2011"/>
      <c r="F10" s="115">
        <v>15000</v>
      </c>
    </row>
    <row r="11" spans="1:12" ht="38.25" customHeight="1">
      <c r="B11" s="89" t="s">
        <v>2801</v>
      </c>
      <c r="C11" s="115">
        <v>70000</v>
      </c>
      <c r="D11" s="2011" t="s">
        <v>2802</v>
      </c>
      <c r="E11" s="2011"/>
      <c r="F11" s="115">
        <v>70000</v>
      </c>
    </row>
    <row r="12" spans="1:12">
      <c r="B12" s="117"/>
      <c r="D12" s="117"/>
    </row>
    <row r="13" spans="1:12">
      <c r="B13" s="118" t="s">
        <v>2803</v>
      </c>
    </row>
    <row r="14" spans="1:12">
      <c r="B14" s="2011" t="s">
        <v>629</v>
      </c>
      <c r="C14" s="2011"/>
      <c r="D14" s="119">
        <v>75000</v>
      </c>
    </row>
    <row r="15" spans="1:12">
      <c r="B15" s="2011" t="s">
        <v>2804</v>
      </c>
      <c r="C15" s="2011"/>
      <c r="D15" s="119">
        <v>-67500</v>
      </c>
    </row>
    <row r="16" spans="1:12">
      <c r="B16" s="2011" t="s">
        <v>2805</v>
      </c>
      <c r="C16" s="2011"/>
      <c r="D16" s="119">
        <v>7500</v>
      </c>
    </row>
    <row r="17" spans="2:12" ht="24" customHeight="1">
      <c r="B17" s="2011" t="s">
        <v>2806</v>
      </c>
      <c r="C17" s="2011"/>
      <c r="D17" s="119">
        <v>-3750</v>
      </c>
    </row>
    <row r="18" spans="2:12" ht="28.5" customHeight="1">
      <c r="B18" s="2011" t="s">
        <v>2807</v>
      </c>
      <c r="C18" s="2011"/>
      <c r="D18" s="119">
        <v>3750</v>
      </c>
    </row>
    <row r="19" spans="2:12">
      <c r="B19" s="2011" t="s">
        <v>2808</v>
      </c>
      <c r="C19" s="2011"/>
      <c r="D19" s="107">
        <v>-938</v>
      </c>
    </row>
    <row r="20" spans="2:12" ht="26.25" customHeight="1">
      <c r="B20" s="2011" t="s">
        <v>2809</v>
      </c>
      <c r="C20" s="2011"/>
      <c r="D20" s="119">
        <v>2813</v>
      </c>
    </row>
    <row r="21" spans="2:12">
      <c r="B21" s="117"/>
    </row>
    <row r="22" spans="2:12">
      <c r="B22" s="2" t="s">
        <v>2810</v>
      </c>
    </row>
    <row r="23" spans="2:12">
      <c r="B23" s="21" t="s">
        <v>2811</v>
      </c>
      <c r="C23" s="2" t="s">
        <v>2812</v>
      </c>
    </row>
    <row r="24" spans="2:12" ht="45.75" customHeight="1">
      <c r="B24" s="21"/>
      <c r="C24" s="2010" t="s">
        <v>2813</v>
      </c>
      <c r="D24" s="2010"/>
      <c r="E24" s="2010"/>
      <c r="F24" s="2010"/>
      <c r="G24" s="2010"/>
      <c r="H24" s="2010"/>
      <c r="I24" s="2010"/>
      <c r="J24" s="2010"/>
      <c r="K24" s="2010"/>
      <c r="L24" s="2010"/>
    </row>
    <row r="25" spans="2:12">
      <c r="B25" s="21"/>
      <c r="C25" s="2" t="s">
        <v>2814</v>
      </c>
      <c r="G25" s="2" t="s">
        <v>2815</v>
      </c>
    </row>
    <row r="26" spans="2:12">
      <c r="B26" s="21"/>
      <c r="C26" s="2" t="s">
        <v>2816</v>
      </c>
      <c r="G26" s="2" t="s">
        <v>2817</v>
      </c>
    </row>
    <row r="27" spans="2:12">
      <c r="B27" s="21"/>
      <c r="C27" s="2" t="s">
        <v>2818</v>
      </c>
      <c r="G27" s="2" t="s">
        <v>2819</v>
      </c>
    </row>
    <row r="28" spans="2:12">
      <c r="B28" s="21" t="s">
        <v>2820</v>
      </c>
      <c r="C28" s="2" t="s">
        <v>2821</v>
      </c>
    </row>
    <row r="29" spans="2:12" ht="27" customHeight="1">
      <c r="C29" s="2010" t="s">
        <v>2822</v>
      </c>
      <c r="D29" s="2010"/>
      <c r="E29" s="2010"/>
      <c r="F29" s="2010"/>
      <c r="G29" s="2010"/>
      <c r="H29" s="2010"/>
      <c r="I29" s="2010"/>
      <c r="J29" s="2010"/>
      <c r="K29" s="2010"/>
      <c r="L29" s="2010"/>
    </row>
    <row r="30" spans="2:12">
      <c r="C30" s="21" t="s">
        <v>2823</v>
      </c>
      <c r="D30" s="2" t="s">
        <v>2824</v>
      </c>
    </row>
    <row r="31" spans="2:12">
      <c r="C31" s="21" t="s">
        <v>2825</v>
      </c>
      <c r="D31" s="2" t="s">
        <v>2826</v>
      </c>
    </row>
    <row r="32" spans="2:12" ht="26.25" customHeight="1">
      <c r="C32" s="120" t="s">
        <v>2827</v>
      </c>
      <c r="D32" s="2010" t="s">
        <v>2828</v>
      </c>
      <c r="E32" s="2010"/>
      <c r="F32" s="2010"/>
      <c r="G32" s="2010"/>
      <c r="H32" s="2010"/>
      <c r="I32" s="2010"/>
      <c r="J32" s="2010"/>
      <c r="K32" s="2010"/>
      <c r="L32" s="2010"/>
    </row>
    <row r="33" spans="3:12" ht="42.75" customHeight="1">
      <c r="C33" s="2010" t="s">
        <v>2829</v>
      </c>
      <c r="D33" s="2010"/>
      <c r="E33" s="2010"/>
      <c r="F33" s="2010"/>
      <c r="G33" s="2010"/>
      <c r="H33" s="2010"/>
      <c r="I33" s="2010"/>
      <c r="J33" s="2010"/>
      <c r="K33" s="2010"/>
      <c r="L33" s="2010"/>
    </row>
    <row r="34" spans="3:12">
      <c r="C34" s="118" t="s">
        <v>2830</v>
      </c>
    </row>
    <row r="35" spans="3:12" ht="63.75" customHeight="1">
      <c r="C35" s="2012" t="s">
        <v>496</v>
      </c>
      <c r="D35" s="2014" t="s">
        <v>2831</v>
      </c>
      <c r="E35" s="2014"/>
      <c r="F35" s="121" t="s">
        <v>2832</v>
      </c>
      <c r="G35" s="2014" t="s">
        <v>2833</v>
      </c>
      <c r="H35" s="2014"/>
    </row>
    <row r="36" spans="3:12" ht="24" customHeight="1">
      <c r="C36" s="2013"/>
      <c r="D36" s="2014" t="s">
        <v>2834</v>
      </c>
      <c r="E36" s="2014"/>
      <c r="F36" s="121" t="s">
        <v>2835</v>
      </c>
      <c r="G36" s="2014" t="s">
        <v>2836</v>
      </c>
      <c r="H36" s="2014"/>
    </row>
    <row r="37" spans="3:12">
      <c r="C37" s="122">
        <v>2022</v>
      </c>
      <c r="D37" s="2015">
        <v>700</v>
      </c>
      <c r="E37" s="2015"/>
      <c r="F37" s="123">
        <v>5000</v>
      </c>
      <c r="G37" s="2016">
        <v>0.14000000000000001</v>
      </c>
      <c r="H37" s="2016"/>
    </row>
    <row r="38" spans="3:12">
      <c r="C38" s="122">
        <v>2021</v>
      </c>
      <c r="D38" s="2015">
        <v>500</v>
      </c>
      <c r="E38" s="2015"/>
      <c r="F38" s="123">
        <v>4000</v>
      </c>
      <c r="G38" s="2016">
        <v>0.13</v>
      </c>
      <c r="H38" s="2016"/>
    </row>
    <row r="39" spans="3:12">
      <c r="C39" s="122">
        <v>2020</v>
      </c>
      <c r="D39" s="2015">
        <v>660</v>
      </c>
      <c r="E39" s="2015"/>
      <c r="F39" s="123">
        <v>3300</v>
      </c>
      <c r="G39" s="2016">
        <v>0.2</v>
      </c>
      <c r="H39" s="2016"/>
    </row>
    <row r="40" spans="3:12">
      <c r="C40" s="122">
        <v>2019</v>
      </c>
      <c r="D40" s="2015">
        <v>500</v>
      </c>
      <c r="E40" s="2015"/>
      <c r="F40" s="123">
        <v>3000</v>
      </c>
      <c r="G40" s="2016">
        <v>0.2</v>
      </c>
      <c r="H40" s="2016"/>
    </row>
    <row r="41" spans="3:12">
      <c r="C41" s="122">
        <v>2018</v>
      </c>
      <c r="D41" s="2015">
        <v>350</v>
      </c>
      <c r="E41" s="2015"/>
      <c r="F41" s="123">
        <v>2500</v>
      </c>
      <c r="G41" s="2016">
        <v>0.14000000000000001</v>
      </c>
      <c r="H41" s="2016"/>
    </row>
    <row r="42" spans="3:12">
      <c r="C42" s="2017" t="s">
        <v>700</v>
      </c>
      <c r="D42" s="2017"/>
      <c r="E42" s="2017"/>
      <c r="F42" s="2017"/>
      <c r="G42" s="2018">
        <v>0.15</v>
      </c>
      <c r="H42" s="2018"/>
    </row>
    <row r="43" spans="3:12" ht="45.75" customHeight="1">
      <c r="C43" s="2010" t="s">
        <v>2837</v>
      </c>
      <c r="D43" s="2010"/>
      <c r="E43" s="2010"/>
      <c r="F43" s="2010"/>
      <c r="G43" s="2010"/>
      <c r="H43" s="2010"/>
      <c r="I43" s="2010"/>
      <c r="J43" s="2010"/>
      <c r="K43" s="2010"/>
      <c r="L43" s="2010"/>
    </row>
    <row r="44" spans="3:12">
      <c r="C44" s="125" t="s">
        <v>2838</v>
      </c>
    </row>
    <row r="45" spans="3:12" ht="38.25" customHeight="1">
      <c r="C45" s="2020" t="s">
        <v>2839</v>
      </c>
      <c r="D45" s="2020"/>
      <c r="E45" s="2000" t="s">
        <v>2840</v>
      </c>
      <c r="F45" s="2000"/>
    </row>
    <row r="46" spans="3:12" ht="33.75" customHeight="1">
      <c r="C46" s="1488" t="s">
        <v>2841</v>
      </c>
      <c r="D46" s="1488"/>
      <c r="E46" s="2019" t="s">
        <v>2842</v>
      </c>
      <c r="F46" s="2019"/>
    </row>
    <row r="47" spans="3:12" ht="36" customHeight="1">
      <c r="C47" s="1488" t="s">
        <v>2843</v>
      </c>
      <c r="D47" s="1488"/>
      <c r="E47" s="1488" t="s">
        <v>1197</v>
      </c>
      <c r="F47" s="2019"/>
    </row>
    <row r="48" spans="3:12" ht="32.25" customHeight="1">
      <c r="C48" s="1488" t="s">
        <v>2844</v>
      </c>
      <c r="D48" s="1488"/>
      <c r="E48" s="1488" t="s">
        <v>2845</v>
      </c>
      <c r="F48" s="2019"/>
    </row>
    <row r="49" spans="2:12" ht="53.25" customHeight="1">
      <c r="C49" s="1505" t="s">
        <v>2846</v>
      </c>
      <c r="D49" s="1505"/>
      <c r="E49" s="1505"/>
      <c r="F49" s="1505"/>
      <c r="G49" s="1505"/>
      <c r="H49" s="1505"/>
      <c r="I49" s="1505"/>
      <c r="J49" s="1505"/>
      <c r="K49" s="1505"/>
      <c r="L49" s="1505"/>
    </row>
    <row r="50" spans="2:12">
      <c r="B50" s="21" t="s">
        <v>2847</v>
      </c>
      <c r="C50" s="2" t="s">
        <v>2848</v>
      </c>
    </row>
    <row r="51" spans="2:12" ht="43.5" customHeight="1">
      <c r="C51" s="2010" t="s">
        <v>2849</v>
      </c>
      <c r="D51" s="2010"/>
      <c r="E51" s="2010"/>
      <c r="F51" s="2010"/>
      <c r="G51" s="2010"/>
      <c r="H51" s="2010"/>
      <c r="I51" s="2010"/>
      <c r="J51" s="2010"/>
      <c r="K51" s="2010"/>
      <c r="L51" s="2010"/>
    </row>
    <row r="52" spans="2:12">
      <c r="C52" s="125" t="s">
        <v>2850</v>
      </c>
    </row>
    <row r="53" spans="2:12" ht="51" customHeight="1">
      <c r="C53" s="126" t="s">
        <v>2851</v>
      </c>
      <c r="D53" s="1488" t="s">
        <v>2852</v>
      </c>
      <c r="E53" s="1488"/>
      <c r="F53" s="1488" t="s">
        <v>2853</v>
      </c>
      <c r="G53" s="1488"/>
    </row>
    <row r="54" spans="2:12" ht="38.25" customHeight="1">
      <c r="C54" s="126" t="s">
        <v>2854</v>
      </c>
      <c r="D54" s="1488" t="s">
        <v>2855</v>
      </c>
      <c r="E54" s="1488"/>
      <c r="F54" s="1488" t="s">
        <v>2856</v>
      </c>
      <c r="G54" s="1488"/>
      <c r="L54" s="127"/>
    </row>
    <row r="55" spans="2:12" ht="26.25">
      <c r="C55" s="128" t="s">
        <v>2857</v>
      </c>
      <c r="D55" s="1499" t="s">
        <v>2858</v>
      </c>
      <c r="E55" s="1499"/>
      <c r="F55" s="1499" t="s">
        <v>2859</v>
      </c>
      <c r="G55" s="1499"/>
    </row>
    <row r="56" spans="2:12">
      <c r="B56" s="2" t="s">
        <v>2860</v>
      </c>
      <c r="C56" s="2" t="s">
        <v>2861</v>
      </c>
    </row>
    <row r="57" spans="2:12" ht="87" customHeight="1">
      <c r="C57" s="2010" t="s">
        <v>2862</v>
      </c>
      <c r="D57" s="2010"/>
      <c r="E57" s="2010"/>
      <c r="F57" s="2010"/>
      <c r="G57" s="2010"/>
      <c r="H57" s="2010"/>
      <c r="I57" s="2010"/>
      <c r="J57" s="2010"/>
      <c r="K57" s="2010"/>
      <c r="L57" s="2010"/>
    </row>
    <row r="58" spans="2:12">
      <c r="C58" s="21" t="s">
        <v>2863</v>
      </c>
      <c r="D58" s="2" t="s">
        <v>2864</v>
      </c>
    </row>
    <row r="59" spans="2:12" ht="72.75" customHeight="1">
      <c r="D59" s="130" t="s">
        <v>2865</v>
      </c>
      <c r="E59" s="2009" t="s">
        <v>2866</v>
      </c>
      <c r="F59" s="2009"/>
      <c r="G59" s="2009"/>
      <c r="H59" s="2009"/>
      <c r="I59" s="2009"/>
      <c r="J59" s="2009"/>
      <c r="K59" s="2009"/>
      <c r="L59" s="2009"/>
    </row>
    <row r="87" spans="4:12">
      <c r="E87" s="131"/>
      <c r="H87" s="132" t="s">
        <v>2867</v>
      </c>
    </row>
    <row r="88" spans="4:12" ht="32.25" customHeight="1">
      <c r="D88" s="130" t="s">
        <v>2868</v>
      </c>
      <c r="E88" s="2009" t="s">
        <v>2869</v>
      </c>
      <c r="F88" s="2009"/>
      <c r="G88" s="2009"/>
      <c r="H88" s="2009"/>
      <c r="I88" s="2009"/>
      <c r="J88" s="2009"/>
      <c r="K88" s="2009"/>
      <c r="L88" s="2009"/>
    </row>
    <row r="102" spans="3:12">
      <c r="H102" s="132" t="s">
        <v>2870</v>
      </c>
    </row>
    <row r="103" spans="3:12" ht="32.25" customHeight="1">
      <c r="C103" s="130" t="s">
        <v>2871</v>
      </c>
      <c r="D103" s="2009" t="s">
        <v>2872</v>
      </c>
      <c r="E103" s="2009"/>
      <c r="F103" s="2009"/>
      <c r="G103" s="2009"/>
      <c r="H103" s="2009"/>
      <c r="I103" s="2009"/>
      <c r="J103" s="2009"/>
      <c r="K103" s="2009"/>
      <c r="L103" s="2009"/>
    </row>
    <row r="129" spans="1:13">
      <c r="F129" s="132" t="s">
        <v>2873</v>
      </c>
    </row>
    <row r="131" spans="1:13" ht="27.75" customHeight="1">
      <c r="D131" s="133" t="s">
        <v>2865</v>
      </c>
      <c r="E131" s="2010" t="s">
        <v>2874</v>
      </c>
      <c r="F131" s="2010"/>
      <c r="G131" s="2010"/>
      <c r="H131" s="2010"/>
      <c r="I131" s="2010"/>
      <c r="J131" s="2010"/>
      <c r="K131" s="2010"/>
      <c r="L131" s="2010"/>
    </row>
    <row r="132" spans="1:13" ht="31.5" customHeight="1">
      <c r="D132" s="133" t="s">
        <v>2868</v>
      </c>
      <c r="E132" s="2010" t="s">
        <v>2875</v>
      </c>
      <c r="F132" s="2010"/>
      <c r="G132" s="2010"/>
      <c r="H132" s="2010"/>
      <c r="I132" s="2010"/>
      <c r="J132" s="2010"/>
      <c r="K132" s="2010"/>
      <c r="L132" s="2010"/>
    </row>
    <row r="133" spans="1:13" ht="59.25" customHeight="1">
      <c r="E133" s="130" t="s">
        <v>2876</v>
      </c>
      <c r="F133" s="2010" t="s">
        <v>2877</v>
      </c>
      <c r="G133" s="2010"/>
      <c r="H133" s="2010"/>
      <c r="I133" s="2010"/>
      <c r="J133" s="2010"/>
      <c r="K133" s="2010"/>
      <c r="L133" s="2010"/>
    </row>
    <row r="134" spans="1:13" ht="46.5" customHeight="1">
      <c r="E134" s="130" t="s">
        <v>2878</v>
      </c>
      <c r="F134" s="2010" t="s">
        <v>2879</v>
      </c>
      <c r="G134" s="2010"/>
      <c r="H134" s="2010"/>
      <c r="I134" s="2010"/>
      <c r="J134" s="2010"/>
      <c r="K134" s="2010"/>
      <c r="L134" s="2010"/>
    </row>
    <row r="135" spans="1:13" ht="57.75" customHeight="1">
      <c r="D135" s="21" t="s">
        <v>2880</v>
      </c>
      <c r="E135" s="2010" t="s">
        <v>2881</v>
      </c>
      <c r="F135" s="2010"/>
      <c r="G135" s="2010"/>
      <c r="H135" s="2010"/>
      <c r="I135" s="2010"/>
      <c r="J135" s="2010"/>
      <c r="K135" s="2010"/>
      <c r="L135" s="2010"/>
    </row>
    <row r="136" spans="1:13" ht="43.5" customHeight="1">
      <c r="D136" s="21" t="s">
        <v>2882</v>
      </c>
      <c r="E136" s="2010" t="s">
        <v>2883</v>
      </c>
      <c r="F136" s="2010"/>
      <c r="G136" s="2010"/>
      <c r="H136" s="2010"/>
      <c r="I136" s="2010"/>
      <c r="J136" s="2010"/>
      <c r="K136" s="2010"/>
      <c r="L136" s="2010"/>
    </row>
    <row r="137" spans="1:13">
      <c r="D137" s="21" t="s">
        <v>2884</v>
      </c>
      <c r="E137" s="2" t="s">
        <v>2885</v>
      </c>
    </row>
    <row r="138" spans="1:13" ht="60" customHeight="1">
      <c r="C138" s="130" t="s">
        <v>2886</v>
      </c>
      <c r="D138" s="2009" t="s">
        <v>2887</v>
      </c>
      <c r="E138" s="2009"/>
      <c r="F138" s="2009"/>
      <c r="G138" s="2009"/>
      <c r="H138" s="2009"/>
      <c r="I138" s="2009"/>
      <c r="J138" s="2009"/>
      <c r="K138" s="2009"/>
      <c r="L138" s="2009"/>
      <c r="M138" s="134"/>
    </row>
    <row r="139" spans="1:13" ht="72.75" customHeight="1">
      <c r="C139" s="130" t="s">
        <v>2888</v>
      </c>
      <c r="D139" s="2009" t="s">
        <v>2889</v>
      </c>
      <c r="E139" s="2009"/>
      <c r="F139" s="2009"/>
      <c r="G139" s="2009"/>
      <c r="H139" s="2009"/>
      <c r="I139" s="2009"/>
      <c r="J139" s="2009"/>
      <c r="K139" s="2009"/>
      <c r="L139" s="2009"/>
      <c r="M139" s="2009"/>
    </row>
    <row r="141" spans="1:13" ht="13.9">
      <c r="A141" s="83" t="s">
        <v>2890</v>
      </c>
      <c r="B141" s="83" t="s">
        <v>2891</v>
      </c>
    </row>
    <row r="142" spans="1:13" ht="90" customHeight="1">
      <c r="B142" s="130">
        <v>1</v>
      </c>
      <c r="C142" s="2009" t="s">
        <v>2892</v>
      </c>
      <c r="D142" s="2009"/>
      <c r="E142" s="2009"/>
      <c r="F142" s="2009"/>
      <c r="G142" s="2009"/>
      <c r="H142" s="2009"/>
      <c r="I142" s="2009"/>
      <c r="J142" s="2009"/>
      <c r="K142" s="2009"/>
      <c r="L142" s="2009"/>
    </row>
    <row r="143" spans="1:13" ht="56.25" customHeight="1">
      <c r="B143" s="130">
        <v>2</v>
      </c>
      <c r="C143" s="2009" t="s">
        <v>2893</v>
      </c>
      <c r="D143" s="2009"/>
      <c r="E143" s="2009"/>
      <c r="F143" s="2009"/>
      <c r="G143" s="2009"/>
      <c r="H143" s="2009"/>
      <c r="I143" s="2009"/>
      <c r="J143" s="2009"/>
      <c r="K143" s="2009"/>
      <c r="L143" s="2009"/>
    </row>
    <row r="145" spans="2:12" ht="26.25" customHeight="1">
      <c r="C145" s="2021" t="s">
        <v>2894</v>
      </c>
      <c r="D145" s="2021"/>
      <c r="E145" s="2021"/>
      <c r="F145" s="2021"/>
      <c r="G145" s="2021"/>
      <c r="H145" s="2021"/>
      <c r="I145" s="2021"/>
      <c r="J145" s="2021"/>
      <c r="K145" s="2021"/>
      <c r="L145" s="2021"/>
    </row>
    <row r="146" spans="2:12" ht="20.25">
      <c r="C146" s="135" t="s">
        <v>1194</v>
      </c>
      <c r="D146" s="135" t="s">
        <v>1186</v>
      </c>
      <c r="E146" s="136" t="s">
        <v>2895</v>
      </c>
      <c r="F146" s="136" t="s">
        <v>2896</v>
      </c>
    </row>
    <row r="147" spans="2:12" ht="30.4">
      <c r="C147" s="20">
        <v>1</v>
      </c>
      <c r="D147" s="20" t="s">
        <v>1195</v>
      </c>
      <c r="E147" s="20" t="s">
        <v>2897</v>
      </c>
      <c r="F147" s="20" t="s">
        <v>2898</v>
      </c>
    </row>
    <row r="148" spans="2:12" ht="40.5">
      <c r="C148" s="20">
        <v>2</v>
      </c>
      <c r="D148" s="20" t="s">
        <v>1196</v>
      </c>
      <c r="E148" s="20" t="s">
        <v>2899</v>
      </c>
      <c r="F148" s="20" t="s">
        <v>2900</v>
      </c>
    </row>
    <row r="149" spans="2:12" ht="40.5">
      <c r="C149" s="20">
        <v>3</v>
      </c>
      <c r="D149" s="20" t="s">
        <v>1197</v>
      </c>
      <c r="E149" s="20" t="s">
        <v>2901</v>
      </c>
      <c r="F149" s="20" t="s">
        <v>2902</v>
      </c>
    </row>
    <row r="150" spans="2:12" ht="40.5">
      <c r="C150" s="20">
        <v>4</v>
      </c>
      <c r="D150" s="20" t="s">
        <v>1198</v>
      </c>
      <c r="E150" s="20" t="s">
        <v>2903</v>
      </c>
      <c r="F150" s="20" t="s">
        <v>2904</v>
      </c>
    </row>
    <row r="151" spans="2:12" ht="30.4">
      <c r="C151" s="20">
        <v>5</v>
      </c>
      <c r="D151" s="20" t="s">
        <v>1199</v>
      </c>
      <c r="E151" s="20" t="s">
        <v>2905</v>
      </c>
      <c r="F151" s="20" t="s">
        <v>2906</v>
      </c>
    </row>
    <row r="152" spans="2:12">
      <c r="C152" s="131" t="s">
        <v>2907</v>
      </c>
    </row>
    <row r="153" spans="2:12" ht="28.5" customHeight="1">
      <c r="C153" s="137" t="s">
        <v>2908</v>
      </c>
      <c r="D153" s="1541" t="s">
        <v>2909</v>
      </c>
      <c r="E153" s="1541"/>
      <c r="F153" s="1541"/>
      <c r="G153" s="1541"/>
      <c r="H153" s="1541"/>
      <c r="I153" s="1541"/>
      <c r="J153" s="1541"/>
      <c r="K153" s="1541"/>
      <c r="L153" s="1541"/>
    </row>
    <row r="154" spans="2:12">
      <c r="C154" s="137" t="s">
        <v>2910</v>
      </c>
      <c r="D154" s="131" t="s">
        <v>2911</v>
      </c>
      <c r="E154" s="131"/>
      <c r="F154" s="131"/>
      <c r="G154" s="131"/>
      <c r="H154" s="131"/>
      <c r="I154" s="131"/>
      <c r="J154" s="131"/>
      <c r="K154" s="131"/>
      <c r="L154" s="131"/>
    </row>
    <row r="155" spans="2:12">
      <c r="C155" s="137" t="s">
        <v>2910</v>
      </c>
      <c r="D155" s="131" t="s">
        <v>2912</v>
      </c>
      <c r="E155" s="131"/>
      <c r="F155" s="131"/>
      <c r="G155" s="131"/>
      <c r="H155" s="131"/>
      <c r="I155" s="131"/>
      <c r="J155" s="131"/>
      <c r="K155" s="131"/>
      <c r="L155" s="131"/>
    </row>
    <row r="157" spans="2:12" ht="35.25" customHeight="1">
      <c r="B157" s="134" t="s">
        <v>2847</v>
      </c>
      <c r="C157" s="2009" t="s">
        <v>2913</v>
      </c>
      <c r="D157" s="2009"/>
      <c r="E157" s="2009"/>
      <c r="F157" s="2009"/>
      <c r="G157" s="2009"/>
      <c r="H157" s="2009"/>
      <c r="I157" s="2009"/>
      <c r="J157" s="2009"/>
      <c r="K157" s="2009"/>
      <c r="L157" s="2009"/>
    </row>
    <row r="158" spans="2:12">
      <c r="C158" s="125" t="s">
        <v>2914</v>
      </c>
    </row>
    <row r="159" spans="2:12" ht="20.25">
      <c r="C159" s="135" t="s">
        <v>1194</v>
      </c>
      <c r="D159" s="135" t="s">
        <v>1186</v>
      </c>
      <c r="E159" s="136" t="s">
        <v>2915</v>
      </c>
      <c r="F159" s="136" t="s">
        <v>2916</v>
      </c>
    </row>
    <row r="160" spans="2:12" ht="30.4">
      <c r="C160" s="20">
        <v>1</v>
      </c>
      <c r="D160" s="20" t="s">
        <v>1195</v>
      </c>
      <c r="E160" s="138" t="s">
        <v>2897</v>
      </c>
      <c r="F160" s="20" t="s">
        <v>2917</v>
      </c>
    </row>
    <row r="161" spans="1:12">
      <c r="C161" s="1847">
        <v>2</v>
      </c>
      <c r="D161" s="1993" t="s">
        <v>1196</v>
      </c>
      <c r="E161" s="138" t="s">
        <v>2918</v>
      </c>
      <c r="F161" s="1995" t="s">
        <v>2919</v>
      </c>
    </row>
    <row r="162" spans="1:12" ht="20.25">
      <c r="C162" s="1847"/>
      <c r="D162" s="1993"/>
      <c r="E162" s="141" t="s">
        <v>2920</v>
      </c>
      <c r="F162" s="1995"/>
    </row>
    <row r="163" spans="1:12">
      <c r="C163" s="1847"/>
      <c r="D163" s="1993"/>
      <c r="E163" s="142" t="s">
        <v>2921</v>
      </c>
      <c r="F163" s="1995"/>
    </row>
    <row r="164" spans="1:12">
      <c r="C164" s="1847">
        <v>3</v>
      </c>
      <c r="D164" s="1993" t="s">
        <v>1197</v>
      </c>
      <c r="E164" s="138" t="s">
        <v>2921</v>
      </c>
      <c r="F164" s="1995" t="s">
        <v>2922</v>
      </c>
    </row>
    <row r="165" spans="1:12" ht="20.25">
      <c r="C165" s="1847"/>
      <c r="D165" s="1993"/>
      <c r="E165" s="141" t="s">
        <v>2920</v>
      </c>
      <c r="F165" s="1995"/>
    </row>
    <row r="166" spans="1:12">
      <c r="C166" s="1847"/>
      <c r="D166" s="1993"/>
      <c r="E166" s="142" t="s">
        <v>2923</v>
      </c>
      <c r="F166" s="1995"/>
    </row>
    <row r="167" spans="1:12">
      <c r="C167" s="1847">
        <v>4</v>
      </c>
      <c r="D167" s="1993" t="s">
        <v>1198</v>
      </c>
      <c r="E167" s="138" t="s">
        <v>2923</v>
      </c>
      <c r="F167" s="1995" t="s">
        <v>2924</v>
      </c>
    </row>
    <row r="168" spans="1:12" ht="20.25">
      <c r="C168" s="1847"/>
      <c r="D168" s="1993"/>
      <c r="E168" s="141" t="s">
        <v>2920</v>
      </c>
      <c r="F168" s="1995"/>
    </row>
    <row r="169" spans="1:12">
      <c r="C169" s="1847"/>
      <c r="D169" s="1993"/>
      <c r="E169" s="142" t="s">
        <v>2925</v>
      </c>
      <c r="F169" s="1995"/>
    </row>
    <row r="170" spans="1:12" ht="30.4">
      <c r="C170" s="20">
        <v>5</v>
      </c>
      <c r="D170" s="139" t="s">
        <v>1199</v>
      </c>
      <c r="E170" s="20" t="s">
        <v>2905</v>
      </c>
      <c r="F170" s="140" t="s">
        <v>2926</v>
      </c>
    </row>
    <row r="172" spans="1:12" ht="13.9">
      <c r="A172" s="83" t="s">
        <v>2927</v>
      </c>
      <c r="B172" s="83" t="s">
        <v>2928</v>
      </c>
    </row>
    <row r="173" spans="1:12" ht="59.25" customHeight="1">
      <c r="B173" s="2010" t="s">
        <v>2929</v>
      </c>
      <c r="C173" s="2010"/>
      <c r="D173" s="2010"/>
      <c r="E173" s="2010"/>
      <c r="F173" s="2010"/>
      <c r="G173" s="2010"/>
      <c r="H173" s="2010"/>
      <c r="I173" s="2010"/>
      <c r="J173" s="2010"/>
      <c r="K173" s="2010"/>
      <c r="L173" s="2010"/>
    </row>
    <row r="174" spans="1:12" ht="30" customHeight="1">
      <c r="B174" s="2010" t="s">
        <v>2930</v>
      </c>
      <c r="C174" s="2010"/>
      <c r="D174" s="2010"/>
      <c r="E174" s="2010"/>
      <c r="F174" s="2010"/>
      <c r="G174" s="2010"/>
      <c r="H174" s="2010"/>
      <c r="I174" s="2010"/>
      <c r="J174" s="2010"/>
      <c r="K174" s="2010"/>
      <c r="L174" s="2010"/>
    </row>
    <row r="190" spans="2:6">
      <c r="F190" s="132" t="s">
        <v>2931</v>
      </c>
    </row>
    <row r="192" spans="2:6">
      <c r="B192" s="2" t="s">
        <v>2932</v>
      </c>
    </row>
    <row r="193" spans="1:13">
      <c r="D193" s="125" t="s">
        <v>2933</v>
      </c>
    </row>
    <row r="194" spans="1:13" ht="30.4">
      <c r="B194" s="135" t="s">
        <v>81</v>
      </c>
      <c r="C194" s="135" t="s">
        <v>150</v>
      </c>
      <c r="D194" s="135" t="s">
        <v>2934</v>
      </c>
      <c r="E194" s="135" t="s">
        <v>2935</v>
      </c>
      <c r="F194" s="135" t="s">
        <v>2936</v>
      </c>
      <c r="G194" s="2022" t="s">
        <v>2937</v>
      </c>
      <c r="H194" s="2022"/>
      <c r="I194" s="135" t="s">
        <v>2934</v>
      </c>
      <c r="J194" s="2023" t="s">
        <v>2938</v>
      </c>
      <c r="K194" s="2024"/>
      <c r="L194" s="135" t="s">
        <v>2939</v>
      </c>
      <c r="M194" s="135" t="s">
        <v>2940</v>
      </c>
    </row>
    <row r="195" spans="1:13" ht="101.25">
      <c r="B195" s="53">
        <v>1</v>
      </c>
      <c r="C195" s="53" t="s">
        <v>2941</v>
      </c>
      <c r="D195" s="53" t="s">
        <v>2942</v>
      </c>
      <c r="E195" s="53" t="s">
        <v>2943</v>
      </c>
      <c r="F195" s="53" t="s">
        <v>2944</v>
      </c>
      <c r="G195" s="1867" t="s">
        <v>2945</v>
      </c>
      <c r="H195" s="1867"/>
      <c r="I195" s="53" t="s">
        <v>2942</v>
      </c>
      <c r="J195" s="2025" t="s">
        <v>2946</v>
      </c>
      <c r="K195" s="2025"/>
      <c r="L195" s="103" t="s">
        <v>2947</v>
      </c>
      <c r="M195" s="53" t="s">
        <v>2948</v>
      </c>
    </row>
    <row r="196" spans="1:13" ht="81">
      <c r="B196" s="53">
        <v>2</v>
      </c>
      <c r="C196" s="53" t="s">
        <v>2949</v>
      </c>
      <c r="D196" s="53" t="s">
        <v>2950</v>
      </c>
      <c r="E196" s="53" t="s">
        <v>2951</v>
      </c>
      <c r="F196" s="53" t="s">
        <v>2952</v>
      </c>
      <c r="G196" s="1867" t="s">
        <v>2953</v>
      </c>
      <c r="H196" s="1867"/>
      <c r="I196" s="53" t="s">
        <v>2950</v>
      </c>
      <c r="J196" s="2025" t="s">
        <v>2954</v>
      </c>
      <c r="K196" s="2025"/>
      <c r="L196" s="103" t="s">
        <v>2955</v>
      </c>
      <c r="M196" s="53" t="s">
        <v>2956</v>
      </c>
    </row>
    <row r="197" spans="1:13">
      <c r="B197" s="143"/>
      <c r="C197" s="143"/>
      <c r="D197" s="143"/>
      <c r="E197" s="143"/>
      <c r="F197" s="143"/>
      <c r="G197" s="144"/>
      <c r="H197" s="143"/>
      <c r="I197" s="2026"/>
      <c r="J197" s="2026"/>
      <c r="K197" s="143"/>
    </row>
    <row r="198" spans="1:13" ht="13.9">
      <c r="A198" s="83" t="s">
        <v>2957</v>
      </c>
      <c r="B198" s="145" t="s">
        <v>2958</v>
      </c>
      <c r="C198" s="143"/>
      <c r="D198" s="143"/>
      <c r="E198" s="143"/>
      <c r="F198" s="143"/>
      <c r="G198" s="144"/>
      <c r="H198" s="143"/>
      <c r="I198" s="2026"/>
      <c r="J198" s="2026"/>
      <c r="K198" s="143"/>
    </row>
    <row r="199" spans="1:13">
      <c r="B199" s="2" t="s">
        <v>2959</v>
      </c>
    </row>
    <row r="200" spans="1:13">
      <c r="B200" s="21" t="s">
        <v>2811</v>
      </c>
      <c r="C200" s="2" t="s">
        <v>2960</v>
      </c>
    </row>
    <row r="201" spans="1:13" ht="59.25" customHeight="1">
      <c r="B201" s="21"/>
      <c r="C201" s="2010" t="s">
        <v>2961</v>
      </c>
      <c r="D201" s="2010"/>
      <c r="E201" s="2010"/>
      <c r="F201" s="2010"/>
      <c r="G201" s="2010"/>
      <c r="H201" s="2010"/>
      <c r="I201" s="2010"/>
      <c r="J201" s="2010"/>
      <c r="K201" s="2010"/>
      <c r="L201" s="2010"/>
    </row>
    <row r="202" spans="1:13">
      <c r="B202" s="21" t="s">
        <v>2962</v>
      </c>
      <c r="C202" s="2" t="s">
        <v>2963</v>
      </c>
    </row>
    <row r="203" spans="1:13" s="134" customFormat="1" ht="90" customHeight="1">
      <c r="C203" s="2009" t="s">
        <v>2964</v>
      </c>
      <c r="D203" s="2009"/>
      <c r="E203" s="2009"/>
      <c r="F203" s="2009"/>
      <c r="G203" s="2009"/>
      <c r="H203" s="2009"/>
      <c r="I203" s="2009"/>
      <c r="J203" s="2009"/>
      <c r="K203" s="2009"/>
      <c r="L203" s="2009"/>
    </row>
    <row r="204" spans="1:13">
      <c r="C204" s="118" t="s">
        <v>645</v>
      </c>
    </row>
    <row r="205" spans="1:13" ht="26.25" customHeight="1">
      <c r="C205" s="2000" t="s">
        <v>646</v>
      </c>
      <c r="D205" s="2000"/>
      <c r="E205" s="2000"/>
      <c r="F205" s="84" t="s">
        <v>647</v>
      </c>
    </row>
    <row r="206" spans="1:13" ht="64.5" customHeight="1">
      <c r="C206" s="2011" t="s">
        <v>2965</v>
      </c>
      <c r="D206" s="2011"/>
      <c r="E206" s="2011"/>
      <c r="F206" s="107" t="s">
        <v>2966</v>
      </c>
    </row>
    <row r="207" spans="1:13" ht="64.5" customHeight="1">
      <c r="C207" s="2011" t="s">
        <v>2967</v>
      </c>
      <c r="D207" s="2011"/>
      <c r="E207" s="2011"/>
      <c r="F207" s="146">
        <v>0.11</v>
      </c>
    </row>
    <row r="208" spans="1:13" ht="51.75" customHeight="1">
      <c r="C208" s="2011" t="s">
        <v>2968</v>
      </c>
      <c r="D208" s="2011"/>
      <c r="E208" s="2011"/>
      <c r="F208" s="129" t="s">
        <v>2969</v>
      </c>
    </row>
    <row r="209" spans="2:12">
      <c r="B209" s="2" t="s">
        <v>2847</v>
      </c>
      <c r="C209" s="2" t="s">
        <v>2970</v>
      </c>
    </row>
    <row r="210" spans="2:12" ht="43.5" customHeight="1">
      <c r="C210" s="134" t="s">
        <v>2863</v>
      </c>
      <c r="D210" s="2009" t="s">
        <v>2971</v>
      </c>
      <c r="E210" s="2009"/>
      <c r="F210" s="2009"/>
      <c r="G210" s="2009"/>
      <c r="H210" s="2009"/>
      <c r="I210" s="2009"/>
      <c r="J210" s="2009"/>
      <c r="K210" s="2009"/>
      <c r="L210" s="2009"/>
    </row>
    <row r="211" spans="2:12" ht="88.5" customHeight="1">
      <c r="C211" s="134" t="s">
        <v>2871</v>
      </c>
      <c r="D211" s="2009" t="s">
        <v>2972</v>
      </c>
      <c r="E211" s="2009"/>
      <c r="F211" s="2009"/>
      <c r="G211" s="2009"/>
      <c r="H211" s="2009"/>
      <c r="I211" s="2009"/>
      <c r="J211" s="2009"/>
      <c r="K211" s="2009"/>
      <c r="L211" s="2009"/>
    </row>
    <row r="212" spans="2:12">
      <c r="B212" s="2" t="s">
        <v>2860</v>
      </c>
      <c r="C212" s="2" t="s">
        <v>2973</v>
      </c>
    </row>
    <row r="213" spans="2:12" ht="28.5" customHeight="1">
      <c r="C213" s="2010" t="s">
        <v>2974</v>
      </c>
      <c r="D213" s="2010"/>
      <c r="E213" s="2010"/>
      <c r="F213" s="2010"/>
      <c r="G213" s="2010"/>
      <c r="H213" s="2010"/>
      <c r="I213" s="2010"/>
      <c r="J213" s="2010"/>
      <c r="K213" s="2010"/>
      <c r="L213" s="2010"/>
    </row>
    <row r="214" spans="2:12">
      <c r="C214" s="21" t="s">
        <v>2863</v>
      </c>
      <c r="D214" s="2" t="s">
        <v>2975</v>
      </c>
    </row>
    <row r="215" spans="2:12" ht="59.25" customHeight="1">
      <c r="D215" s="2010" t="s">
        <v>654</v>
      </c>
      <c r="E215" s="2010"/>
      <c r="F215" s="2010"/>
      <c r="G215" s="2010"/>
      <c r="H215" s="2010"/>
      <c r="I215" s="2010"/>
      <c r="J215" s="2010"/>
      <c r="K215" s="2010"/>
      <c r="L215" s="2010"/>
    </row>
    <row r="216" spans="2:12">
      <c r="D216" s="118" t="s">
        <v>655</v>
      </c>
    </row>
    <row r="217" spans="2:12" ht="81.400000000000006">
      <c r="D217" s="121" t="s">
        <v>496</v>
      </c>
      <c r="E217" s="121" t="s">
        <v>656</v>
      </c>
      <c r="F217" s="121" t="s">
        <v>2976</v>
      </c>
      <c r="G217" s="121" t="s">
        <v>2977</v>
      </c>
      <c r="H217" s="121" t="s">
        <v>659</v>
      </c>
      <c r="I217" s="121" t="s">
        <v>660</v>
      </c>
    </row>
    <row r="218" spans="2:12" ht="23.25">
      <c r="D218" s="122">
        <v>2022</v>
      </c>
      <c r="E218" s="147">
        <v>14350</v>
      </c>
      <c r="F218" s="148" t="s">
        <v>661</v>
      </c>
      <c r="G218" s="148" t="s">
        <v>662</v>
      </c>
      <c r="H218" s="2027"/>
      <c r="I218" s="2027"/>
    </row>
    <row r="219" spans="2:12" ht="23.25">
      <c r="D219" s="122">
        <v>2021</v>
      </c>
      <c r="E219" s="147">
        <v>14600</v>
      </c>
      <c r="F219" s="148" t="s">
        <v>663</v>
      </c>
      <c r="G219" s="148" t="s">
        <v>664</v>
      </c>
      <c r="H219" s="2027"/>
      <c r="I219" s="2027"/>
    </row>
    <row r="220" spans="2:12" ht="23.25">
      <c r="D220" s="122">
        <v>2020</v>
      </c>
      <c r="E220" s="147">
        <v>14400</v>
      </c>
      <c r="F220" s="148" t="s">
        <v>665</v>
      </c>
      <c r="G220" s="148" t="s">
        <v>666</v>
      </c>
      <c r="H220" s="2027"/>
      <c r="I220" s="2027"/>
    </row>
    <row r="221" spans="2:12" ht="34.9">
      <c r="D221" s="2017" t="s">
        <v>557</v>
      </c>
      <c r="E221" s="2017"/>
      <c r="F221" s="124" t="s">
        <v>2978</v>
      </c>
      <c r="G221" s="124" t="s">
        <v>2979</v>
      </c>
      <c r="H221" s="124" t="s">
        <v>669</v>
      </c>
      <c r="I221" s="149" t="s">
        <v>670</v>
      </c>
    </row>
    <row r="222" spans="2:12">
      <c r="D222" s="150" t="s">
        <v>671</v>
      </c>
    </row>
    <row r="223" spans="2:12">
      <c r="D223" s="131" t="s">
        <v>672</v>
      </c>
    </row>
    <row r="225" spans="2:12" ht="45" customHeight="1">
      <c r="D225" s="2010" t="s">
        <v>2980</v>
      </c>
      <c r="E225" s="2010"/>
      <c r="F225" s="2010"/>
      <c r="G225" s="2010"/>
      <c r="H225" s="2010"/>
      <c r="I225" s="2010"/>
      <c r="J225" s="2010"/>
      <c r="K225" s="2010"/>
      <c r="L225" s="2010"/>
    </row>
    <row r="226" spans="2:12">
      <c r="C226" s="2" t="s">
        <v>1958</v>
      </c>
      <c r="D226" s="2" t="s">
        <v>2981</v>
      </c>
    </row>
    <row r="227" spans="2:12">
      <c r="D227" s="2" t="s">
        <v>676</v>
      </c>
    </row>
    <row r="228" spans="2:12">
      <c r="D228" s="118" t="s">
        <v>677</v>
      </c>
    </row>
    <row r="229" spans="2:12" ht="69" customHeight="1">
      <c r="D229" s="2014" t="s">
        <v>570</v>
      </c>
      <c r="E229" s="2014" t="s">
        <v>678</v>
      </c>
      <c r="F229" s="2014"/>
      <c r="G229" s="2014"/>
      <c r="H229" s="2014" t="s">
        <v>679</v>
      </c>
    </row>
    <row r="230" spans="2:12">
      <c r="D230" s="2014"/>
      <c r="E230" s="121" t="s">
        <v>680</v>
      </c>
      <c r="F230" s="121" t="s">
        <v>681</v>
      </c>
      <c r="G230" s="121" t="s">
        <v>682</v>
      </c>
      <c r="H230" s="2014"/>
    </row>
    <row r="231" spans="2:12">
      <c r="D231" s="122">
        <v>2022</v>
      </c>
      <c r="E231" s="122">
        <v>10</v>
      </c>
      <c r="F231" s="122">
        <v>20</v>
      </c>
      <c r="G231" s="122">
        <v>15</v>
      </c>
      <c r="H231" s="151">
        <v>0.22220000000000001</v>
      </c>
    </row>
    <row r="232" spans="2:12">
      <c r="D232" s="122">
        <v>2021</v>
      </c>
      <c r="E232" s="122">
        <v>15</v>
      </c>
      <c r="F232" s="122">
        <v>24</v>
      </c>
      <c r="G232" s="122">
        <v>17</v>
      </c>
      <c r="H232" s="151">
        <v>0.26779999999999998</v>
      </c>
    </row>
    <row r="233" spans="2:12">
      <c r="D233" s="122">
        <v>2020</v>
      </c>
      <c r="E233" s="122">
        <v>9</v>
      </c>
      <c r="F233" s="122">
        <v>30</v>
      </c>
      <c r="G233" s="122">
        <v>20</v>
      </c>
      <c r="H233" s="151">
        <v>0.1525</v>
      </c>
    </row>
    <row r="234" spans="2:12">
      <c r="D234" s="122"/>
      <c r="E234" s="122"/>
      <c r="F234" s="122"/>
      <c r="G234" s="124" t="s">
        <v>683</v>
      </c>
      <c r="H234" s="152">
        <v>0.2142</v>
      </c>
    </row>
    <row r="235" spans="2:12" ht="47.25" customHeight="1">
      <c r="D235" s="2009" t="s">
        <v>2982</v>
      </c>
      <c r="E235" s="2009"/>
      <c r="F235" s="2009"/>
      <c r="G235" s="2009"/>
      <c r="H235" s="2009"/>
      <c r="I235" s="2009"/>
      <c r="J235" s="2009"/>
      <c r="K235" s="2009"/>
      <c r="L235" s="2009"/>
    </row>
    <row r="236" spans="2:12">
      <c r="B236" s="10">
        <v>5</v>
      </c>
      <c r="C236" s="2" t="s">
        <v>2983</v>
      </c>
    </row>
    <row r="237" spans="2:12" ht="58.5" customHeight="1">
      <c r="C237" s="2010" t="s">
        <v>2984</v>
      </c>
      <c r="D237" s="2010"/>
      <c r="E237" s="2010"/>
      <c r="F237" s="2010"/>
      <c r="G237" s="2010"/>
      <c r="H237" s="2010"/>
      <c r="I237" s="2010"/>
      <c r="J237" s="2010"/>
      <c r="K237" s="2010"/>
      <c r="L237" s="2010"/>
    </row>
    <row r="238" spans="2:12">
      <c r="C238" s="2" t="s">
        <v>2985</v>
      </c>
    </row>
    <row r="239" spans="2:12">
      <c r="C239" s="2" t="s">
        <v>2986</v>
      </c>
    </row>
    <row r="240" spans="2:12">
      <c r="C240" s="2" t="s">
        <v>2987</v>
      </c>
    </row>
    <row r="241" spans="3:12">
      <c r="C241" s="2" t="s">
        <v>2988</v>
      </c>
    </row>
    <row r="242" spans="3:12">
      <c r="C242" s="131" t="s">
        <v>2907</v>
      </c>
      <c r="D242" s="131"/>
      <c r="E242" s="131"/>
      <c r="F242" s="131"/>
      <c r="G242" s="131"/>
      <c r="H242" s="131"/>
      <c r="I242" s="131"/>
      <c r="J242" s="131"/>
      <c r="K242" s="131"/>
      <c r="L242" s="131"/>
    </row>
    <row r="243" spans="3:12" ht="27" customHeight="1">
      <c r="C243" s="1541" t="s">
        <v>2989</v>
      </c>
      <c r="D243" s="1541"/>
      <c r="E243" s="1541"/>
      <c r="F243" s="1541"/>
      <c r="G243" s="1541"/>
      <c r="H243" s="1541"/>
      <c r="I243" s="1541"/>
      <c r="J243" s="1541"/>
      <c r="K243" s="1541"/>
      <c r="L243" s="1541"/>
    </row>
    <row r="245" spans="3:12">
      <c r="C245" s="2" t="s">
        <v>2990</v>
      </c>
    </row>
    <row r="246" spans="3:12">
      <c r="C246" s="125" t="s">
        <v>2991</v>
      </c>
    </row>
    <row r="247" spans="3:12" ht="30.4">
      <c r="C247" s="135" t="s">
        <v>81</v>
      </c>
      <c r="D247" s="135" t="s">
        <v>155</v>
      </c>
      <c r="E247" s="135" t="s">
        <v>2992</v>
      </c>
      <c r="F247" s="135" t="s">
        <v>2993</v>
      </c>
      <c r="G247" s="135" t="s">
        <v>2994</v>
      </c>
      <c r="H247" s="135" t="s">
        <v>505</v>
      </c>
      <c r="I247" s="135" t="s">
        <v>2995</v>
      </c>
      <c r="J247" s="135" t="s">
        <v>2996</v>
      </c>
    </row>
    <row r="248" spans="3:12" ht="40.5">
      <c r="C248" s="20">
        <v>1</v>
      </c>
      <c r="D248" s="153" t="s">
        <v>2942</v>
      </c>
      <c r="E248" s="20">
        <v>4</v>
      </c>
      <c r="F248" s="20">
        <v>4</v>
      </c>
      <c r="G248" s="154">
        <v>19</v>
      </c>
      <c r="H248" s="153" t="s">
        <v>2969</v>
      </c>
      <c r="I248" s="155">
        <v>0.8</v>
      </c>
      <c r="J248" s="153" t="s">
        <v>2997</v>
      </c>
    </row>
    <row r="249" spans="3:12" ht="40.5">
      <c r="C249" s="20">
        <v>2</v>
      </c>
      <c r="D249" s="153" t="s">
        <v>2950</v>
      </c>
      <c r="E249" s="20">
        <v>3</v>
      </c>
      <c r="F249" s="20">
        <v>2</v>
      </c>
      <c r="G249" s="154">
        <v>11</v>
      </c>
      <c r="H249" s="1847" t="s">
        <v>590</v>
      </c>
      <c r="I249" s="1847"/>
      <c r="J249" s="1847"/>
    </row>
    <row r="250" spans="3:12">
      <c r="C250" s="2" t="s">
        <v>2998</v>
      </c>
    </row>
    <row r="269" spans="1:12">
      <c r="E269" s="125" t="s">
        <v>2999</v>
      </c>
    </row>
    <row r="270" spans="1:12" ht="13.9">
      <c r="A270" s="83" t="s">
        <v>3000</v>
      </c>
      <c r="B270" s="83" t="s">
        <v>3001</v>
      </c>
    </row>
    <row r="271" spans="1:12" ht="28.5" customHeight="1">
      <c r="B271" s="2010" t="s">
        <v>3002</v>
      </c>
      <c r="C271" s="2010"/>
      <c r="D271" s="2010"/>
      <c r="E271" s="2010"/>
      <c r="F271" s="2010"/>
      <c r="G271" s="2010"/>
      <c r="H271" s="2010"/>
      <c r="I271" s="2010"/>
      <c r="J271" s="2010"/>
      <c r="K271" s="2010"/>
      <c r="L271" s="2010"/>
    </row>
    <row r="272" spans="1:12" ht="13.9">
      <c r="B272" s="156" t="s">
        <v>3003</v>
      </c>
    </row>
    <row r="273" spans="1:12" ht="51" customHeight="1">
      <c r="B273" s="84" t="s">
        <v>174</v>
      </c>
      <c r="C273" s="84" t="s">
        <v>1427</v>
      </c>
      <c r="D273" s="2000" t="s">
        <v>3004</v>
      </c>
      <c r="E273" s="2000"/>
    </row>
    <row r="274" spans="1:12" ht="25.5" customHeight="1">
      <c r="B274" s="157" t="s">
        <v>3005</v>
      </c>
      <c r="C274" s="158" t="s">
        <v>1394</v>
      </c>
      <c r="D274" s="2028" t="s">
        <v>295</v>
      </c>
      <c r="E274" s="2028"/>
    </row>
    <row r="275" spans="1:12" ht="63.75" customHeight="1">
      <c r="B275" s="157" t="s">
        <v>3006</v>
      </c>
      <c r="C275" s="159" t="s">
        <v>1428</v>
      </c>
      <c r="D275" s="1488" t="s">
        <v>3007</v>
      </c>
      <c r="E275" s="1488"/>
    </row>
    <row r="276" spans="1:12" ht="63.75" customHeight="1">
      <c r="B276" s="157" t="s">
        <v>3008</v>
      </c>
      <c r="C276" s="160" t="s">
        <v>1401</v>
      </c>
      <c r="D276" s="2028" t="s">
        <v>259</v>
      </c>
      <c r="E276" s="2028"/>
    </row>
    <row r="277" spans="1:12" ht="63.75" customHeight="1">
      <c r="B277" s="107" t="s">
        <v>3009</v>
      </c>
      <c r="C277" s="161" t="s">
        <v>1404</v>
      </c>
      <c r="D277" s="1488" t="s">
        <v>3010</v>
      </c>
      <c r="E277" s="1488"/>
    </row>
    <row r="278" spans="1:12" ht="63.75" customHeight="1">
      <c r="B278" s="107" t="s">
        <v>3011</v>
      </c>
      <c r="C278" s="162" t="s">
        <v>1405</v>
      </c>
      <c r="D278" s="1488" t="s">
        <v>3012</v>
      </c>
      <c r="E278" s="1488"/>
    </row>
    <row r="279" spans="1:12" ht="46.5" customHeight="1">
      <c r="B279" s="2010" t="s">
        <v>3013</v>
      </c>
      <c r="C279" s="2010"/>
      <c r="D279" s="2010"/>
      <c r="E279" s="2010"/>
      <c r="F279" s="2010"/>
      <c r="G279" s="2010"/>
      <c r="H279" s="2010"/>
      <c r="I279" s="2010"/>
      <c r="J279" s="2010"/>
      <c r="K279" s="2010"/>
      <c r="L279" s="2010"/>
    </row>
    <row r="281" spans="1:12" ht="13.9">
      <c r="A281" s="83" t="s">
        <v>3014</v>
      </c>
      <c r="B281" s="83" t="s">
        <v>3015</v>
      </c>
    </row>
    <row r="282" spans="1:12">
      <c r="B282" s="2" t="s">
        <v>3016</v>
      </c>
    </row>
    <row r="283" spans="1:12">
      <c r="B283" s="21">
        <v>1</v>
      </c>
      <c r="C283" s="2" t="s">
        <v>3017</v>
      </c>
    </row>
    <row r="284" spans="1:12" ht="57" customHeight="1">
      <c r="C284" s="2010" t="s">
        <v>3018</v>
      </c>
      <c r="D284" s="2010"/>
      <c r="E284" s="2010"/>
      <c r="F284" s="2010"/>
      <c r="G284" s="2010"/>
      <c r="H284" s="2010"/>
      <c r="I284" s="2010"/>
      <c r="J284" s="2010"/>
      <c r="K284" s="2010"/>
      <c r="L284" s="2010"/>
    </row>
    <row r="285" spans="1:12">
      <c r="C285" s="2" t="s">
        <v>3019</v>
      </c>
    </row>
    <row r="286" spans="1:12">
      <c r="C286" s="21" t="s">
        <v>3020</v>
      </c>
      <c r="D286" s="2" t="s">
        <v>3021</v>
      </c>
    </row>
    <row r="287" spans="1:12" ht="44.25" customHeight="1">
      <c r="D287" s="2010" t="s">
        <v>3022</v>
      </c>
      <c r="E287" s="2010"/>
      <c r="F287" s="2010"/>
      <c r="G287" s="2010"/>
      <c r="H287" s="2010"/>
      <c r="I287" s="2010"/>
      <c r="J287" s="2010"/>
      <c r="K287" s="2010"/>
      <c r="L287" s="2010"/>
    </row>
    <row r="288" spans="1:12">
      <c r="D288" s="2" t="s">
        <v>3023</v>
      </c>
    </row>
    <row r="289" spans="4:12">
      <c r="D289" s="125" t="s">
        <v>3024</v>
      </c>
    </row>
    <row r="290" spans="4:12" ht="23.25">
      <c r="D290" s="121" t="s">
        <v>3021</v>
      </c>
      <c r="E290" s="121" t="s">
        <v>964</v>
      </c>
      <c r="F290" s="121" t="s">
        <v>3025</v>
      </c>
      <c r="G290" s="121" t="s">
        <v>3021</v>
      </c>
      <c r="H290" s="121" t="s">
        <v>964</v>
      </c>
      <c r="I290" s="121" t="s">
        <v>3025</v>
      </c>
    </row>
    <row r="291" spans="4:12" ht="23.25">
      <c r="D291" s="163" t="s">
        <v>3026</v>
      </c>
      <c r="E291" s="164" t="s">
        <v>3027</v>
      </c>
      <c r="F291" s="148">
        <v>37</v>
      </c>
      <c r="G291" s="164" t="s">
        <v>3028</v>
      </c>
      <c r="H291" s="164" t="s">
        <v>3029</v>
      </c>
      <c r="I291" s="148">
        <v>77</v>
      </c>
    </row>
    <row r="292" spans="4:12" ht="23.25">
      <c r="D292" s="163" t="s">
        <v>3030</v>
      </c>
      <c r="E292" s="164" t="s">
        <v>3031</v>
      </c>
      <c r="F292" s="148">
        <v>22</v>
      </c>
      <c r="G292" s="164" t="s">
        <v>3032</v>
      </c>
      <c r="H292" s="164" t="s">
        <v>3029</v>
      </c>
      <c r="I292" s="148">
        <v>75</v>
      </c>
    </row>
    <row r="293" spans="4:12" ht="23.25">
      <c r="D293" s="163" t="s">
        <v>3033</v>
      </c>
      <c r="E293" s="164" t="s">
        <v>3031</v>
      </c>
      <c r="F293" s="148">
        <v>15</v>
      </c>
      <c r="G293" s="164" t="s">
        <v>3034</v>
      </c>
      <c r="H293" s="164" t="s">
        <v>3029</v>
      </c>
      <c r="I293" s="148">
        <v>50</v>
      </c>
    </row>
    <row r="294" spans="4:12" ht="23.25">
      <c r="D294" s="163" t="s">
        <v>3035</v>
      </c>
      <c r="E294" s="164" t="s">
        <v>3036</v>
      </c>
      <c r="F294" s="148">
        <v>69</v>
      </c>
      <c r="G294" s="164" t="s">
        <v>3037</v>
      </c>
      <c r="H294" s="164" t="s">
        <v>3029</v>
      </c>
      <c r="I294" s="148">
        <v>22</v>
      </c>
    </row>
    <row r="295" spans="4:12" ht="23.25">
      <c r="D295" s="163" t="s">
        <v>3038</v>
      </c>
      <c r="E295" s="164" t="s">
        <v>3036</v>
      </c>
      <c r="F295" s="148">
        <v>51</v>
      </c>
      <c r="G295" s="164" t="s">
        <v>3039</v>
      </c>
      <c r="H295" s="164" t="s">
        <v>3040</v>
      </c>
      <c r="I295" s="148">
        <v>264</v>
      </c>
    </row>
    <row r="296" spans="4:12" ht="23.25">
      <c r="D296" s="163" t="s">
        <v>3041</v>
      </c>
      <c r="E296" s="164" t="s">
        <v>3036</v>
      </c>
      <c r="F296" s="148">
        <v>43</v>
      </c>
      <c r="G296" s="164" t="s">
        <v>3042</v>
      </c>
      <c r="H296" s="164" t="s">
        <v>3040</v>
      </c>
      <c r="I296" s="148">
        <v>142</v>
      </c>
    </row>
    <row r="297" spans="4:12" ht="23.25">
      <c r="D297" s="163" t="s">
        <v>3043</v>
      </c>
      <c r="E297" s="164" t="s">
        <v>3044</v>
      </c>
      <c r="F297" s="148">
        <v>91</v>
      </c>
      <c r="G297" s="164" t="s">
        <v>3045</v>
      </c>
      <c r="H297" s="164" t="s">
        <v>3040</v>
      </c>
      <c r="I297" s="148">
        <v>122</v>
      </c>
    </row>
    <row r="298" spans="4:12" ht="23.25">
      <c r="D298" s="163" t="s">
        <v>3046</v>
      </c>
      <c r="E298" s="164" t="s">
        <v>3044</v>
      </c>
      <c r="F298" s="148">
        <v>84</v>
      </c>
      <c r="G298" s="164" t="s">
        <v>3047</v>
      </c>
      <c r="H298" s="164" t="s">
        <v>3040</v>
      </c>
      <c r="I298" s="148">
        <v>101</v>
      </c>
    </row>
    <row r="299" spans="4:12" ht="23.25">
      <c r="D299" s="163" t="s">
        <v>3048</v>
      </c>
      <c r="E299" s="164" t="s">
        <v>3044</v>
      </c>
      <c r="F299" s="148">
        <v>72</v>
      </c>
      <c r="G299" s="164" t="s">
        <v>3049</v>
      </c>
      <c r="H299" s="164" t="s">
        <v>3040</v>
      </c>
      <c r="I299" s="148">
        <v>75</v>
      </c>
    </row>
    <row r="300" spans="4:12">
      <c r="D300" s="163" t="s">
        <v>3050</v>
      </c>
      <c r="E300" s="164" t="s">
        <v>3051</v>
      </c>
      <c r="F300" s="148">
        <v>97</v>
      </c>
      <c r="G300" s="164" t="s">
        <v>3052</v>
      </c>
      <c r="H300" s="164" t="s">
        <v>3053</v>
      </c>
      <c r="I300" s="148">
        <v>42</v>
      </c>
    </row>
    <row r="301" spans="4:12">
      <c r="D301" s="163" t="s">
        <v>3054</v>
      </c>
      <c r="E301" s="164" t="s">
        <v>3051</v>
      </c>
      <c r="F301" s="148">
        <v>96</v>
      </c>
      <c r="G301" s="164" t="s">
        <v>3055</v>
      </c>
      <c r="H301" s="164" t="s">
        <v>3053</v>
      </c>
      <c r="I301" s="148">
        <v>32</v>
      </c>
    </row>
    <row r="302" spans="4:12">
      <c r="D302" s="163" t="s">
        <v>3056</v>
      </c>
      <c r="E302" s="164" t="s">
        <v>3051</v>
      </c>
      <c r="F302" s="148">
        <v>69</v>
      </c>
      <c r="G302" s="164" t="s">
        <v>3057</v>
      </c>
      <c r="H302" s="164" t="s">
        <v>3053</v>
      </c>
      <c r="I302" s="148">
        <v>27</v>
      </c>
    </row>
    <row r="303" spans="4:12">
      <c r="D303" s="163" t="s">
        <v>3058</v>
      </c>
      <c r="E303" s="164" t="s">
        <v>3051</v>
      </c>
      <c r="F303" s="148">
        <v>37</v>
      </c>
      <c r="G303" s="164" t="s">
        <v>3059</v>
      </c>
      <c r="H303" s="164" t="s">
        <v>3053</v>
      </c>
      <c r="I303" s="148">
        <v>21</v>
      </c>
    </row>
    <row r="304" spans="4:12" ht="30.75" customHeight="1">
      <c r="D304" s="2010" t="s">
        <v>3060</v>
      </c>
      <c r="E304" s="2010"/>
      <c r="F304" s="2010"/>
      <c r="G304" s="2010"/>
      <c r="H304" s="2010"/>
      <c r="I304" s="2010"/>
      <c r="J304" s="2010"/>
      <c r="K304" s="2010"/>
      <c r="L304" s="2010"/>
    </row>
    <row r="321" spans="2:12">
      <c r="D321" s="125" t="s">
        <v>3061</v>
      </c>
    </row>
    <row r="322" spans="2:12">
      <c r="D322" s="131" t="s">
        <v>2907</v>
      </c>
    </row>
    <row r="323" spans="2:12">
      <c r="D323" s="137" t="s">
        <v>3062</v>
      </c>
      <c r="E323" s="165" t="s">
        <v>3063</v>
      </c>
      <c r="F323" s="165"/>
      <c r="G323" s="165"/>
      <c r="H323" s="165"/>
      <c r="I323" s="165"/>
      <c r="J323" s="165"/>
      <c r="K323" s="165"/>
      <c r="L323" s="165"/>
    </row>
    <row r="324" spans="2:12" ht="29.25" customHeight="1">
      <c r="D324" s="137" t="s">
        <v>3064</v>
      </c>
      <c r="E324" s="1543" t="s">
        <v>3065</v>
      </c>
      <c r="F324" s="1543"/>
      <c r="G324" s="1543"/>
      <c r="H324" s="1543"/>
      <c r="I324" s="1543"/>
      <c r="J324" s="1543"/>
      <c r="K324" s="1543"/>
      <c r="L324" s="1543"/>
    </row>
    <row r="325" spans="2:12">
      <c r="D325" s="2" t="s">
        <v>3066</v>
      </c>
    </row>
    <row r="326" spans="2:12">
      <c r="C326" s="21" t="s">
        <v>1958</v>
      </c>
      <c r="D326" s="2" t="s">
        <v>3067</v>
      </c>
    </row>
    <row r="327" spans="2:12">
      <c r="D327" s="2" t="s">
        <v>3068</v>
      </c>
    </row>
    <row r="328" spans="2:12">
      <c r="D328" s="2" t="s">
        <v>3069</v>
      </c>
    </row>
    <row r="329" spans="2:12">
      <c r="D329" s="2" t="s">
        <v>3070</v>
      </c>
    </row>
    <row r="331" spans="2:12">
      <c r="B331" s="21">
        <v>2</v>
      </c>
      <c r="C331" s="2" t="s">
        <v>3071</v>
      </c>
    </row>
    <row r="332" spans="2:12">
      <c r="C332" s="2" t="s">
        <v>3072</v>
      </c>
    </row>
    <row r="333" spans="2:12" ht="44.25" customHeight="1">
      <c r="C333" s="130" t="s">
        <v>2863</v>
      </c>
      <c r="D333" s="2009" t="s">
        <v>3073</v>
      </c>
      <c r="E333" s="2009"/>
      <c r="F333" s="2009"/>
      <c r="G333" s="2009"/>
      <c r="H333" s="2009"/>
      <c r="I333" s="2009"/>
      <c r="J333" s="2009"/>
      <c r="K333" s="2009"/>
      <c r="L333" s="2009"/>
    </row>
    <row r="334" spans="2:12" ht="32.25" customHeight="1">
      <c r="C334" s="130" t="s">
        <v>2871</v>
      </c>
      <c r="D334" s="2009" t="s">
        <v>3074</v>
      </c>
      <c r="E334" s="2009"/>
      <c r="F334" s="2009"/>
      <c r="G334" s="2009"/>
      <c r="H334" s="2009"/>
      <c r="I334" s="2009"/>
      <c r="J334" s="2009"/>
      <c r="K334" s="2009"/>
      <c r="L334" s="2009"/>
    </row>
  </sheetData>
  <mergeCells count="122">
    <mergeCell ref="C284:L284"/>
    <mergeCell ref="D287:L287"/>
    <mergeCell ref="D304:L304"/>
    <mergeCell ref="E324:L324"/>
    <mergeCell ref="D333:L333"/>
    <mergeCell ref="D334:L334"/>
    <mergeCell ref="D274:E274"/>
    <mergeCell ref="D275:E275"/>
    <mergeCell ref="D276:E276"/>
    <mergeCell ref="D277:E277"/>
    <mergeCell ref="D278:E278"/>
    <mergeCell ref="B279:L279"/>
    <mergeCell ref="D235:L235"/>
    <mergeCell ref="C237:L237"/>
    <mergeCell ref="C243:L243"/>
    <mergeCell ref="H249:J249"/>
    <mergeCell ref="B271:L271"/>
    <mergeCell ref="D273:E273"/>
    <mergeCell ref="C213:L213"/>
    <mergeCell ref="D215:L215"/>
    <mergeCell ref="H218:I220"/>
    <mergeCell ref="D221:E221"/>
    <mergeCell ref="D225:L225"/>
    <mergeCell ref="D229:D230"/>
    <mergeCell ref="E229:G229"/>
    <mergeCell ref="H229:H230"/>
    <mergeCell ref="C205:E205"/>
    <mergeCell ref="C206:E206"/>
    <mergeCell ref="C207:E207"/>
    <mergeCell ref="C208:E208"/>
    <mergeCell ref="D210:L210"/>
    <mergeCell ref="D211:L211"/>
    <mergeCell ref="G196:H196"/>
    <mergeCell ref="J196:K196"/>
    <mergeCell ref="I197:I198"/>
    <mergeCell ref="J197:J198"/>
    <mergeCell ref="C201:L201"/>
    <mergeCell ref="C203:L203"/>
    <mergeCell ref="B173:L173"/>
    <mergeCell ref="B174:L174"/>
    <mergeCell ref="G194:H194"/>
    <mergeCell ref="J194:K194"/>
    <mergeCell ref="G195:H195"/>
    <mergeCell ref="J195:K195"/>
    <mergeCell ref="C164:C166"/>
    <mergeCell ref="D164:D166"/>
    <mergeCell ref="F164:F166"/>
    <mergeCell ref="C167:C169"/>
    <mergeCell ref="D167:D169"/>
    <mergeCell ref="F167:F169"/>
    <mergeCell ref="C145:L145"/>
    <mergeCell ref="D153:L153"/>
    <mergeCell ref="C157:L157"/>
    <mergeCell ref="C161:C163"/>
    <mergeCell ref="D161:D163"/>
    <mergeCell ref="F161:F163"/>
    <mergeCell ref="E135:L135"/>
    <mergeCell ref="E136:L136"/>
    <mergeCell ref="D138:L138"/>
    <mergeCell ref="D139:M139"/>
    <mergeCell ref="C142:L142"/>
    <mergeCell ref="C143:L143"/>
    <mergeCell ref="E88:L88"/>
    <mergeCell ref="D103:L103"/>
    <mergeCell ref="E131:L131"/>
    <mergeCell ref="E132:L132"/>
    <mergeCell ref="F133:L133"/>
    <mergeCell ref="F134:L134"/>
    <mergeCell ref="D54:E54"/>
    <mergeCell ref="F54:G54"/>
    <mergeCell ref="D55:E55"/>
    <mergeCell ref="F55:G55"/>
    <mergeCell ref="C57:L57"/>
    <mergeCell ref="E59:L59"/>
    <mergeCell ref="C48:D48"/>
    <mergeCell ref="E48:F48"/>
    <mergeCell ref="C49:L49"/>
    <mergeCell ref="C51:L51"/>
    <mergeCell ref="D53:E53"/>
    <mergeCell ref="F53:G53"/>
    <mergeCell ref="C43:L43"/>
    <mergeCell ref="C45:D45"/>
    <mergeCell ref="E45:F45"/>
    <mergeCell ref="C46:D46"/>
    <mergeCell ref="E46:F46"/>
    <mergeCell ref="C47:D47"/>
    <mergeCell ref="E47:F47"/>
    <mergeCell ref="D40:E40"/>
    <mergeCell ref="G40:H40"/>
    <mergeCell ref="D41:E41"/>
    <mergeCell ref="G41:H41"/>
    <mergeCell ref="C42:F42"/>
    <mergeCell ref="G42:H42"/>
    <mergeCell ref="D37:E37"/>
    <mergeCell ref="G37:H37"/>
    <mergeCell ref="D38:E38"/>
    <mergeCell ref="G38:H38"/>
    <mergeCell ref="D39:E39"/>
    <mergeCell ref="G39:H39"/>
    <mergeCell ref="C33:L33"/>
    <mergeCell ref="C35:C36"/>
    <mergeCell ref="D35:E35"/>
    <mergeCell ref="G35:H35"/>
    <mergeCell ref="D36:E36"/>
    <mergeCell ref="G36:H36"/>
    <mergeCell ref="B18:C18"/>
    <mergeCell ref="B19:C19"/>
    <mergeCell ref="B20:C20"/>
    <mergeCell ref="C24:L24"/>
    <mergeCell ref="C29:L29"/>
    <mergeCell ref="D32:L32"/>
    <mergeCell ref="D10:E10"/>
    <mergeCell ref="D11:E11"/>
    <mergeCell ref="B14:C14"/>
    <mergeCell ref="B15:C15"/>
    <mergeCell ref="B16:C16"/>
    <mergeCell ref="B17:C17"/>
    <mergeCell ref="A2:L2"/>
    <mergeCell ref="A4:L4"/>
    <mergeCell ref="B6:L6"/>
    <mergeCell ref="D8:E8"/>
    <mergeCell ref="D9:E9"/>
  </mergeCells>
  <hyperlinks>
    <hyperlink ref="A1" location="'Daftar Isi'!A1" display="Kembali ke Daftar Isi" xr:uid="{1C45B4E1-D529-4181-B2D3-1282EAD6EB9C}"/>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8C5C-F2EC-4BEB-BB99-971B9839541C}">
  <sheetPr>
    <tabColor rgb="FF1896A4"/>
  </sheetPr>
  <dimension ref="A2:J17"/>
  <sheetViews>
    <sheetView workbookViewId="0">
      <selection activeCell="F8" sqref="F8"/>
    </sheetView>
  </sheetViews>
  <sheetFormatPr defaultRowHeight="14.25"/>
  <cols>
    <col min="2" max="2" width="11.86328125" style="212" bestFit="1" customWidth="1"/>
    <col min="6" max="6" width="15.265625" bestFit="1" customWidth="1"/>
    <col min="7" max="7" width="17" bestFit="1" customWidth="1"/>
    <col min="8" max="8" width="16" bestFit="1" customWidth="1"/>
    <col min="9" max="9" width="17.3984375" bestFit="1" customWidth="1"/>
    <col min="10" max="10" width="16" bestFit="1" customWidth="1"/>
  </cols>
  <sheetData>
    <row r="2" spans="1:10" ht="15.75">
      <c r="A2">
        <v>1</v>
      </c>
      <c r="B2" s="212" t="s">
        <v>1395</v>
      </c>
      <c r="C2" t="s">
        <v>3075</v>
      </c>
      <c r="F2" s="369" t="s">
        <v>1394</v>
      </c>
      <c r="G2" s="369" t="s">
        <v>1412</v>
      </c>
      <c r="H2" s="369" t="s">
        <v>1401</v>
      </c>
      <c r="I2" s="369" t="s">
        <v>1413</v>
      </c>
      <c r="J2" s="369" t="s">
        <v>1405</v>
      </c>
    </row>
    <row r="3" spans="1:10" ht="15.75">
      <c r="A3">
        <v>2</v>
      </c>
      <c r="B3" s="212" t="s">
        <v>1399</v>
      </c>
      <c r="C3" t="s">
        <v>3076</v>
      </c>
      <c r="F3" s="370" t="s">
        <v>295</v>
      </c>
      <c r="G3" s="370" t="s">
        <v>259</v>
      </c>
      <c r="H3" s="370" t="s">
        <v>259</v>
      </c>
      <c r="I3" s="370" t="s">
        <v>259</v>
      </c>
      <c r="J3" s="370" t="s">
        <v>259</v>
      </c>
    </row>
    <row r="4" spans="1:10" ht="15.75">
      <c r="A4">
        <v>8</v>
      </c>
      <c r="B4" s="211" t="s">
        <v>1421</v>
      </c>
      <c r="C4" t="s">
        <v>3077</v>
      </c>
      <c r="F4" s="370"/>
      <c r="G4" s="370" t="s">
        <v>295</v>
      </c>
      <c r="H4" s="370"/>
      <c r="I4" s="370" t="s">
        <v>295</v>
      </c>
      <c r="J4" s="370" t="s">
        <v>1406</v>
      </c>
    </row>
    <row r="5" spans="1:10">
      <c r="A5">
        <v>9</v>
      </c>
      <c r="B5" s="211" t="s">
        <v>1425</v>
      </c>
      <c r="C5" t="s">
        <v>3078</v>
      </c>
    </row>
    <row r="6" spans="1:10">
      <c r="A6">
        <v>10</v>
      </c>
      <c r="B6" s="211" t="s">
        <v>1426</v>
      </c>
      <c r="C6" t="s">
        <v>3079</v>
      </c>
    </row>
    <row r="7" spans="1:10">
      <c r="A7">
        <v>11</v>
      </c>
      <c r="B7" s="211" t="s">
        <v>1419</v>
      </c>
      <c r="C7" t="s">
        <v>2032</v>
      </c>
    </row>
    <row r="8" spans="1:10">
      <c r="A8">
        <v>14</v>
      </c>
      <c r="B8" s="211"/>
      <c r="C8" t="s">
        <v>3080</v>
      </c>
    </row>
    <row r="9" spans="1:10">
      <c r="A9">
        <v>3</v>
      </c>
      <c r="B9" s="211" t="s">
        <v>267</v>
      </c>
      <c r="C9" t="s">
        <v>283</v>
      </c>
    </row>
    <row r="10" spans="1:10">
      <c r="A10">
        <v>4</v>
      </c>
      <c r="B10" s="211" t="s">
        <v>1414</v>
      </c>
      <c r="C10" t="s">
        <v>3081</v>
      </c>
    </row>
    <row r="11" spans="1:10">
      <c r="A11">
        <v>5</v>
      </c>
      <c r="B11" s="211" t="s">
        <v>1402</v>
      </c>
      <c r="C11" t="s">
        <v>3082</v>
      </c>
    </row>
    <row r="12" spans="1:10">
      <c r="A12">
        <v>12</v>
      </c>
      <c r="B12" s="211" t="s">
        <v>239</v>
      </c>
      <c r="C12" t="s">
        <v>3083</v>
      </c>
    </row>
    <row r="13" spans="1:10">
      <c r="A13">
        <v>6</v>
      </c>
      <c r="B13" s="212" t="s">
        <v>1409</v>
      </c>
      <c r="C13" t="s">
        <v>3084</v>
      </c>
    </row>
    <row r="14" spans="1:10">
      <c r="A14">
        <v>7</v>
      </c>
      <c r="B14" s="212" t="s">
        <v>1407</v>
      </c>
      <c r="C14" t="s">
        <v>2050</v>
      </c>
    </row>
    <row r="15" spans="1:10">
      <c r="A15">
        <v>13</v>
      </c>
      <c r="B15" s="212" t="s">
        <v>3085</v>
      </c>
      <c r="C15" t="s">
        <v>3086</v>
      </c>
    </row>
    <row r="16" spans="1:10">
      <c r="A16">
        <v>15</v>
      </c>
      <c r="C16" t="s">
        <v>3087</v>
      </c>
    </row>
    <row r="17" spans="1:3">
      <c r="A17">
        <v>16</v>
      </c>
      <c r="C17" t="s">
        <v>3088</v>
      </c>
    </row>
  </sheetData>
  <sortState xmlns:xlrd2="http://schemas.microsoft.com/office/spreadsheetml/2017/richdata2" ref="A2:C17">
    <sortCondition ref="C2:C17"/>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099C-8298-4D85-8236-BA539C4538FC}">
  <sheetPr codeName="Sheet11"/>
  <dimension ref="A1:AA50"/>
  <sheetViews>
    <sheetView topLeftCell="G1" workbookViewId="0">
      <selection activeCell="O7" sqref="O7"/>
    </sheetView>
  </sheetViews>
  <sheetFormatPr defaultColWidth="8.86328125" defaultRowHeight="14.25"/>
  <cols>
    <col min="1" max="1" width="26" bestFit="1" customWidth="1"/>
    <col min="2" max="2" width="10" bestFit="1" customWidth="1"/>
    <col min="3" max="3" width="31.1328125" bestFit="1" customWidth="1"/>
    <col min="4" max="4" width="54.3984375" customWidth="1"/>
    <col min="5" max="5" width="11.3984375" bestFit="1" customWidth="1"/>
    <col min="6" max="6" width="140" bestFit="1" customWidth="1"/>
    <col min="7" max="7" width="18.1328125" bestFit="1" customWidth="1"/>
    <col min="8" max="8" width="18.3984375" bestFit="1" customWidth="1"/>
    <col min="9" max="9" width="11.1328125" bestFit="1" customWidth="1"/>
    <col min="10" max="10" width="20.1328125" bestFit="1" customWidth="1"/>
    <col min="13" max="13" width="20.86328125" bestFit="1" customWidth="1"/>
    <col min="14" max="14" width="19.86328125" bestFit="1" customWidth="1"/>
    <col min="15" max="15" width="41.1328125" bestFit="1" customWidth="1"/>
    <col min="16" max="16" width="28.3984375" bestFit="1" customWidth="1"/>
    <col min="18" max="18" width="19.86328125" bestFit="1" customWidth="1"/>
  </cols>
  <sheetData>
    <row r="1" spans="1:27">
      <c r="A1" t="s">
        <v>153</v>
      </c>
      <c r="B1" t="s">
        <v>3089</v>
      </c>
      <c r="C1" t="s">
        <v>3090</v>
      </c>
      <c r="D1" t="s">
        <v>125</v>
      </c>
      <c r="E1" t="s">
        <v>49</v>
      </c>
      <c r="F1" t="s">
        <v>3091</v>
      </c>
      <c r="G1" t="s">
        <v>165</v>
      </c>
      <c r="H1" t="s">
        <v>3092</v>
      </c>
      <c r="I1" t="s">
        <v>174</v>
      </c>
      <c r="J1" t="s">
        <v>3093</v>
      </c>
      <c r="K1" t="s">
        <v>3094</v>
      </c>
      <c r="M1" t="s">
        <v>87</v>
      </c>
      <c r="N1" t="s">
        <v>3095</v>
      </c>
      <c r="O1" t="s">
        <v>130</v>
      </c>
      <c r="P1" t="s">
        <v>3096</v>
      </c>
      <c r="Q1" t="s">
        <v>3097</v>
      </c>
      <c r="R1" t="s">
        <v>3098</v>
      </c>
      <c r="T1" t="s">
        <v>2435</v>
      </c>
      <c r="U1" t="s">
        <v>2436</v>
      </c>
      <c r="V1" t="s">
        <v>3099</v>
      </c>
      <c r="X1" t="s">
        <v>3099</v>
      </c>
      <c r="Y1" t="s">
        <v>3100</v>
      </c>
      <c r="AA1" t="s">
        <v>1502</v>
      </c>
    </row>
    <row r="2" spans="1:27">
      <c r="A2" t="s">
        <v>240</v>
      </c>
      <c r="B2" t="s">
        <v>3101</v>
      </c>
      <c r="C2" t="s">
        <v>3102</v>
      </c>
      <c r="D2" t="s">
        <v>3103</v>
      </c>
      <c r="E2" t="s">
        <v>3104</v>
      </c>
      <c r="F2" t="s">
        <v>1471</v>
      </c>
      <c r="G2" t="s">
        <v>1955</v>
      </c>
      <c r="H2">
        <v>1</v>
      </c>
      <c r="I2">
        <v>1</v>
      </c>
      <c r="J2" t="s">
        <v>3105</v>
      </c>
      <c r="K2" t="s">
        <v>1961</v>
      </c>
      <c r="M2" t="s">
        <v>102</v>
      </c>
      <c r="N2" t="s">
        <v>3106</v>
      </c>
      <c r="O2" t="s">
        <v>3107</v>
      </c>
      <c r="P2" t="s">
        <v>298</v>
      </c>
      <c r="Q2">
        <v>0</v>
      </c>
      <c r="R2" t="s">
        <v>327</v>
      </c>
      <c r="T2">
        <v>1</v>
      </c>
      <c r="U2">
        <v>1</v>
      </c>
      <c r="V2">
        <v>1</v>
      </c>
      <c r="W2" t="str">
        <f t="shared" ref="W2:W26" si="0">T2&amp;U2</f>
        <v>11</v>
      </c>
      <c r="X2">
        <v>1</v>
      </c>
      <c r="Y2" t="s">
        <v>1394</v>
      </c>
      <c r="AA2" t="s">
        <v>1394</v>
      </c>
    </row>
    <row r="3" spans="1:27">
      <c r="A3" t="s">
        <v>341</v>
      </c>
      <c r="B3" t="s">
        <v>3101</v>
      </c>
      <c r="C3" t="s">
        <v>3108</v>
      </c>
      <c r="D3" t="s">
        <v>75</v>
      </c>
      <c r="E3" t="s">
        <v>3109</v>
      </c>
      <c r="F3" t="s">
        <v>1472</v>
      </c>
      <c r="G3" t="s">
        <v>3110</v>
      </c>
      <c r="H3">
        <v>2</v>
      </c>
      <c r="I3">
        <v>2</v>
      </c>
      <c r="J3" t="s">
        <v>3111</v>
      </c>
      <c r="K3" t="s">
        <v>1954</v>
      </c>
      <c r="M3" t="s">
        <v>104</v>
      </c>
      <c r="N3" t="s">
        <v>1397</v>
      </c>
      <c r="O3" t="s">
        <v>2028</v>
      </c>
      <c r="P3" t="s">
        <v>264</v>
      </c>
      <c r="Q3">
        <v>1</v>
      </c>
      <c r="R3" t="s">
        <v>252</v>
      </c>
      <c r="T3">
        <v>1</v>
      </c>
      <c r="U3">
        <v>2</v>
      </c>
      <c r="V3">
        <v>2</v>
      </c>
      <c r="W3" t="str">
        <f t="shared" si="0"/>
        <v>12</v>
      </c>
      <c r="X3">
        <v>2</v>
      </c>
      <c r="Y3" t="s">
        <v>1394</v>
      </c>
      <c r="AA3" t="s">
        <v>1428</v>
      </c>
    </row>
    <row r="4" spans="1:27">
      <c r="A4" t="s">
        <v>362</v>
      </c>
      <c r="B4" t="s">
        <v>3101</v>
      </c>
      <c r="C4" t="s">
        <v>3112</v>
      </c>
      <c r="D4" t="s">
        <v>3113</v>
      </c>
      <c r="E4" t="s">
        <v>3114</v>
      </c>
      <c r="F4" t="s">
        <v>1473</v>
      </c>
      <c r="H4">
        <v>3</v>
      </c>
      <c r="I4">
        <v>3</v>
      </c>
      <c r="J4" t="s">
        <v>79</v>
      </c>
      <c r="K4" t="s">
        <v>3115</v>
      </c>
      <c r="N4" t="s">
        <v>1400</v>
      </c>
      <c r="O4" t="s">
        <v>1436</v>
      </c>
      <c r="P4" t="s">
        <v>1447</v>
      </c>
      <c r="R4" t="s">
        <v>392</v>
      </c>
      <c r="T4">
        <v>1</v>
      </c>
      <c r="U4">
        <v>3</v>
      </c>
      <c r="V4">
        <v>3</v>
      </c>
      <c r="W4" t="str">
        <f t="shared" si="0"/>
        <v>13</v>
      </c>
      <c r="X4">
        <v>3</v>
      </c>
      <c r="Y4" t="s">
        <v>1394</v>
      </c>
      <c r="AA4" t="s">
        <v>1401</v>
      </c>
    </row>
    <row r="5" spans="1:27" ht="28.5">
      <c r="A5" t="s">
        <v>371</v>
      </c>
      <c r="B5" t="s">
        <v>3101</v>
      </c>
      <c r="C5" t="s">
        <v>3116</v>
      </c>
      <c r="D5" t="s">
        <v>3117</v>
      </c>
      <c r="E5" t="s">
        <v>3118</v>
      </c>
      <c r="F5" t="s">
        <v>242</v>
      </c>
      <c r="H5">
        <v>4</v>
      </c>
      <c r="I5">
        <v>4</v>
      </c>
      <c r="J5" t="s">
        <v>2845</v>
      </c>
      <c r="K5" t="s">
        <v>3119</v>
      </c>
      <c r="N5" s="105" t="s">
        <v>1403</v>
      </c>
      <c r="O5" s="80" t="s">
        <v>3120</v>
      </c>
      <c r="P5" t="s">
        <v>1449</v>
      </c>
      <c r="R5" t="s">
        <v>346</v>
      </c>
      <c r="T5">
        <v>1</v>
      </c>
      <c r="U5">
        <v>4</v>
      </c>
      <c r="V5">
        <v>4</v>
      </c>
      <c r="W5" t="str">
        <f t="shared" si="0"/>
        <v>14</v>
      </c>
      <c r="X5">
        <v>4</v>
      </c>
      <c r="Y5" t="s">
        <v>1394</v>
      </c>
      <c r="AA5" t="s">
        <v>1404</v>
      </c>
    </row>
    <row r="6" spans="1:27" ht="28.5">
      <c r="A6" t="s">
        <v>387</v>
      </c>
      <c r="B6" t="s">
        <v>3101</v>
      </c>
      <c r="C6" t="s">
        <v>3121</v>
      </c>
      <c r="D6" t="s">
        <v>3122</v>
      </c>
      <c r="E6" t="s">
        <v>3123</v>
      </c>
      <c r="F6" t="s">
        <v>1475</v>
      </c>
      <c r="H6">
        <v>5</v>
      </c>
      <c r="I6">
        <v>5</v>
      </c>
      <c r="K6" t="s">
        <v>3124</v>
      </c>
      <c r="O6" s="80" t="s">
        <v>3125</v>
      </c>
      <c r="P6" t="s">
        <v>1451</v>
      </c>
      <c r="R6" t="s">
        <v>1448</v>
      </c>
      <c r="T6">
        <v>1</v>
      </c>
      <c r="U6">
        <v>5</v>
      </c>
      <c r="V6">
        <v>7</v>
      </c>
      <c r="W6" t="str">
        <f t="shared" si="0"/>
        <v>15</v>
      </c>
      <c r="X6">
        <v>7</v>
      </c>
      <c r="Y6" t="s">
        <v>1428</v>
      </c>
      <c r="AA6" t="s">
        <v>1405</v>
      </c>
    </row>
    <row r="7" spans="1:27" ht="28.5">
      <c r="B7" t="s">
        <v>3101</v>
      </c>
      <c r="C7" t="s">
        <v>3126</v>
      </c>
      <c r="D7" t="s">
        <v>3127</v>
      </c>
      <c r="E7" t="s">
        <v>3128</v>
      </c>
      <c r="F7" t="s">
        <v>1476</v>
      </c>
      <c r="I7">
        <v>6</v>
      </c>
      <c r="O7" s="80" t="s">
        <v>3129</v>
      </c>
      <c r="P7" t="s">
        <v>1453</v>
      </c>
      <c r="R7" t="s">
        <v>1450</v>
      </c>
      <c r="T7">
        <v>2</v>
      </c>
      <c r="U7">
        <v>1</v>
      </c>
      <c r="V7">
        <v>5</v>
      </c>
      <c r="W7" t="str">
        <f t="shared" si="0"/>
        <v>21</v>
      </c>
      <c r="X7">
        <v>5</v>
      </c>
      <c r="Y7" t="s">
        <v>1394</v>
      </c>
    </row>
    <row r="8" spans="1:27" ht="42.75">
      <c r="B8" t="s">
        <v>3130</v>
      </c>
      <c r="C8" t="s">
        <v>3131</v>
      </c>
      <c r="D8" t="s">
        <v>3132</v>
      </c>
      <c r="E8" t="s">
        <v>3133</v>
      </c>
      <c r="F8" t="s">
        <v>1478</v>
      </c>
      <c r="I8">
        <v>7</v>
      </c>
      <c r="O8" s="80" t="s">
        <v>3134</v>
      </c>
      <c r="P8" t="s">
        <v>1455</v>
      </c>
      <c r="T8">
        <v>2</v>
      </c>
      <c r="U8">
        <v>2</v>
      </c>
      <c r="V8">
        <v>6</v>
      </c>
      <c r="W8" t="str">
        <f t="shared" si="0"/>
        <v>22</v>
      </c>
      <c r="X8">
        <v>6</v>
      </c>
      <c r="Y8" t="s">
        <v>1428</v>
      </c>
    </row>
    <row r="9" spans="1:27">
      <c r="B9" t="s">
        <v>3130</v>
      </c>
      <c r="C9" t="s">
        <v>3135</v>
      </c>
      <c r="D9" t="s">
        <v>3136</v>
      </c>
      <c r="E9" t="s">
        <v>3137</v>
      </c>
      <c r="F9" t="s">
        <v>1479</v>
      </c>
      <c r="I9">
        <v>8</v>
      </c>
      <c r="O9" s="80" t="s">
        <v>350</v>
      </c>
      <c r="P9" t="s">
        <v>1456</v>
      </c>
      <c r="T9">
        <v>2</v>
      </c>
      <c r="U9">
        <v>3</v>
      </c>
      <c r="V9">
        <v>8</v>
      </c>
      <c r="W9" t="str">
        <f t="shared" si="0"/>
        <v>23</v>
      </c>
      <c r="X9">
        <v>8</v>
      </c>
      <c r="Y9" t="s">
        <v>1428</v>
      </c>
    </row>
    <row r="10" spans="1:27">
      <c r="B10" t="s">
        <v>3130</v>
      </c>
      <c r="C10" t="s">
        <v>3138</v>
      </c>
      <c r="D10" t="s">
        <v>3139</v>
      </c>
      <c r="E10" t="s">
        <v>3140</v>
      </c>
      <c r="F10" t="s">
        <v>1480</v>
      </c>
      <c r="I10">
        <v>9</v>
      </c>
      <c r="P10" t="s">
        <v>1457</v>
      </c>
      <c r="T10">
        <v>2</v>
      </c>
      <c r="U10">
        <v>4</v>
      </c>
      <c r="V10">
        <v>9</v>
      </c>
      <c r="W10" t="str">
        <f t="shared" si="0"/>
        <v>24</v>
      </c>
      <c r="X10">
        <v>9</v>
      </c>
      <c r="Y10" t="s">
        <v>1428</v>
      </c>
    </row>
    <row r="11" spans="1:27">
      <c r="B11" t="s">
        <v>3130</v>
      </c>
      <c r="C11" t="s">
        <v>3141</v>
      </c>
      <c r="D11" t="s">
        <v>3142</v>
      </c>
      <c r="E11" t="s">
        <v>3143</v>
      </c>
      <c r="F11" t="s">
        <v>1482</v>
      </c>
      <c r="I11">
        <v>10</v>
      </c>
      <c r="P11" t="s">
        <v>1458</v>
      </c>
      <c r="T11">
        <v>2</v>
      </c>
      <c r="U11">
        <v>5</v>
      </c>
      <c r="V11">
        <v>12</v>
      </c>
      <c r="W11" t="str">
        <f t="shared" si="0"/>
        <v>25</v>
      </c>
      <c r="X11">
        <v>12</v>
      </c>
      <c r="Y11" t="s">
        <v>1401</v>
      </c>
    </row>
    <row r="12" spans="1:27">
      <c r="B12" t="s">
        <v>3130</v>
      </c>
      <c r="C12" t="s">
        <v>3144</v>
      </c>
      <c r="D12" t="s">
        <v>3145</v>
      </c>
      <c r="E12" t="s">
        <v>3146</v>
      </c>
      <c r="F12" t="s">
        <v>270</v>
      </c>
      <c r="I12">
        <v>11</v>
      </c>
      <c r="P12" t="s">
        <v>350</v>
      </c>
      <c r="T12">
        <v>3</v>
      </c>
      <c r="U12">
        <v>1</v>
      </c>
      <c r="V12">
        <v>10</v>
      </c>
      <c r="W12" t="str">
        <f t="shared" si="0"/>
        <v>31</v>
      </c>
      <c r="X12">
        <v>10</v>
      </c>
      <c r="Y12" t="s">
        <v>1428</v>
      </c>
    </row>
    <row r="13" spans="1:27">
      <c r="B13" t="s">
        <v>3130</v>
      </c>
      <c r="C13" t="s">
        <v>3147</v>
      </c>
      <c r="D13" t="s">
        <v>3148</v>
      </c>
      <c r="E13" t="s">
        <v>3149</v>
      </c>
      <c r="F13" t="s">
        <v>332</v>
      </c>
      <c r="I13">
        <v>12</v>
      </c>
      <c r="T13">
        <v>3</v>
      </c>
      <c r="U13">
        <v>2</v>
      </c>
      <c r="V13">
        <v>11</v>
      </c>
      <c r="W13" t="str">
        <f t="shared" si="0"/>
        <v>32</v>
      </c>
      <c r="X13">
        <v>11</v>
      </c>
      <c r="Y13" t="s">
        <v>1428</v>
      </c>
    </row>
    <row r="14" spans="1:27">
      <c r="D14" t="s">
        <v>3150</v>
      </c>
      <c r="E14" t="s">
        <v>3151</v>
      </c>
      <c r="F14" t="s">
        <v>1484</v>
      </c>
      <c r="I14">
        <v>13</v>
      </c>
      <c r="T14">
        <v>3</v>
      </c>
      <c r="U14">
        <v>3</v>
      </c>
      <c r="V14">
        <v>13</v>
      </c>
      <c r="W14" t="str">
        <f t="shared" si="0"/>
        <v>33</v>
      </c>
      <c r="X14">
        <v>13</v>
      </c>
      <c r="Y14" t="s">
        <v>1401</v>
      </c>
    </row>
    <row r="15" spans="1:27">
      <c r="D15" t="s">
        <v>3152</v>
      </c>
      <c r="E15" t="s">
        <v>3153</v>
      </c>
      <c r="F15" t="s">
        <v>1485</v>
      </c>
      <c r="I15">
        <v>14</v>
      </c>
      <c r="T15">
        <v>3</v>
      </c>
      <c r="U15">
        <v>4</v>
      </c>
      <c r="V15">
        <v>14</v>
      </c>
      <c r="W15" t="str">
        <f t="shared" si="0"/>
        <v>34</v>
      </c>
      <c r="X15">
        <v>14</v>
      </c>
      <c r="Y15" t="s">
        <v>1401</v>
      </c>
    </row>
    <row r="16" spans="1:27">
      <c r="D16" t="s">
        <v>3154</v>
      </c>
      <c r="E16" t="s">
        <v>3155</v>
      </c>
      <c r="F16" t="s">
        <v>1486</v>
      </c>
      <c r="I16">
        <v>15</v>
      </c>
      <c r="T16">
        <v>3</v>
      </c>
      <c r="U16">
        <v>5</v>
      </c>
      <c r="V16">
        <v>17</v>
      </c>
      <c r="W16" t="str">
        <f t="shared" si="0"/>
        <v>35</v>
      </c>
      <c r="X16">
        <v>17</v>
      </c>
      <c r="Y16" t="s">
        <v>1404</v>
      </c>
    </row>
    <row r="17" spans="4:25">
      <c r="D17" t="s">
        <v>3156</v>
      </c>
      <c r="E17" t="s">
        <v>3157</v>
      </c>
      <c r="F17" t="s">
        <v>77</v>
      </c>
      <c r="I17">
        <v>16</v>
      </c>
      <c r="T17">
        <v>4</v>
      </c>
      <c r="U17">
        <v>1</v>
      </c>
      <c r="V17">
        <v>15</v>
      </c>
      <c r="W17" t="str">
        <f t="shared" si="0"/>
        <v>41</v>
      </c>
      <c r="X17">
        <v>15</v>
      </c>
      <c r="Y17" t="s">
        <v>1401</v>
      </c>
    </row>
    <row r="18" spans="4:25">
      <c r="D18" t="s">
        <v>3158</v>
      </c>
      <c r="E18" t="s">
        <v>3159</v>
      </c>
      <c r="F18" t="s">
        <v>1488</v>
      </c>
      <c r="I18">
        <v>17</v>
      </c>
      <c r="T18">
        <v>4</v>
      </c>
      <c r="U18">
        <v>2</v>
      </c>
      <c r="V18">
        <v>16</v>
      </c>
      <c r="W18" t="str">
        <f t="shared" si="0"/>
        <v>42</v>
      </c>
      <c r="X18">
        <v>16</v>
      </c>
      <c r="Y18" t="s">
        <v>1404</v>
      </c>
    </row>
    <row r="19" spans="4:25">
      <c r="D19" t="s">
        <v>3160</v>
      </c>
      <c r="E19" t="s">
        <v>3161</v>
      </c>
      <c r="F19" t="s">
        <v>1489</v>
      </c>
      <c r="I19">
        <v>18</v>
      </c>
      <c r="T19">
        <v>4</v>
      </c>
      <c r="U19">
        <v>3</v>
      </c>
      <c r="V19">
        <v>18</v>
      </c>
      <c r="W19" t="str">
        <f t="shared" si="0"/>
        <v>43</v>
      </c>
      <c r="X19">
        <v>18</v>
      </c>
      <c r="Y19" t="s">
        <v>1404</v>
      </c>
    </row>
    <row r="20" spans="4:25">
      <c r="D20" t="s">
        <v>3162</v>
      </c>
      <c r="E20" t="s">
        <v>3163</v>
      </c>
      <c r="F20" t="s">
        <v>1490</v>
      </c>
      <c r="I20">
        <v>19</v>
      </c>
      <c r="T20">
        <v>4</v>
      </c>
      <c r="U20">
        <v>4</v>
      </c>
      <c r="V20">
        <v>19</v>
      </c>
      <c r="W20" t="str">
        <f t="shared" si="0"/>
        <v>44</v>
      </c>
      <c r="X20">
        <v>19</v>
      </c>
      <c r="Y20" t="s">
        <v>1404</v>
      </c>
    </row>
    <row r="21" spans="4:25">
      <c r="D21" t="s">
        <v>3164</v>
      </c>
      <c r="E21" t="s">
        <v>3165</v>
      </c>
      <c r="F21" t="s">
        <v>1491</v>
      </c>
      <c r="I21">
        <v>20</v>
      </c>
      <c r="T21">
        <v>4</v>
      </c>
      <c r="U21">
        <v>5</v>
      </c>
      <c r="V21">
        <v>22</v>
      </c>
      <c r="W21" t="str">
        <f t="shared" si="0"/>
        <v>45</v>
      </c>
      <c r="X21">
        <v>22</v>
      </c>
      <c r="Y21" t="s">
        <v>1405</v>
      </c>
    </row>
    <row r="22" spans="4:25">
      <c r="D22" t="s">
        <v>3166</v>
      </c>
      <c r="E22" t="s">
        <v>3167</v>
      </c>
      <c r="F22" t="s">
        <v>401</v>
      </c>
      <c r="I22">
        <v>21</v>
      </c>
      <c r="T22">
        <v>5</v>
      </c>
      <c r="U22">
        <v>1</v>
      </c>
      <c r="V22">
        <v>20</v>
      </c>
      <c r="W22" t="str">
        <f t="shared" si="0"/>
        <v>51</v>
      </c>
      <c r="X22">
        <v>20</v>
      </c>
      <c r="Y22" t="s">
        <v>1405</v>
      </c>
    </row>
    <row r="23" spans="4:25">
      <c r="D23" t="s">
        <v>3168</v>
      </c>
      <c r="E23" t="s">
        <v>3169</v>
      </c>
      <c r="I23">
        <v>22</v>
      </c>
      <c r="T23">
        <v>5</v>
      </c>
      <c r="U23">
        <v>2</v>
      </c>
      <c r="V23">
        <v>21</v>
      </c>
      <c r="W23" t="str">
        <f t="shared" si="0"/>
        <v>52</v>
      </c>
      <c r="X23">
        <v>21</v>
      </c>
      <c r="Y23" t="s">
        <v>1405</v>
      </c>
    </row>
    <row r="24" spans="4:25">
      <c r="D24" t="s">
        <v>3170</v>
      </c>
      <c r="E24" t="s">
        <v>3171</v>
      </c>
      <c r="I24">
        <v>23</v>
      </c>
      <c r="T24">
        <v>5</v>
      </c>
      <c r="U24">
        <v>3</v>
      </c>
      <c r="V24">
        <v>23</v>
      </c>
      <c r="W24" t="str">
        <f t="shared" si="0"/>
        <v>53</v>
      </c>
      <c r="X24">
        <v>23</v>
      </c>
      <c r="Y24" t="s">
        <v>1405</v>
      </c>
    </row>
    <row r="25" spans="4:25">
      <c r="D25" t="s">
        <v>3172</v>
      </c>
      <c r="E25" t="s">
        <v>3173</v>
      </c>
      <c r="I25">
        <v>24</v>
      </c>
      <c r="T25">
        <v>5</v>
      </c>
      <c r="U25">
        <v>4</v>
      </c>
      <c r="V25">
        <v>24</v>
      </c>
      <c r="W25" t="str">
        <f t="shared" si="0"/>
        <v>54</v>
      </c>
      <c r="X25">
        <v>24</v>
      </c>
      <c r="Y25" t="s">
        <v>1405</v>
      </c>
    </row>
    <row r="26" spans="4:25">
      <c r="D26" t="s">
        <v>3174</v>
      </c>
      <c r="E26" t="s">
        <v>3175</v>
      </c>
      <c r="I26">
        <v>25</v>
      </c>
      <c r="T26">
        <v>5</v>
      </c>
      <c r="U26">
        <v>5</v>
      </c>
      <c r="V26">
        <v>25</v>
      </c>
      <c r="W26" t="str">
        <f t="shared" si="0"/>
        <v>55</v>
      </c>
      <c r="X26">
        <v>25</v>
      </c>
      <c r="Y26" t="s">
        <v>1405</v>
      </c>
    </row>
    <row r="27" spans="4:25">
      <c r="D27" t="s">
        <v>3176</v>
      </c>
      <c r="E27" t="s">
        <v>3177</v>
      </c>
    </row>
    <row r="28" spans="4:25">
      <c r="D28" t="s">
        <v>3178</v>
      </c>
      <c r="E28" t="s">
        <v>3179</v>
      </c>
    </row>
    <row r="29" spans="4:25">
      <c r="D29" t="s">
        <v>3180</v>
      </c>
      <c r="E29" t="s">
        <v>3181</v>
      </c>
    </row>
    <row r="30" spans="4:25">
      <c r="D30" t="s">
        <v>3182</v>
      </c>
      <c r="E30" t="s">
        <v>3183</v>
      </c>
    </row>
    <row r="31" spans="4:25">
      <c r="D31" t="s">
        <v>3184</v>
      </c>
      <c r="E31" t="s">
        <v>3185</v>
      </c>
    </row>
    <row r="32" spans="4:25">
      <c r="D32" t="s">
        <v>3186</v>
      </c>
      <c r="E32" t="s">
        <v>3187</v>
      </c>
    </row>
    <row r="33" spans="4:5">
      <c r="D33" t="s">
        <v>3188</v>
      </c>
      <c r="E33" t="s">
        <v>3189</v>
      </c>
    </row>
    <row r="34" spans="4:5">
      <c r="D34" t="s">
        <v>3190</v>
      </c>
      <c r="E34" t="s">
        <v>3191</v>
      </c>
    </row>
    <row r="35" spans="4:5">
      <c r="D35" t="s">
        <v>3192</v>
      </c>
      <c r="E35" t="s">
        <v>3193</v>
      </c>
    </row>
    <row r="36" spans="4:5">
      <c r="D36" t="s">
        <v>3194</v>
      </c>
      <c r="E36" t="s">
        <v>3195</v>
      </c>
    </row>
    <row r="37" spans="4:5">
      <c r="D37" t="s">
        <v>3196</v>
      </c>
      <c r="E37" t="s">
        <v>3197</v>
      </c>
    </row>
    <row r="38" spans="4:5">
      <c r="D38" t="s">
        <v>3198</v>
      </c>
      <c r="E38" t="s">
        <v>3199</v>
      </c>
    </row>
    <row r="39" spans="4:5">
      <c r="D39" t="s">
        <v>3200</v>
      </c>
      <c r="E39" t="s">
        <v>3201</v>
      </c>
    </row>
    <row r="40" spans="4:5">
      <c r="D40" t="s">
        <v>3202</v>
      </c>
      <c r="E40" t="s">
        <v>3203</v>
      </c>
    </row>
    <row r="41" spans="4:5">
      <c r="D41" t="s">
        <v>3204</v>
      </c>
      <c r="E41" t="s">
        <v>3205</v>
      </c>
    </row>
    <row r="42" spans="4:5">
      <c r="D42" t="s">
        <v>3206</v>
      </c>
      <c r="E42" t="s">
        <v>3207</v>
      </c>
    </row>
    <row r="43" spans="4:5">
      <c r="D43" t="s">
        <v>3208</v>
      </c>
      <c r="E43" t="s">
        <v>3209</v>
      </c>
    </row>
    <row r="44" spans="4:5">
      <c r="D44" t="s">
        <v>3210</v>
      </c>
      <c r="E44" t="s">
        <v>3211</v>
      </c>
    </row>
    <row r="45" spans="4:5">
      <c r="D45" t="s">
        <v>3212</v>
      </c>
      <c r="E45" t="s">
        <v>3213</v>
      </c>
    </row>
    <row r="46" spans="4:5">
      <c r="D46" t="s">
        <v>3214</v>
      </c>
      <c r="E46" t="s">
        <v>3215</v>
      </c>
    </row>
    <row r="47" spans="4:5">
      <c r="D47" t="s">
        <v>3216</v>
      </c>
      <c r="E47" t="s">
        <v>3217</v>
      </c>
    </row>
    <row r="48" spans="4:5">
      <c r="D48" t="s">
        <v>3218</v>
      </c>
      <c r="E48" t="s">
        <v>3219</v>
      </c>
    </row>
    <row r="49" spans="4:5">
      <c r="D49" t="s">
        <v>3220</v>
      </c>
      <c r="E49" t="s">
        <v>3221</v>
      </c>
    </row>
    <row r="50" spans="4:5">
      <c r="D50" t="s">
        <v>3222</v>
      </c>
      <c r="E50" t="s">
        <v>3223</v>
      </c>
    </row>
  </sheetData>
  <sheetProtection algorithmName="SHA-512" hashValue="+WxqtN1wlEoThA7ywRbNdt/4KOvOcr02tfyjWMRCwhoXqTFsYXxYQPeSYcD4Q2J1YV6tyFtX2fHD5eO1F2w9Jg==" saltValue="y2Qs+Ia+OdQkXbJ3RqP7G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DB960A1D9E9B2744AC9732D56F468989" ma:contentTypeVersion="19" ma:contentTypeDescription="Buat sebuah dokumen baru." ma:contentTypeScope="" ma:versionID="4049f09225755bcd6e16212d7418c89f">
  <xsd:schema xmlns:xsd="http://www.w3.org/2001/XMLSchema" xmlns:xs="http://www.w3.org/2001/XMLSchema" xmlns:p="http://schemas.microsoft.com/office/2006/metadata/properties" xmlns:ns1="http://schemas.microsoft.com/sharepoint/v3" xmlns:ns2="d89ccfa0-f34a-41cc-aaa8-64bd3ab45d39" xmlns:ns3="927fdab7-de7f-4654-8475-36294926be99" targetNamespace="http://schemas.microsoft.com/office/2006/metadata/properties" ma:root="true" ma:fieldsID="85bfeba950d3ea92d7d22720dd3141a0" ns1:_="" ns2:_="" ns3:_="">
    <xsd:import namespace="http://schemas.microsoft.com/sharepoint/v3"/>
    <xsd:import namespace="d89ccfa0-f34a-41cc-aaa8-64bd3ab45d39"/>
    <xsd:import namespace="927fdab7-de7f-4654-8475-36294926be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erti Kebijakan Kepatuhan Terpadu" ma:hidden="true" ma:internalName="_ip_UnifiedCompliancePolicyProperties">
      <xsd:simpleType>
        <xsd:restriction base="dms:Note"/>
      </xsd:simpleType>
    </xsd:element>
    <xsd:element name="_ip_UnifiedCompliancePolicyUIAction" ma:index="22" nillable="true" ma:displayName="Tindakan UI Kebijakan Kepatuhan Terpadu"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9ccfa0-f34a-41cc-aaa8-64bd3ab4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Tag Gambar" ma:readOnly="false" ma:fieldId="{5cf76f15-5ced-4ddc-b409-7134ff3c332f}" ma:taxonomyMulti="true" ma:sspId="9d326e08-6574-4155-b46c-7478b83ec99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7fdab7-de7f-4654-8475-36294926be99" elementFormDefault="qualified">
    <xsd:import namespace="http://schemas.microsoft.com/office/2006/documentManagement/types"/>
    <xsd:import namespace="http://schemas.microsoft.com/office/infopath/2007/PartnerControls"/>
    <xsd:element name="SharedWithUsers" ma:index="18" nillable="true" ma:displayName="Dibagikan Denga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ibagikan Dengan Detail" ma:internalName="SharedWithDetails" ma:readOnly="true">
      <xsd:simpleType>
        <xsd:restriction base="dms:Note">
          <xsd:maxLength value="255"/>
        </xsd:restriction>
      </xsd:simpleType>
    </xsd:element>
    <xsd:element name="TaxCatchAll" ma:index="25" nillable="true" ma:displayName="Taxonomy Catch All Column" ma:hidden="true" ma:list="{4825d7b1-243e-48cb-ab18-c9ff69ef4b7a}" ma:internalName="TaxCatchAll" ma:showField="CatchAllData" ma:web="927fdab7-de7f-4654-8475-36294926b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89ccfa0-f34a-41cc-aaa8-64bd3ab45d39">
      <Terms xmlns="http://schemas.microsoft.com/office/infopath/2007/PartnerControls"/>
    </lcf76f155ced4ddcb4097134ff3c332f>
    <_ip_UnifiedCompliancePolicyProperties xmlns="http://schemas.microsoft.com/sharepoint/v3" xsi:nil="true"/>
    <TaxCatchAll xmlns="927fdab7-de7f-4654-8475-36294926be99" xsi:nil="true"/>
    <SharedWithUsers xmlns="927fdab7-de7f-4654-8475-36294926be99">
      <UserInfo>
        <DisplayName>Nicola Riess</DisplayName>
        <AccountId>113</AccountId>
        <AccountType/>
      </UserInfo>
      <UserInfo>
        <DisplayName>Dian Meliana Wati</DisplayName>
        <AccountId>275</AccountId>
        <AccountType/>
      </UserInfo>
      <UserInfo>
        <DisplayName>Yumna Rodiyanti</DisplayName>
        <AccountId>312</AccountId>
        <AccountType/>
      </UserInfo>
      <UserInfo>
        <DisplayName>Muhammad Ariq Khosyi</DisplayName>
        <AccountId>167</AccountId>
        <AccountType/>
      </UserInfo>
      <UserInfo>
        <DisplayName>Galalea Selesta</DisplayName>
        <AccountId>171</AccountId>
        <AccountType/>
      </UserInfo>
    </SharedWithUsers>
  </documentManagement>
</p:properties>
</file>

<file path=customXml/itemProps1.xml><?xml version="1.0" encoding="utf-8"?>
<ds:datastoreItem xmlns:ds="http://schemas.openxmlformats.org/officeDocument/2006/customXml" ds:itemID="{536565DA-7DA2-4B3C-AF64-F21E1FFDCEE2}">
  <ds:schemaRefs>
    <ds:schemaRef ds:uri="http://schemas.microsoft.com/sharepoint/v3/contenttype/forms"/>
  </ds:schemaRefs>
</ds:datastoreItem>
</file>

<file path=customXml/itemProps2.xml><?xml version="1.0" encoding="utf-8"?>
<ds:datastoreItem xmlns:ds="http://schemas.openxmlformats.org/officeDocument/2006/customXml" ds:itemID="{CAF23B97-9F25-44AD-A485-D659098EA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89ccfa0-f34a-41cc-aaa8-64bd3ab45d39"/>
    <ds:schemaRef ds:uri="927fdab7-de7f-4654-8475-36294926b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7C7C8B-EB25-4F6C-8EE6-16B7EB190BC4}">
  <ds:schemaRefs>
    <ds:schemaRef ds:uri="http://www.w3.org/XML/1998/namespace"/>
    <ds:schemaRef ds:uri="http://schemas.microsoft.com/sharepoint/v3"/>
    <ds:schemaRef ds:uri="http://purl.org/dc/elements/1.1/"/>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schemas.microsoft.com/office/2006/metadata/properties"/>
    <ds:schemaRef ds:uri="927fdab7-de7f-4654-8475-36294926be99"/>
    <ds:schemaRef ds:uri="d89ccfa0-f34a-41cc-aaa8-64bd3ab45d3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vt:i4>
      </vt:variant>
    </vt:vector>
  </HeadingPairs>
  <TitlesOfParts>
    <vt:vector size="31" baseType="lpstr">
      <vt:lpstr>Halaman Judul</vt:lpstr>
      <vt:lpstr>Daftar Isi</vt:lpstr>
      <vt:lpstr>Metrik Strategi Risiko</vt:lpstr>
      <vt:lpstr>Pilihan Sasaran&amp;Strategi Bisnis</vt:lpstr>
      <vt:lpstr>SUMMARY</vt:lpstr>
      <vt:lpstr>Justifikasi Risk Assessment</vt:lpstr>
      <vt:lpstr>Contoh Justifikasi Risk Assess</vt:lpstr>
      <vt:lpstr>Source</vt:lpstr>
      <vt:lpstr>Taksonomi Risiko PLN</vt:lpstr>
      <vt:lpstr>Perhitungan Heatmap</vt:lpstr>
      <vt:lpstr>Profil Risiko</vt:lpstr>
      <vt:lpstr>Rencana Perlakuan Risiko</vt:lpstr>
      <vt:lpstr>Risiko Inheren Kuantitatif</vt:lpstr>
      <vt:lpstr>Risiko Inheren Kualitatif</vt:lpstr>
      <vt:lpstr>Risiko Residual Kuantitatif</vt:lpstr>
      <vt:lpstr>Risiko Residual Kualitatif</vt:lpstr>
      <vt:lpstr>Heatmap</vt:lpstr>
      <vt:lpstr>LAP REAL III.A</vt:lpstr>
      <vt:lpstr>LAP REAL III.B</vt:lpstr>
      <vt:lpstr>RAS</vt:lpstr>
      <vt:lpstr>Kriteria Dampak &amp; Prob.</vt:lpstr>
      <vt:lpstr>Definisi Taksonomi Risiko</vt:lpstr>
      <vt:lpstr>Data Perencanaan Keuangan</vt:lpstr>
      <vt:lpstr>Ilustrasi</vt:lpstr>
      <vt:lpstr>Sheet1</vt:lpstr>
      <vt:lpstr>Master</vt:lpstr>
      <vt:lpstr>High</vt:lpstr>
      <vt:lpstr>Low</vt:lpstr>
      <vt:lpstr>LowToModerate</vt:lpstr>
      <vt:lpstr>Moderate</vt:lpstr>
      <vt:lpstr>ModerateToHigh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Achmad Bastian</dc:creator>
  <cp:keywords/>
  <dc:description/>
  <cp:lastModifiedBy>Ahmad Khudhoibi</cp:lastModifiedBy>
  <cp:revision/>
  <dcterms:created xsi:type="dcterms:W3CDTF">2023-05-16T08:20:49Z</dcterms:created>
  <dcterms:modified xsi:type="dcterms:W3CDTF">2026-03-06T09:14:32Z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0x010100DB960A1D9E9B2744AC9732D56F468989</vt:lpwstr>
  </property>
  <property fmtid="{D5CDD505-2E9C-101B-9397-08002B2CF9AE}" pid="3" name="MediaServiceImageTags">
    <vt:lpwstr/>
  </property>
</Properties>
</file>